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5. IV. névi ei-módosítás\"/>
    </mc:Choice>
  </mc:AlternateContent>
  <bookViews>
    <workbookView xWindow="-120" yWindow="-120" windowWidth="29040" windowHeight="15840" tabRatio="608" activeTab="14"/>
  </bookViews>
  <sheets>
    <sheet name="1" sheetId="204" r:id="rId1"/>
    <sheet name="2" sheetId="203" r:id="rId2"/>
    <sheet name="3" sheetId="205" r:id="rId3"/>
    <sheet name="4" sheetId="107" r:id="rId4"/>
    <sheet name="5" sheetId="62" r:id="rId5"/>
    <sheet name="6" sheetId="206" r:id="rId6"/>
    <sheet name="7" sheetId="63" r:id="rId7"/>
    <sheet name="8" sheetId="207" r:id="rId8"/>
    <sheet name="9" sheetId="138" r:id="rId9"/>
    <sheet name="10" sheetId="139" r:id="rId10"/>
    <sheet name="11" sheetId="209" r:id="rId11"/>
    <sheet name="táj1" sheetId="198" r:id="rId12"/>
    <sheet name="táj2" sheetId="199" r:id="rId13"/>
    <sheet name="táj3" sheetId="200" r:id="rId14"/>
    <sheet name="táj4" sheetId="201" r:id="rId15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1">táj1!$1:$2</definedName>
    <definedName name="_xlnm.Print_Titles" localSheetId="12">táj2!$1:$2</definedName>
    <definedName name="_xlnm.Print_Titles">#REF!</definedName>
    <definedName name="_xlnm.Print_Area" localSheetId="2">'3'!$A$1:$O$68</definedName>
    <definedName name="_xlnm.Print_Area" localSheetId="5">'6'!$A$1:$O$189</definedName>
    <definedName name="_xlnm.Print_Area" localSheetId="7">'8'!$A$1:$Q$653</definedName>
    <definedName name="_xlnm.Print_Area" localSheetId="11">táj1!$A$1:$O$189</definedName>
    <definedName name="_xlnm.Print_Area" localSheetId="12">táj2!$A$1:$R$653</definedName>
  </definedNames>
  <calcPr calcId="152511"/>
</workbook>
</file>

<file path=xl/calcChain.xml><?xml version="1.0" encoding="utf-8"?>
<calcChain xmlns="http://schemas.openxmlformats.org/spreadsheetml/2006/main">
  <c r="N22" i="209" l="1"/>
  <c r="N23" i="209" s="1"/>
  <c r="M22" i="209"/>
  <c r="M23" i="209" s="1"/>
  <c r="L22" i="209"/>
  <c r="L23" i="209" s="1"/>
  <c r="K22" i="209"/>
  <c r="K23" i="209" s="1"/>
  <c r="J22" i="209"/>
  <c r="J23" i="209" s="1"/>
  <c r="I22" i="209"/>
  <c r="I23" i="209" s="1"/>
  <c r="H22" i="209"/>
  <c r="H23" i="209" s="1"/>
  <c r="G22" i="209"/>
  <c r="G23" i="209" s="1"/>
  <c r="F22" i="209"/>
  <c r="F23" i="209" s="1"/>
  <c r="E22" i="209"/>
  <c r="E23" i="209" s="1"/>
  <c r="D22" i="209"/>
  <c r="D23" i="209" s="1"/>
  <c r="O21" i="209"/>
  <c r="O20" i="209"/>
  <c r="O19" i="209"/>
  <c r="O18" i="209"/>
  <c r="O17" i="209"/>
  <c r="O16" i="209"/>
  <c r="O15" i="209"/>
  <c r="O14" i="209"/>
  <c r="O13" i="209"/>
  <c r="O12" i="209"/>
  <c r="O11" i="209"/>
  <c r="O10" i="209"/>
  <c r="O9" i="209"/>
  <c r="O8" i="209"/>
  <c r="O7" i="209"/>
  <c r="O6" i="209"/>
  <c r="O5" i="209"/>
  <c r="O4" i="209"/>
  <c r="O22" i="209" s="1"/>
  <c r="O23" i="209" s="1"/>
  <c r="O3" i="209"/>
  <c r="O13" i="204" l="1"/>
  <c r="L200" i="207" l="1"/>
  <c r="I506" i="207" l="1"/>
  <c r="M371" i="207"/>
  <c r="I376" i="207"/>
  <c r="H134" i="207"/>
  <c r="G134" i="207"/>
  <c r="N148" i="207"/>
  <c r="K160" i="207" l="1"/>
  <c r="D19" i="204" l="1"/>
  <c r="D25" i="204" s="1"/>
  <c r="D7" i="204"/>
  <c r="D12" i="204" s="1"/>
  <c r="K8" i="204"/>
  <c r="K12" i="204" s="1"/>
  <c r="K22" i="204"/>
  <c r="K25" i="204" s="1"/>
  <c r="L20" i="204"/>
  <c r="M20" i="204" s="1"/>
  <c r="N20" i="204" s="1"/>
  <c r="L7" i="204"/>
  <c r="M7" i="204" s="1"/>
  <c r="N7" i="204" s="1"/>
  <c r="M9" i="204"/>
  <c r="N9" i="204" s="1"/>
  <c r="M10" i="204"/>
  <c r="N10" i="204" s="1"/>
  <c r="M11" i="204"/>
  <c r="N11" i="204" s="1"/>
  <c r="M13" i="204"/>
  <c r="N13" i="204" s="1"/>
  <c r="M21" i="204"/>
  <c r="N21" i="204" s="1"/>
  <c r="M23" i="204"/>
  <c r="N23" i="204" s="1"/>
  <c r="M24" i="204"/>
  <c r="N24" i="204" s="1"/>
  <c r="M27" i="204"/>
  <c r="N27" i="204" s="1"/>
  <c r="F8" i="204"/>
  <c r="G8" i="204" s="1"/>
  <c r="F9" i="204"/>
  <c r="G9" i="204" s="1"/>
  <c r="F10" i="204"/>
  <c r="G10" i="204" s="1"/>
  <c r="F11" i="204"/>
  <c r="G11" i="204" s="1"/>
  <c r="F13" i="204"/>
  <c r="G13" i="204" s="1"/>
  <c r="F16" i="204"/>
  <c r="G16" i="204" s="1"/>
  <c r="F18" i="204"/>
  <c r="F20" i="204"/>
  <c r="G20" i="204" s="1"/>
  <c r="F21" i="204"/>
  <c r="G21" i="204" s="1"/>
  <c r="F22" i="204"/>
  <c r="G22" i="204" s="1"/>
  <c r="F23" i="204"/>
  <c r="G23" i="204" s="1"/>
  <c r="F24" i="204"/>
  <c r="G24" i="204" s="1"/>
  <c r="F27" i="204"/>
  <c r="G27" i="204" s="1"/>
  <c r="I378" i="207"/>
  <c r="D26" i="204" l="1"/>
  <c r="D28" i="204" s="1"/>
  <c r="K26" i="204"/>
  <c r="K28" i="204" s="1"/>
  <c r="G18" i="204"/>
  <c r="L455" i="207"/>
  <c r="Q455" i="207" s="1"/>
  <c r="L454" i="207"/>
  <c r="Q454" i="207" s="1"/>
  <c r="Q455" i="199"/>
  <c r="Q454" i="199"/>
  <c r="I387" i="207"/>
  <c r="G27" i="203"/>
  <c r="H27" i="203" s="1"/>
  <c r="G21" i="203"/>
  <c r="H21" i="203" s="1"/>
  <c r="F40" i="203"/>
  <c r="F31" i="203"/>
  <c r="F26" i="203"/>
  <c r="F20" i="203"/>
  <c r="F12" i="203"/>
  <c r="F8" i="203"/>
  <c r="G5" i="203"/>
  <c r="H5" i="203" s="1"/>
  <c r="G6" i="203"/>
  <c r="H6" i="203" s="1"/>
  <c r="G7" i="203"/>
  <c r="H7" i="203" s="1"/>
  <c r="G9" i="203"/>
  <c r="H9" i="203" s="1"/>
  <c r="G10" i="203"/>
  <c r="H10" i="203" s="1"/>
  <c r="G11" i="203"/>
  <c r="H11" i="203" s="1"/>
  <c r="G13" i="203"/>
  <c r="H13" i="203" s="1"/>
  <c r="G14" i="203"/>
  <c r="H14" i="203" s="1"/>
  <c r="G15" i="203"/>
  <c r="H15" i="203" s="1"/>
  <c r="G16" i="203"/>
  <c r="H16" i="203" s="1"/>
  <c r="G17" i="203"/>
  <c r="H17" i="203" s="1"/>
  <c r="G18" i="203"/>
  <c r="H18" i="203" s="1"/>
  <c r="G19" i="203"/>
  <c r="H19" i="203" s="1"/>
  <c r="G22" i="203"/>
  <c r="H22" i="203" s="1"/>
  <c r="G23" i="203"/>
  <c r="H23" i="203" s="1"/>
  <c r="G24" i="203"/>
  <c r="H24" i="203" s="1"/>
  <c r="G25" i="203"/>
  <c r="H25" i="203" s="1"/>
  <c r="G28" i="203"/>
  <c r="H28" i="203" s="1"/>
  <c r="G29" i="203"/>
  <c r="H29" i="203" s="1"/>
  <c r="G30" i="203"/>
  <c r="G33" i="203"/>
  <c r="H33" i="203" s="1"/>
  <c r="G34" i="203"/>
  <c r="H34" i="203" s="1"/>
  <c r="G35" i="203"/>
  <c r="H35" i="203" s="1"/>
  <c r="G36" i="203"/>
  <c r="H36" i="203" s="1"/>
  <c r="G37" i="203"/>
  <c r="H37" i="203" s="1"/>
  <c r="G38" i="203"/>
  <c r="H38" i="203" s="1"/>
  <c r="G39" i="203"/>
  <c r="H39" i="203" s="1"/>
  <c r="G4" i="203"/>
  <c r="H4" i="203" s="1"/>
  <c r="G31" i="203" l="1"/>
  <c r="H30" i="203"/>
  <c r="H31" i="203" s="1"/>
  <c r="G26" i="203"/>
  <c r="H40" i="203"/>
  <c r="G40" i="203"/>
  <c r="H26" i="203"/>
  <c r="H20" i="203"/>
  <c r="G20" i="203"/>
  <c r="G12" i="203"/>
  <c r="H12" i="203"/>
  <c r="F32" i="203"/>
  <c r="F41" i="203" s="1"/>
  <c r="H8" i="203"/>
  <c r="G8" i="203"/>
  <c r="G32" i="203" l="1"/>
  <c r="G41" i="203" s="1"/>
  <c r="H32" i="203"/>
  <c r="H41" i="203" s="1"/>
  <c r="I68" i="205" l="1"/>
  <c r="K6" i="205"/>
  <c r="J6" i="205" s="1"/>
  <c r="K7" i="205"/>
  <c r="J7" i="205" s="1"/>
  <c r="K8" i="205"/>
  <c r="J8" i="205" s="1"/>
  <c r="K9" i="205"/>
  <c r="J9" i="205" s="1"/>
  <c r="K10" i="205"/>
  <c r="J10" i="205" s="1"/>
  <c r="K11" i="205"/>
  <c r="J11" i="205" s="1"/>
  <c r="K12" i="205"/>
  <c r="J12" i="205" s="1"/>
  <c r="K13" i="205"/>
  <c r="J13" i="205" s="1"/>
  <c r="K14" i="205"/>
  <c r="J14" i="205" s="1"/>
  <c r="K45" i="205"/>
  <c r="J45" i="205" s="1"/>
  <c r="K48" i="205"/>
  <c r="J48" i="205" s="1"/>
  <c r="K51" i="205"/>
  <c r="J51" i="205" s="1"/>
  <c r="K53" i="205"/>
  <c r="J53" i="205" s="1"/>
  <c r="K54" i="205"/>
  <c r="J54" i="205" s="1"/>
  <c r="K55" i="205"/>
  <c r="J55" i="205" s="1"/>
  <c r="K56" i="205"/>
  <c r="J56" i="205" s="1"/>
  <c r="K57" i="205"/>
  <c r="J57" i="205" s="1"/>
  <c r="K58" i="205"/>
  <c r="J58" i="205" s="1"/>
  <c r="K59" i="205"/>
  <c r="J59" i="205" s="1"/>
  <c r="K60" i="205"/>
  <c r="J60" i="205" s="1"/>
  <c r="K61" i="205"/>
  <c r="J61" i="205" s="1"/>
  <c r="K62" i="205"/>
  <c r="J62" i="205" s="1"/>
  <c r="K63" i="205"/>
  <c r="J63" i="205" s="1"/>
  <c r="K64" i="205"/>
  <c r="J64" i="205" s="1"/>
  <c r="K65" i="205"/>
  <c r="J65" i="205" s="1"/>
  <c r="K66" i="205"/>
  <c r="J66" i="205" s="1"/>
  <c r="K67" i="205"/>
  <c r="J67" i="205" s="1"/>
  <c r="K5" i="205"/>
  <c r="L16" i="205"/>
  <c r="K16" i="205" s="1"/>
  <c r="J16" i="205" s="1"/>
  <c r="L17" i="205"/>
  <c r="K17" i="205" s="1"/>
  <c r="J17" i="205" s="1"/>
  <c r="L18" i="205"/>
  <c r="K18" i="205" s="1"/>
  <c r="J18" i="205" s="1"/>
  <c r="L19" i="205"/>
  <c r="K19" i="205" s="1"/>
  <c r="J19" i="205" s="1"/>
  <c r="L20" i="205"/>
  <c r="K20" i="205" s="1"/>
  <c r="J20" i="205" s="1"/>
  <c r="L21" i="205"/>
  <c r="K21" i="205" s="1"/>
  <c r="J21" i="205" s="1"/>
  <c r="L22" i="205"/>
  <c r="K22" i="205" s="1"/>
  <c r="J22" i="205" s="1"/>
  <c r="L23" i="205"/>
  <c r="K23" i="205" s="1"/>
  <c r="J23" i="205" s="1"/>
  <c r="L24" i="205"/>
  <c r="K24" i="205" s="1"/>
  <c r="J24" i="205" s="1"/>
  <c r="L25" i="205"/>
  <c r="K25" i="205" s="1"/>
  <c r="J25" i="205" s="1"/>
  <c r="L26" i="205"/>
  <c r="K26" i="205" s="1"/>
  <c r="J26" i="205" s="1"/>
  <c r="L27" i="205"/>
  <c r="K27" i="205" s="1"/>
  <c r="J27" i="205" s="1"/>
  <c r="L28" i="205"/>
  <c r="K28" i="205" s="1"/>
  <c r="J28" i="205" s="1"/>
  <c r="L29" i="205"/>
  <c r="K29" i="205" s="1"/>
  <c r="J29" i="205" s="1"/>
  <c r="L30" i="205"/>
  <c r="K30" i="205" s="1"/>
  <c r="J30" i="205" s="1"/>
  <c r="L31" i="205"/>
  <c r="K31" i="205" s="1"/>
  <c r="J31" i="205" s="1"/>
  <c r="L32" i="205"/>
  <c r="K32" i="205" s="1"/>
  <c r="J32" i="205" s="1"/>
  <c r="L33" i="205"/>
  <c r="K33" i="205" s="1"/>
  <c r="J33" i="205" s="1"/>
  <c r="L34" i="205"/>
  <c r="K34" i="205" s="1"/>
  <c r="J34" i="205" s="1"/>
  <c r="L35" i="205"/>
  <c r="K35" i="205" s="1"/>
  <c r="J35" i="205" s="1"/>
  <c r="L36" i="205"/>
  <c r="K36" i="205" s="1"/>
  <c r="J36" i="205" s="1"/>
  <c r="L37" i="205"/>
  <c r="K37" i="205" s="1"/>
  <c r="J37" i="205" s="1"/>
  <c r="L38" i="205"/>
  <c r="K38" i="205" s="1"/>
  <c r="J38" i="205" s="1"/>
  <c r="L39" i="205"/>
  <c r="K39" i="205" s="1"/>
  <c r="J39" i="205" s="1"/>
  <c r="L40" i="205"/>
  <c r="K40" i="205" s="1"/>
  <c r="J40" i="205" s="1"/>
  <c r="L41" i="205"/>
  <c r="K41" i="205" s="1"/>
  <c r="J41" i="205" s="1"/>
  <c r="L42" i="205"/>
  <c r="K42" i="205" s="1"/>
  <c r="J42" i="205" s="1"/>
  <c r="L43" i="205"/>
  <c r="K43" i="205" s="1"/>
  <c r="J43" i="205" s="1"/>
  <c r="L44" i="205"/>
  <c r="K44" i="205" s="1"/>
  <c r="J44" i="205" s="1"/>
  <c r="L46" i="205"/>
  <c r="K46" i="205" s="1"/>
  <c r="J46" i="205" s="1"/>
  <c r="L47" i="205"/>
  <c r="K47" i="205" s="1"/>
  <c r="J47" i="205" s="1"/>
  <c r="L49" i="205"/>
  <c r="K49" i="205" s="1"/>
  <c r="J49" i="205" s="1"/>
  <c r="L50" i="205"/>
  <c r="K50" i="205" s="1"/>
  <c r="J50" i="205" s="1"/>
  <c r="L52" i="205"/>
  <c r="K52" i="205" s="1"/>
  <c r="J52" i="205" s="1"/>
  <c r="L15" i="205"/>
  <c r="K15" i="205" s="1"/>
  <c r="J15" i="205" s="1"/>
  <c r="F86" i="206"/>
  <c r="N631" i="207"/>
  <c r="Q631" i="207" s="1"/>
  <c r="Q631" i="199"/>
  <c r="K600" i="207"/>
  <c r="I401" i="207"/>
  <c r="I413" i="207"/>
  <c r="I414" i="207"/>
  <c r="M447" i="207"/>
  <c r="I447" i="207"/>
  <c r="I435" i="207"/>
  <c r="G486" i="207"/>
  <c r="H477" i="207"/>
  <c r="I477" i="207"/>
  <c r="J477" i="207"/>
  <c r="K477" i="207"/>
  <c r="L477" i="207"/>
  <c r="M477" i="207"/>
  <c r="N477" i="207"/>
  <c r="H476" i="207"/>
  <c r="I476" i="207"/>
  <c r="J476" i="207"/>
  <c r="K476" i="207"/>
  <c r="L476" i="207"/>
  <c r="M476" i="207"/>
  <c r="N476" i="207"/>
  <c r="G477" i="207"/>
  <c r="G476" i="207"/>
  <c r="Q476" i="199"/>
  <c r="Q477" i="199"/>
  <c r="F87" i="206"/>
  <c r="G87" i="206"/>
  <c r="E86" i="206"/>
  <c r="O86" i="206" s="1"/>
  <c r="O86" i="198"/>
  <c r="H475" i="207"/>
  <c r="I475" i="207"/>
  <c r="J475" i="207"/>
  <c r="K475" i="207"/>
  <c r="L475" i="207"/>
  <c r="M475" i="207"/>
  <c r="N475" i="207"/>
  <c r="G475" i="207"/>
  <c r="Q475" i="199"/>
  <c r="L386" i="207"/>
  <c r="L393" i="207"/>
  <c r="K386" i="207"/>
  <c r="N378" i="207"/>
  <c r="M323" i="207"/>
  <c r="M331" i="207"/>
  <c r="M368" i="207"/>
  <c r="M374" i="207"/>
  <c r="L366" i="207"/>
  <c r="I344" i="207"/>
  <c r="M235" i="207"/>
  <c r="Q476" i="207" l="1"/>
  <c r="K68" i="205"/>
  <c r="J5" i="205"/>
  <c r="L68" i="205"/>
  <c r="Q477" i="207"/>
  <c r="Q475" i="207"/>
  <c r="L284" i="207" l="1"/>
  <c r="I201" i="207"/>
  <c r="I101" i="207"/>
  <c r="Q101" i="207" s="1"/>
  <c r="Q101" i="199"/>
  <c r="F186" i="198"/>
  <c r="G186" i="198"/>
  <c r="H186" i="198"/>
  <c r="I186" i="198"/>
  <c r="J186" i="198"/>
  <c r="K186" i="198"/>
  <c r="L186" i="198"/>
  <c r="M186" i="198"/>
  <c r="N186" i="198"/>
  <c r="E186" i="198"/>
  <c r="O185" i="198"/>
  <c r="E185" i="206"/>
  <c r="O185" i="206" s="1"/>
  <c r="F186" i="206"/>
  <c r="G186" i="206"/>
  <c r="H186" i="206"/>
  <c r="I186" i="206"/>
  <c r="K186" i="206"/>
  <c r="L186" i="206"/>
  <c r="M186" i="206"/>
  <c r="N186" i="206"/>
  <c r="E182" i="206"/>
  <c r="O182" i="206" s="1"/>
  <c r="O182" i="198"/>
  <c r="F88" i="206"/>
  <c r="E88" i="206"/>
  <c r="O88" i="198"/>
  <c r="E87" i="206"/>
  <c r="O87" i="198"/>
  <c r="H39" i="206"/>
  <c r="O39" i="206" s="1"/>
  <c r="O39" i="198"/>
  <c r="O20" i="198"/>
  <c r="J21" i="206"/>
  <c r="O21" i="206" s="1"/>
  <c r="J20" i="206"/>
  <c r="O20" i="206" s="1"/>
  <c r="E22" i="206"/>
  <c r="O22" i="206" s="1"/>
  <c r="O21" i="198"/>
  <c r="O22" i="198"/>
  <c r="E186" i="206" l="1"/>
  <c r="O88" i="206"/>
  <c r="O87" i="206"/>
  <c r="J184" i="206" l="1"/>
  <c r="K176" i="206"/>
  <c r="J175" i="206"/>
  <c r="H174" i="206"/>
  <c r="E169" i="206"/>
  <c r="F154" i="206"/>
  <c r="E153" i="206"/>
  <c r="H146" i="206"/>
  <c r="I116" i="206"/>
  <c r="H115" i="206"/>
  <c r="I113" i="206"/>
  <c r="H110" i="206"/>
  <c r="I106" i="206"/>
  <c r="H106" i="206"/>
  <c r="I104" i="206"/>
  <c r="H104" i="206"/>
  <c r="H99" i="206"/>
  <c r="F93" i="206"/>
  <c r="F92" i="206"/>
  <c r="F85" i="206"/>
  <c r="E85" i="206"/>
  <c r="F84" i="206"/>
  <c r="E84" i="206"/>
  <c r="F83" i="206"/>
  <c r="E83" i="206"/>
  <c r="H82" i="206"/>
  <c r="F82" i="206"/>
  <c r="E82" i="206"/>
  <c r="F81" i="206"/>
  <c r="E81" i="206"/>
  <c r="H65" i="206"/>
  <c r="H64" i="206"/>
  <c r="H63" i="206"/>
  <c r="H59" i="206"/>
  <c r="K53" i="206"/>
  <c r="H49" i="206"/>
  <c r="H57" i="206" l="1"/>
  <c r="E28" i="206"/>
  <c r="J26" i="206"/>
  <c r="E17" i="206"/>
  <c r="E16" i="206"/>
  <c r="E15" i="206"/>
  <c r="L649" i="207" l="1"/>
  <c r="L648" i="207"/>
  <c r="M647" i="207"/>
  <c r="K645" i="207"/>
  <c r="K644" i="207"/>
  <c r="K641" i="207"/>
  <c r="K640" i="207"/>
  <c r="K639" i="207"/>
  <c r="K638" i="207"/>
  <c r="L630" i="207"/>
  <c r="I624" i="207"/>
  <c r="H624" i="207"/>
  <c r="G624" i="207"/>
  <c r="I610" i="207"/>
  <c r="N609" i="207"/>
  <c r="L609" i="207"/>
  <c r="K609" i="207"/>
  <c r="I609" i="207"/>
  <c r="H609" i="207"/>
  <c r="G609" i="207"/>
  <c r="K608" i="207"/>
  <c r="K597" i="207"/>
  <c r="I597" i="207"/>
  <c r="K592" i="207"/>
  <c r="I592" i="207"/>
  <c r="N588" i="207"/>
  <c r="K583" i="207"/>
  <c r="K582" i="207"/>
  <c r="I579" i="207"/>
  <c r="K574" i="207"/>
  <c r="M555" i="207"/>
  <c r="L555" i="207"/>
  <c r="M553" i="207"/>
  <c r="I546" i="207"/>
  <c r="N540" i="207"/>
  <c r="K540" i="207"/>
  <c r="I537" i="207"/>
  <c r="H536" i="207"/>
  <c r="G536" i="207"/>
  <c r="L521" i="207"/>
  <c r="I518" i="207"/>
  <c r="I515" i="207"/>
  <c r="G483" i="207"/>
  <c r="I502" i="207"/>
  <c r="M497" i="207"/>
  <c r="M496" i="207"/>
  <c r="L483" i="207"/>
  <c r="I483" i="207"/>
  <c r="M474" i="207" l="1"/>
  <c r="I474" i="207"/>
  <c r="H474" i="207"/>
  <c r="G474" i="207"/>
  <c r="M473" i="207"/>
  <c r="L473" i="207"/>
  <c r="I473" i="207"/>
  <c r="H473" i="207"/>
  <c r="G473" i="207"/>
  <c r="M472" i="207"/>
  <c r="I472" i="207"/>
  <c r="H472" i="207"/>
  <c r="G472" i="207"/>
  <c r="L471" i="207"/>
  <c r="I471" i="207"/>
  <c r="H471" i="207"/>
  <c r="G471" i="207"/>
  <c r="M470" i="207"/>
  <c r="I470" i="207"/>
  <c r="G470" i="207"/>
  <c r="N467" i="207" l="1"/>
  <c r="K467" i="207"/>
  <c r="M463" i="207"/>
  <c r="M459" i="207"/>
  <c r="L459" i="207"/>
  <c r="M458" i="207"/>
  <c r="L453" i="207"/>
  <c r="N452" i="207"/>
  <c r="M451" i="207"/>
  <c r="L450" i="207"/>
  <c r="L444" i="207"/>
  <c r="M443" i="207"/>
  <c r="L443" i="207"/>
  <c r="I443" i="207"/>
  <c r="L435" i="207"/>
  <c r="M425" i="207"/>
  <c r="L424" i="207"/>
  <c r="M421" i="207"/>
  <c r="M420" i="207"/>
  <c r="M419" i="207"/>
  <c r="L418" i="207"/>
  <c r="L414" i="207"/>
  <c r="M405" i="207"/>
  <c r="M400" i="207"/>
  <c r="L398" i="207"/>
  <c r="M397" i="207"/>
  <c r="N391" i="207"/>
  <c r="K391" i="207"/>
  <c r="L387" i="207"/>
  <c r="N386" i="207"/>
  <c r="I386" i="207"/>
  <c r="M385" i="207"/>
  <c r="L385" i="207"/>
  <c r="I385" i="207"/>
  <c r="L381" i="207"/>
  <c r="L379" i="207"/>
  <c r="M378" i="207"/>
  <c r="L377" i="207"/>
  <c r="I377" i="207"/>
  <c r="L376" i="207"/>
  <c r="I374" i="207"/>
  <c r="L370" i="207"/>
  <c r="I370" i="207"/>
  <c r="L368" i="207"/>
  <c r="M361" i="207"/>
  <c r="L360" i="207"/>
  <c r="M357" i="207"/>
  <c r="M355" i="207"/>
  <c r="L349" i="207"/>
  <c r="M348" i="207"/>
  <c r="L347" i="207"/>
  <c r="M346" i="207"/>
  <c r="M345" i="207"/>
  <c r="M339" i="207"/>
  <c r="M338" i="207"/>
  <c r="M337" i="207"/>
  <c r="M335" i="207"/>
  <c r="L323" i="207"/>
  <c r="I323" i="207"/>
  <c r="M288" i="207"/>
  <c r="L294" i="207"/>
  <c r="K319" i="207"/>
  <c r="I309" i="207"/>
  <c r="K303" i="207"/>
  <c r="I294" i="207"/>
  <c r="I290" i="207"/>
  <c r="I288" i="207"/>
  <c r="I286" i="207"/>
  <c r="I284" i="207"/>
  <c r="I282" i="207"/>
  <c r="I276" i="207"/>
  <c r="K260" i="207"/>
  <c r="I257" i="207"/>
  <c r="I255" i="207"/>
  <c r="M249" i="207" l="1"/>
  <c r="I248" i="207"/>
  <c r="I246" i="207"/>
  <c r="I242" i="207"/>
  <c r="M228" i="207"/>
  <c r="L228" i="207"/>
  <c r="I228" i="207"/>
  <c r="M205" i="207" l="1"/>
  <c r="N204" i="207"/>
  <c r="M204" i="207"/>
  <c r="M203" i="207"/>
  <c r="N202" i="207"/>
  <c r="L201" i="207"/>
  <c r="N200" i="207"/>
  <c r="I200" i="207"/>
  <c r="M197" i="207"/>
  <c r="L192" i="207"/>
  <c r="L191" i="207"/>
  <c r="I191" i="207"/>
  <c r="M188" i="207"/>
  <c r="I188" i="207"/>
  <c r="K164" i="207"/>
  <c r="K153" i="207"/>
  <c r="I153" i="207"/>
  <c r="I141" i="207"/>
  <c r="G141" i="207"/>
  <c r="K138" i="207"/>
  <c r="K134" i="207"/>
  <c r="I134" i="207"/>
  <c r="N131" i="207"/>
  <c r="K131" i="207"/>
  <c r="K120" i="207"/>
  <c r="K114" i="207"/>
  <c r="K113" i="207"/>
  <c r="K100" i="207"/>
  <c r="K85" i="207"/>
  <c r="K77" i="207"/>
  <c r="K63" i="207"/>
  <c r="I63" i="207"/>
  <c r="H63" i="207"/>
  <c r="I62" i="207"/>
  <c r="H62" i="207"/>
  <c r="G62" i="207"/>
  <c r="I61" i="207"/>
  <c r="H61" i="207"/>
  <c r="G61" i="207"/>
  <c r="I54" i="207"/>
  <c r="H54" i="207"/>
  <c r="G54" i="207"/>
  <c r="J35" i="207"/>
  <c r="I34" i="207"/>
  <c r="J25" i="207"/>
  <c r="J18" i="207"/>
  <c r="J15" i="207"/>
  <c r="J12" i="207"/>
  <c r="J11" i="207"/>
  <c r="O21" i="138"/>
  <c r="G21" i="138"/>
  <c r="O19" i="138"/>
  <c r="J19" i="138"/>
  <c r="J18" i="138"/>
  <c r="G18" i="138"/>
  <c r="O16" i="138"/>
  <c r="L16" i="138"/>
  <c r="G16" i="138"/>
  <c r="J17" i="138"/>
  <c r="H17" i="138"/>
  <c r="G17" i="138"/>
  <c r="O15" i="138"/>
  <c r="G15" i="138"/>
  <c r="O14" i="138"/>
  <c r="O13" i="138"/>
  <c r="G13" i="138"/>
  <c r="O12" i="138"/>
  <c r="O11" i="138"/>
  <c r="J11" i="138"/>
  <c r="G11" i="138"/>
  <c r="O10" i="138"/>
  <c r="O9" i="138"/>
  <c r="J9" i="138"/>
  <c r="G9" i="138"/>
  <c r="O8" i="138"/>
  <c r="H8" i="138"/>
  <c r="G8" i="138"/>
  <c r="O7" i="138"/>
  <c r="O6" i="138"/>
  <c r="O5" i="138"/>
  <c r="O4" i="138"/>
  <c r="J4" i="138"/>
  <c r="I21" i="139"/>
  <c r="H21" i="139"/>
  <c r="G21" i="139"/>
  <c r="I19" i="139"/>
  <c r="H19" i="139"/>
  <c r="G19" i="139"/>
  <c r="I18" i="139"/>
  <c r="L17" i="139"/>
  <c r="I17" i="139"/>
  <c r="G17" i="139"/>
  <c r="L16" i="139"/>
  <c r="K16" i="139"/>
  <c r="I16" i="139"/>
  <c r="H16" i="139"/>
  <c r="G16" i="139"/>
  <c r="I15" i="139" l="1"/>
  <c r="H15" i="139"/>
  <c r="G15" i="139"/>
  <c r="H14" i="139"/>
  <c r="G14" i="139"/>
  <c r="I13" i="139"/>
  <c r="H13" i="139"/>
  <c r="G13" i="139"/>
  <c r="G12" i="139"/>
  <c r="I12" i="139"/>
  <c r="H12" i="139"/>
  <c r="L11" i="139"/>
  <c r="I11" i="139"/>
  <c r="H11" i="139"/>
  <c r="G11" i="139"/>
  <c r="I10" i="139"/>
  <c r="H10" i="139"/>
  <c r="G10" i="139"/>
  <c r="M9" i="139"/>
  <c r="L9" i="139"/>
  <c r="I9" i="139"/>
  <c r="H9" i="139"/>
  <c r="G9" i="139"/>
  <c r="M8" i="139"/>
  <c r="L8" i="139"/>
  <c r="I8" i="139"/>
  <c r="H8" i="139"/>
  <c r="G8" i="139"/>
  <c r="H7" i="139"/>
  <c r="G7" i="139"/>
  <c r="M6" i="139"/>
  <c r="L6" i="139"/>
  <c r="I6" i="139"/>
  <c r="H6" i="139"/>
  <c r="G6" i="139"/>
  <c r="M5" i="139"/>
  <c r="I5" i="139"/>
  <c r="H5" i="139"/>
  <c r="G5" i="139"/>
  <c r="L4" i="139"/>
  <c r="I4" i="139"/>
  <c r="H4" i="139"/>
  <c r="G4" i="139"/>
  <c r="Q349" i="207" l="1"/>
  <c r="Q349" i="199"/>
  <c r="Q379" i="207" l="1"/>
  <c r="Q379" i="199"/>
  <c r="Q348" i="207"/>
  <c r="Q348" i="199"/>
  <c r="O57" i="206"/>
  <c r="O57" i="198"/>
  <c r="I6" i="138" l="1"/>
  <c r="H6" i="138"/>
  <c r="G6" i="138"/>
  <c r="Q474" i="199" l="1"/>
  <c r="Q474" i="207" l="1"/>
  <c r="Q453" i="207"/>
  <c r="Q452" i="207"/>
  <c r="Q453" i="199"/>
  <c r="Q452" i="199"/>
  <c r="Q421" i="207"/>
  <c r="Q421" i="199"/>
  <c r="Q345" i="207"/>
  <c r="Q346" i="207"/>
  <c r="Q347" i="207"/>
  <c r="Q346" i="199"/>
  <c r="Q347" i="199"/>
  <c r="Q205" i="207"/>
  <c r="Q205" i="199"/>
  <c r="Q100" i="207"/>
  <c r="Q100" i="199"/>
  <c r="O116" i="198"/>
  <c r="O115" i="206"/>
  <c r="O115" i="198"/>
  <c r="O85" i="206"/>
  <c r="O85" i="198"/>
  <c r="F60" i="206"/>
  <c r="G60" i="206"/>
  <c r="J60" i="206"/>
  <c r="L60" i="206"/>
  <c r="N60" i="206"/>
  <c r="E60" i="206"/>
  <c r="O59" i="206"/>
  <c r="F60" i="198"/>
  <c r="G60" i="198"/>
  <c r="H60" i="198"/>
  <c r="I60" i="198"/>
  <c r="J60" i="198"/>
  <c r="K60" i="198"/>
  <c r="L60" i="198"/>
  <c r="M60" i="198"/>
  <c r="N60" i="198"/>
  <c r="E60" i="198"/>
  <c r="O59" i="198"/>
  <c r="E34" i="206"/>
  <c r="F34" i="206"/>
  <c r="G34" i="206"/>
  <c r="E34" i="198"/>
  <c r="F34" i="198"/>
  <c r="G34" i="198"/>
  <c r="O28" i="206"/>
  <c r="G29" i="206"/>
  <c r="I29" i="206"/>
  <c r="L29" i="206"/>
  <c r="M29" i="206"/>
  <c r="N29" i="206"/>
  <c r="O28" i="198"/>
  <c r="O116" i="206" l="1"/>
  <c r="F29" i="198" l="1"/>
  <c r="G29" i="198"/>
  <c r="H29" i="198"/>
  <c r="I29" i="198"/>
  <c r="J29" i="198"/>
  <c r="K29" i="198"/>
  <c r="L29" i="198"/>
  <c r="M29" i="198"/>
  <c r="N29" i="198"/>
  <c r="E29" i="198"/>
  <c r="M68" i="205" l="1"/>
  <c r="Q588" i="207" l="1"/>
  <c r="Q588" i="199"/>
  <c r="Q583" i="207"/>
  <c r="Q582" i="207"/>
  <c r="H586" i="199"/>
  <c r="H589" i="199" s="1"/>
  <c r="I586" i="199"/>
  <c r="I589" i="199" s="1"/>
  <c r="J586" i="199"/>
  <c r="J589" i="199" s="1"/>
  <c r="K586" i="199"/>
  <c r="K589" i="199" s="1"/>
  <c r="L586" i="199"/>
  <c r="L589" i="199" s="1"/>
  <c r="M586" i="199"/>
  <c r="M589" i="199" s="1"/>
  <c r="N586" i="199"/>
  <c r="N589" i="199" s="1"/>
  <c r="O586" i="199"/>
  <c r="O589" i="199" s="1"/>
  <c r="P586" i="199"/>
  <c r="P589" i="199" s="1"/>
  <c r="Q582" i="199"/>
  <c r="Q583" i="199"/>
  <c r="Q553" i="207"/>
  <c r="Q553" i="199"/>
  <c r="Q497" i="207"/>
  <c r="Q496" i="207"/>
  <c r="Q496" i="199"/>
  <c r="Q497" i="199"/>
  <c r="Q473" i="199"/>
  <c r="Q451" i="207"/>
  <c r="Q451" i="199"/>
  <c r="I177" i="206"/>
  <c r="L177" i="206"/>
  <c r="F177" i="198"/>
  <c r="G177" i="198"/>
  <c r="H177" i="198"/>
  <c r="I177" i="198"/>
  <c r="J177" i="198"/>
  <c r="K177" i="198"/>
  <c r="L177" i="198"/>
  <c r="M177" i="198"/>
  <c r="N177" i="198"/>
  <c r="E177" i="198"/>
  <c r="O176" i="198"/>
  <c r="O93" i="206"/>
  <c r="O92" i="206"/>
  <c r="O92" i="198"/>
  <c r="O93" i="198"/>
  <c r="O84" i="198"/>
  <c r="O113" i="198"/>
  <c r="Q473" i="207" l="1"/>
  <c r="O84" i="206"/>
  <c r="N68" i="205" l="1"/>
  <c r="O68" i="205"/>
  <c r="Q630" i="207" l="1"/>
  <c r="Q630" i="199"/>
  <c r="Q624" i="199"/>
  <c r="Q521" i="207"/>
  <c r="Q521" i="199"/>
  <c r="Q470" i="199"/>
  <c r="Q471" i="199"/>
  <c r="Q472" i="199"/>
  <c r="Q450" i="207"/>
  <c r="Q450" i="199"/>
  <c r="Q420" i="207"/>
  <c r="Q420" i="199"/>
  <c r="Q345" i="199"/>
  <c r="Q323" i="207"/>
  <c r="Q323" i="199"/>
  <c r="O113" i="206"/>
  <c r="J178" i="207"/>
  <c r="O184" i="198"/>
  <c r="M172" i="206"/>
  <c r="O172" i="206" s="1"/>
  <c r="O170" i="198"/>
  <c r="O174" i="206"/>
  <c r="O174" i="198"/>
  <c r="O106" i="198"/>
  <c r="O83" i="198"/>
  <c r="O82" i="198"/>
  <c r="O81" i="198"/>
  <c r="O17" i="206"/>
  <c r="O17" i="198"/>
  <c r="Q472" i="207" l="1"/>
  <c r="Q471" i="207"/>
  <c r="Q470" i="207"/>
  <c r="O106" i="206"/>
  <c r="O184" i="206"/>
  <c r="O83" i="206"/>
  <c r="O81" i="206"/>
  <c r="O82" i="206"/>
  <c r="D22" i="139" l="1"/>
  <c r="D22" i="138"/>
  <c r="N629" i="207" l="1"/>
  <c r="I622" i="207"/>
  <c r="K620" i="207"/>
  <c r="K617" i="207"/>
  <c r="I617" i="207"/>
  <c r="K616" i="207"/>
  <c r="K581" i="207"/>
  <c r="I565" i="207"/>
  <c r="L527" i="207"/>
  <c r="I520" i="207"/>
  <c r="I513" i="207"/>
  <c r="L508" i="207"/>
  <c r="M506" i="207"/>
  <c r="M494" i="207"/>
  <c r="M492" i="207"/>
  <c r="M488" i="207"/>
  <c r="L484" i="207"/>
  <c r="L469" i="207"/>
  <c r="I469" i="207"/>
  <c r="H469" i="207"/>
  <c r="G469" i="207"/>
  <c r="I462" i="207"/>
  <c r="L460" i="207"/>
  <c r="N459" i="207"/>
  <c r="M457" i="207"/>
  <c r="M449" i="207"/>
  <c r="M448" i="207"/>
  <c r="M446" i="207"/>
  <c r="M445" i="207"/>
  <c r="N443" i="207"/>
  <c r="M435" i="207"/>
  <c r="L434" i="207"/>
  <c r="M432" i="207"/>
  <c r="L432" i="207"/>
  <c r="L431" i="207"/>
  <c r="M417" i="207"/>
  <c r="M412" i="207"/>
  <c r="L397" i="207"/>
  <c r="M386" i="207"/>
  <c r="G287" i="207"/>
  <c r="I381" i="207"/>
  <c r="L374" i="207"/>
  <c r="M366" i="207"/>
  <c r="L365" i="207"/>
  <c r="L364" i="207"/>
  <c r="M360" i="207"/>
  <c r="L353" i="207"/>
  <c r="L344" i="207"/>
  <c r="L343" i="207"/>
  <c r="M342" i="207"/>
  <c r="L341" i="207"/>
  <c r="M340" i="207"/>
  <c r="M336" i="207"/>
  <c r="L332" i="207"/>
  <c r="L331" i="207"/>
  <c r="L325" i="207"/>
  <c r="I305" i="207"/>
  <c r="I298" i="207"/>
  <c r="I287" i="207"/>
  <c r="L281" i="207"/>
  <c r="I281" i="207"/>
  <c r="K261" i="207"/>
  <c r="I258" i="207"/>
  <c r="I256" i="207"/>
  <c r="I254" i="207"/>
  <c r="I253" i="207"/>
  <c r="I250" i="207"/>
  <c r="I249" i="207"/>
  <c r="I238" i="207"/>
  <c r="I235" i="207"/>
  <c r="I233" i="207"/>
  <c r="I230" i="207"/>
  <c r="K129" i="207"/>
  <c r="K163" i="207"/>
  <c r="K162" i="207"/>
  <c r="K158" i="207"/>
  <c r="K144" i="207"/>
  <c r="K82" i="207"/>
  <c r="N62" i="207"/>
  <c r="N153" i="207"/>
  <c r="I122" i="207"/>
  <c r="G63" i="207"/>
  <c r="K184" i="207"/>
  <c r="M208" i="207"/>
  <c r="M198" i="207"/>
  <c r="M190" i="207"/>
  <c r="L210" i="207"/>
  <c r="L194" i="207"/>
  <c r="I192" i="207"/>
  <c r="H18" i="139"/>
  <c r="H17" i="139"/>
  <c r="I20" i="139"/>
  <c r="I7" i="139"/>
  <c r="L21" i="139"/>
  <c r="L15" i="139"/>
  <c r="L14" i="139"/>
  <c r="L13" i="139"/>
  <c r="L10" i="139"/>
  <c r="L7" i="139"/>
  <c r="L5" i="139"/>
  <c r="M16" i="139"/>
  <c r="M13" i="139"/>
  <c r="M11" i="139"/>
  <c r="K6" i="139"/>
  <c r="J7" i="139"/>
  <c r="G18" i="139"/>
  <c r="O17" i="138"/>
  <c r="N21" i="138"/>
  <c r="N19" i="138"/>
  <c r="N18" i="138"/>
  <c r="N17" i="138"/>
  <c r="N16" i="138"/>
  <c r="N15" i="138"/>
  <c r="N14" i="138"/>
  <c r="N13" i="138"/>
  <c r="N12" i="138"/>
  <c r="N11" i="138"/>
  <c r="N10" i="138"/>
  <c r="L15" i="138"/>
  <c r="J12" i="138"/>
  <c r="J21" i="138"/>
  <c r="H13" i="138"/>
  <c r="H15" i="138"/>
  <c r="G20" i="138"/>
  <c r="G12" i="138"/>
  <c r="G10" i="138"/>
  <c r="N9" i="138"/>
  <c r="H9" i="138"/>
  <c r="N8" i="138"/>
  <c r="N7" i="138"/>
  <c r="N6" i="138"/>
  <c r="N5" i="138"/>
  <c r="J6" i="138"/>
  <c r="G5" i="138"/>
  <c r="G4" i="138"/>
  <c r="N4" i="138"/>
  <c r="J180" i="206"/>
  <c r="J186" i="206" s="1"/>
  <c r="E156" i="206"/>
  <c r="J177" i="206"/>
  <c r="E159" i="206"/>
  <c r="F177" i="206"/>
  <c r="M150" i="206"/>
  <c r="H129" i="206"/>
  <c r="I124" i="206"/>
  <c r="H124" i="206"/>
  <c r="K100" i="206"/>
  <c r="H91" i="206"/>
  <c r="H89" i="206"/>
  <c r="F80" i="206"/>
  <c r="E80" i="206"/>
  <c r="H50" i="206"/>
  <c r="J29" i="206"/>
  <c r="E24" i="206"/>
  <c r="C31" i="203"/>
  <c r="C26" i="203"/>
  <c r="C40" i="203"/>
  <c r="C20" i="203"/>
  <c r="C12" i="203"/>
  <c r="C8" i="203"/>
  <c r="I22" i="204"/>
  <c r="I25" i="204" s="1"/>
  <c r="I8" i="204"/>
  <c r="I12" i="204" s="1"/>
  <c r="B19" i="204"/>
  <c r="B25" i="204" s="1"/>
  <c r="B7" i="204"/>
  <c r="B12" i="204" s="1"/>
  <c r="B26" i="204" l="1"/>
  <c r="B28" i="204" s="1"/>
  <c r="E29" i="206"/>
  <c r="C32" i="203"/>
  <c r="C41" i="203" s="1"/>
  <c r="I26" i="204"/>
  <c r="I28" i="204" s="1"/>
  <c r="Q198" i="207"/>
  <c r="Q198" i="199"/>
  <c r="Q204" i="207" l="1"/>
  <c r="Q204" i="199"/>
  <c r="Q449" i="199"/>
  <c r="Q449" i="207"/>
  <c r="Q203" i="207"/>
  <c r="Q203" i="199"/>
  <c r="O24" i="206"/>
  <c r="O24" i="198"/>
  <c r="Q447" i="207" l="1"/>
  <c r="Q448" i="207"/>
  <c r="Q378" i="207"/>
  <c r="Q448" i="199"/>
  <c r="Q447" i="199"/>
  <c r="Q378" i="199"/>
  <c r="Q342" i="207"/>
  <c r="Q343" i="207"/>
  <c r="Q344" i="207"/>
  <c r="Q342" i="199"/>
  <c r="Q343" i="199"/>
  <c r="Q344" i="199"/>
  <c r="Q194" i="207"/>
  <c r="Q194" i="199"/>
  <c r="E26" i="203"/>
  <c r="D26" i="203"/>
  <c r="Q446" i="207" l="1"/>
  <c r="Q446" i="199"/>
  <c r="O53" i="206"/>
  <c r="O53" i="198"/>
  <c r="Q645" i="207"/>
  <c r="Q645" i="199"/>
  <c r="Q629" i="207"/>
  <c r="Q629" i="199"/>
  <c r="Q581" i="207"/>
  <c r="Q581" i="199"/>
  <c r="Q584" i="199"/>
  <c r="Q520" i="207"/>
  <c r="Q520" i="199"/>
  <c r="Q506" i="207"/>
  <c r="Q506" i="199"/>
  <c r="Q469" i="199"/>
  <c r="Q445" i="207"/>
  <c r="Q444" i="207"/>
  <c r="Q443" i="199"/>
  <c r="Q444" i="199"/>
  <c r="Q445" i="199"/>
  <c r="Q419" i="207"/>
  <c r="Q417" i="207"/>
  <c r="Q418" i="207"/>
  <c r="Q417" i="199"/>
  <c r="Q418" i="199"/>
  <c r="Q419" i="199"/>
  <c r="Q366" i="207"/>
  <c r="Q365" i="207"/>
  <c r="Q364" i="207"/>
  <c r="Q366" i="199"/>
  <c r="Q364" i="199"/>
  <c r="Q365" i="199"/>
  <c r="Q341" i="207"/>
  <c r="Q337" i="207"/>
  <c r="Q338" i="207"/>
  <c r="Q339" i="207"/>
  <c r="Q340" i="207"/>
  <c r="Q336" i="207"/>
  <c r="Q341" i="199"/>
  <c r="Q340" i="199"/>
  <c r="Q339" i="199"/>
  <c r="Q336" i="199"/>
  <c r="Q337" i="199"/>
  <c r="Q338" i="199"/>
  <c r="Q258" i="207"/>
  <c r="Q257" i="207"/>
  <c r="Q258" i="199"/>
  <c r="Q257" i="199"/>
  <c r="XFD257" i="199" s="1"/>
  <c r="Q469" i="207" l="1"/>
  <c r="Q443" i="207"/>
  <c r="O180" i="198"/>
  <c r="O186" i="198" s="1"/>
  <c r="O159" i="198"/>
  <c r="O159" i="206"/>
  <c r="O154" i="198"/>
  <c r="O154" i="206"/>
  <c r="O129" i="206"/>
  <c r="O129" i="198"/>
  <c r="O124" i="198"/>
  <c r="G101" i="206"/>
  <c r="I101" i="206"/>
  <c r="J101" i="206"/>
  <c r="L101" i="206"/>
  <c r="K101" i="206"/>
  <c r="O100" i="198"/>
  <c r="F101" i="198"/>
  <c r="G101" i="198"/>
  <c r="H101" i="198"/>
  <c r="I101" i="198"/>
  <c r="J101" i="198"/>
  <c r="K101" i="198"/>
  <c r="L101" i="198"/>
  <c r="M101" i="198"/>
  <c r="N101" i="198"/>
  <c r="E101" i="198"/>
  <c r="O80" i="198"/>
  <c r="O50" i="206"/>
  <c r="O50" i="198"/>
  <c r="O26" i="206"/>
  <c r="O26" i="198"/>
  <c r="K643" i="207"/>
  <c r="K618" i="207"/>
  <c r="N608" i="207"/>
  <c r="K599" i="207"/>
  <c r="G597" i="207"/>
  <c r="K593" i="207"/>
  <c r="I593" i="207"/>
  <c r="P562" i="207"/>
  <c r="I541" i="207"/>
  <c r="I540" i="207"/>
  <c r="I523" i="207"/>
  <c r="I514" i="207"/>
  <c r="M513" i="207"/>
  <c r="I508" i="207"/>
  <c r="L502" i="207"/>
  <c r="L468" i="207"/>
  <c r="I468" i="207"/>
  <c r="H468" i="207"/>
  <c r="G468" i="207"/>
  <c r="L462" i="207"/>
  <c r="L441" i="207"/>
  <c r="M424" i="207"/>
  <c r="L423" i="207"/>
  <c r="L416" i="207"/>
  <c r="L409" i="207"/>
  <c r="N401" i="207"/>
  <c r="K387" i="207"/>
  <c r="L362" i="207"/>
  <c r="M332" i="207"/>
  <c r="L329" i="207"/>
  <c r="L328" i="207"/>
  <c r="I317" i="207"/>
  <c r="I303" i="207"/>
  <c r="L254" i="207"/>
  <c r="L231" i="207"/>
  <c r="I231" i="207"/>
  <c r="I227" i="207"/>
  <c r="L193" i="207"/>
  <c r="K115" i="207"/>
  <c r="K57" i="207"/>
  <c r="N47" i="207"/>
  <c r="N46" i="207"/>
  <c r="N44" i="207"/>
  <c r="J32" i="207"/>
  <c r="K28" i="207"/>
  <c r="J28" i="207"/>
  <c r="J22" i="207"/>
  <c r="J10" i="207"/>
  <c r="I14" i="139"/>
  <c r="M4" i="139"/>
  <c r="H16" i="138"/>
  <c r="G14" i="138"/>
  <c r="N157" i="206"/>
  <c r="E155" i="206"/>
  <c r="H149" i="206"/>
  <c r="H148" i="206"/>
  <c r="M134" i="206"/>
  <c r="H177" i="206" l="1"/>
  <c r="O180" i="206"/>
  <c r="O186" i="206" s="1"/>
  <c r="O124" i="206"/>
  <c r="O100" i="206"/>
  <c r="O80" i="206"/>
  <c r="H123" i="206"/>
  <c r="F79" i="206"/>
  <c r="E79" i="206"/>
  <c r="I52" i="206"/>
  <c r="I60" i="206" s="1"/>
  <c r="H52" i="206"/>
  <c r="K46" i="206"/>
  <c r="K60" i="206" s="1"/>
  <c r="F19" i="206"/>
  <c r="F29" i="206" s="1"/>
  <c r="Q335" i="199"/>
  <c r="Q335" i="207"/>
  <c r="Q409" i="207"/>
  <c r="Q409" i="199"/>
  <c r="E40" i="203" l="1"/>
  <c r="D40" i="203"/>
  <c r="O123" i="206" l="1"/>
  <c r="O123" i="198"/>
  <c r="Q193" i="207"/>
  <c r="Q193" i="199"/>
  <c r="O19" i="198"/>
  <c r="O19" i="206" l="1"/>
  <c r="Q562" i="207" l="1"/>
  <c r="Q562" i="199"/>
  <c r="Q541" i="207"/>
  <c r="Q541" i="199"/>
  <c r="Q527" i="199"/>
  <c r="Q527" i="207"/>
  <c r="L509" i="207"/>
  <c r="I509" i="207"/>
  <c r="L505" i="207"/>
  <c r="L503" i="207"/>
  <c r="L501" i="207"/>
  <c r="I501" i="207"/>
  <c r="L500" i="207"/>
  <c r="I500" i="207"/>
  <c r="L499" i="207"/>
  <c r="I499" i="207"/>
  <c r="L494" i="207"/>
  <c r="I494" i="207"/>
  <c r="N493" i="207"/>
  <c r="I493" i="207"/>
  <c r="I492" i="207"/>
  <c r="H492" i="207"/>
  <c r="G492" i="207"/>
  <c r="M489" i="207"/>
  <c r="L489" i="207"/>
  <c r="I489" i="207"/>
  <c r="H489" i="207"/>
  <c r="G489" i="207"/>
  <c r="L488" i="207"/>
  <c r="I488" i="207"/>
  <c r="H488" i="207"/>
  <c r="G488" i="207"/>
  <c r="L487" i="207"/>
  <c r="I487" i="207"/>
  <c r="H487" i="207"/>
  <c r="G487" i="207"/>
  <c r="L486" i="207"/>
  <c r="I486" i="207"/>
  <c r="N485" i="207"/>
  <c r="I484" i="207"/>
  <c r="H484" i="207"/>
  <c r="G484" i="207"/>
  <c r="H483" i="207"/>
  <c r="I482" i="207"/>
  <c r="I481" i="207"/>
  <c r="I480" i="207"/>
  <c r="I479" i="207"/>
  <c r="L464" i="207"/>
  <c r="L461" i="207"/>
  <c r="I459" i="207"/>
  <c r="I442" i="207"/>
  <c r="L438" i="207"/>
  <c r="M431" i="207"/>
  <c r="L429" i="207"/>
  <c r="M427" i="207"/>
  <c r="L426" i="207"/>
  <c r="L415" i="207"/>
  <c r="L413" i="207"/>
  <c r="L411" i="207"/>
  <c r="L407" i="207"/>
  <c r="I407" i="207"/>
  <c r="I405" i="207"/>
  <c r="M403" i="207"/>
  <c r="M402" i="207"/>
  <c r="K401" i="207"/>
  <c r="L400" i="207"/>
  <c r="I400" i="207"/>
  <c r="I397" i="207"/>
  <c r="Q468" i="199"/>
  <c r="Q115" i="199"/>
  <c r="Q115" i="207"/>
  <c r="Q468" i="207" l="1"/>
  <c r="N134" i="206" l="1"/>
  <c r="K132" i="206"/>
  <c r="H128" i="206"/>
  <c r="H126" i="206"/>
  <c r="H122" i="206"/>
  <c r="H121" i="206"/>
  <c r="H120" i="206"/>
  <c r="H119" i="206"/>
  <c r="H118" i="206"/>
  <c r="H117" i="206"/>
  <c r="H114" i="206"/>
  <c r="H112" i="206"/>
  <c r="H111" i="206"/>
  <c r="H108" i="206"/>
  <c r="I105" i="206"/>
  <c r="H68" i="206"/>
  <c r="O175" i="198"/>
  <c r="O157" i="206"/>
  <c r="O157" i="198"/>
  <c r="H90" i="206"/>
  <c r="O79" i="198"/>
  <c r="O52" i="198"/>
  <c r="O46" i="206"/>
  <c r="O45" i="198"/>
  <c r="O46" i="198"/>
  <c r="Q649" i="207"/>
  <c r="Q648" i="207"/>
  <c r="Q647" i="207"/>
  <c r="Q644" i="207"/>
  <c r="K642" i="207"/>
  <c r="Q642" i="207" s="1"/>
  <c r="Q641" i="207"/>
  <c r="Q640" i="207"/>
  <c r="Q639" i="207"/>
  <c r="Q638" i="207"/>
  <c r="K636" i="207"/>
  <c r="Q636" i="207" s="1"/>
  <c r="I633" i="207"/>
  <c r="Q633" i="207" s="1"/>
  <c r="L628" i="207"/>
  <c r="Q628" i="207" s="1"/>
  <c r="K625" i="207"/>
  <c r="Q625" i="207" s="1"/>
  <c r="Q624" i="207"/>
  <c r="K623" i="207"/>
  <c r="Q623" i="207" s="1"/>
  <c r="Q622" i="207"/>
  <c r="Q620" i="207"/>
  <c r="Q618" i="207"/>
  <c r="Q617" i="207"/>
  <c r="K614" i="207"/>
  <c r="Q614" i="207" s="1"/>
  <c r="K613" i="207"/>
  <c r="Q613" i="207" s="1"/>
  <c r="K611" i="207"/>
  <c r="Q611" i="207" s="1"/>
  <c r="I608" i="207"/>
  <c r="I606" i="207"/>
  <c r="K605" i="207"/>
  <c r="Q605" i="207" s="1"/>
  <c r="K603" i="207"/>
  <c r="Q603" i="207" s="1"/>
  <c r="K602" i="207"/>
  <c r="Q602" i="207" s="1"/>
  <c r="K601" i="207"/>
  <c r="H601" i="207"/>
  <c r="G601" i="207"/>
  <c r="I600" i="207"/>
  <c r="H600" i="207"/>
  <c r="G600" i="207"/>
  <c r="Q599" i="207"/>
  <c r="K598" i="207"/>
  <c r="Q598" i="207" s="1"/>
  <c r="H597" i="207"/>
  <c r="J626" i="207"/>
  <c r="I596" i="207"/>
  <c r="Q596" i="207" s="1"/>
  <c r="I595" i="207"/>
  <c r="Q595" i="207" s="1"/>
  <c r="K594" i="207"/>
  <c r="Q594" i="207" s="1"/>
  <c r="H593" i="207"/>
  <c r="G593" i="207"/>
  <c r="H592" i="207"/>
  <c r="G592" i="207"/>
  <c r="K585" i="207"/>
  <c r="Q585" i="207" s="1"/>
  <c r="P579" i="207"/>
  <c r="Q579" i="207" s="1"/>
  <c r="O578" i="207"/>
  <c r="O586" i="207" s="1"/>
  <c r="I578" i="207"/>
  <c r="M586" i="207"/>
  <c r="I576" i="207"/>
  <c r="Q576" i="207" s="1"/>
  <c r="J586" i="207"/>
  <c r="K572" i="207"/>
  <c r="Q572" i="207" s="1"/>
  <c r="K571" i="207"/>
  <c r="I569" i="207"/>
  <c r="Q569" i="207" s="1"/>
  <c r="N567" i="207"/>
  <c r="N586" i="207" s="1"/>
  <c r="L586" i="207"/>
  <c r="I567" i="207"/>
  <c r="I566" i="207"/>
  <c r="Q566" i="207" s="1"/>
  <c r="I564" i="207"/>
  <c r="Q564" i="207" s="1"/>
  <c r="K561" i="207"/>
  <c r="P560" i="207"/>
  <c r="Q565" i="207"/>
  <c r="K559" i="207"/>
  <c r="Q559" i="207" s="1"/>
  <c r="I550" i="207"/>
  <c r="Q550" i="207" s="1"/>
  <c r="I549" i="207"/>
  <c r="Q549" i="207" s="1"/>
  <c r="I548" i="207"/>
  <c r="Q548" i="207" s="1"/>
  <c r="Q546" i="207"/>
  <c r="K544" i="207"/>
  <c r="Q544" i="207" s="1"/>
  <c r="K543" i="207"/>
  <c r="Q543" i="207" s="1"/>
  <c r="K542" i="207"/>
  <c r="Q542" i="207" s="1"/>
  <c r="I538" i="207"/>
  <c r="Q538" i="207" s="1"/>
  <c r="Q537" i="207"/>
  <c r="I536" i="207"/>
  <c r="H551" i="207"/>
  <c r="H556" i="207" s="1"/>
  <c r="E11" i="63" s="1"/>
  <c r="G551" i="207"/>
  <c r="G556" i="207" s="1"/>
  <c r="D11" i="63" s="1"/>
  <c r="I534" i="207"/>
  <c r="Q534" i="207" s="1"/>
  <c r="I533" i="207"/>
  <c r="Q533" i="207" s="1"/>
  <c r="I532" i="207"/>
  <c r="Q532" i="207" s="1"/>
  <c r="I531" i="207"/>
  <c r="Q531" i="207" s="1"/>
  <c r="N526" i="207"/>
  <c r="Q523" i="207"/>
  <c r="I519" i="207"/>
  <c r="Q519" i="207" s="1"/>
  <c r="Q518" i="207"/>
  <c r="I517" i="207"/>
  <c r="Q517" i="207" s="1"/>
  <c r="I516" i="207"/>
  <c r="Q516" i="207" s="1"/>
  <c r="Q515" i="207"/>
  <c r="Q513" i="207"/>
  <c r="Q508" i="207"/>
  <c r="Q505" i="207"/>
  <c r="Q503" i="207"/>
  <c r="Q502" i="207"/>
  <c r="Q485" i="207"/>
  <c r="Q481" i="207"/>
  <c r="Q480" i="207"/>
  <c r="Q467" i="207"/>
  <c r="Q464" i="207"/>
  <c r="Q461" i="207"/>
  <c r="Q460" i="207"/>
  <c r="Q457" i="207"/>
  <c r="Q442" i="207"/>
  <c r="Q441" i="207"/>
  <c r="Q438" i="207"/>
  <c r="Q434" i="207"/>
  <c r="Q429" i="207"/>
  <c r="Q439" i="207"/>
  <c r="Q456" i="207"/>
  <c r="Q427" i="207"/>
  <c r="Q426" i="207"/>
  <c r="Q425" i="207"/>
  <c r="Q424" i="207"/>
  <c r="Q423" i="207"/>
  <c r="Q416" i="207"/>
  <c r="Q415" i="207"/>
  <c r="Q414" i="207"/>
  <c r="Q413" i="207"/>
  <c r="Q412" i="207"/>
  <c r="Q411" i="207"/>
  <c r="Q403" i="207"/>
  <c r="Q402" i="207"/>
  <c r="Q398" i="207"/>
  <c r="I393" i="207"/>
  <c r="Q393" i="207" s="1"/>
  <c r="Q391" i="207"/>
  <c r="I389" i="207"/>
  <c r="Q389" i="207" s="1"/>
  <c r="I388" i="207"/>
  <c r="H388" i="207"/>
  <c r="M387" i="207"/>
  <c r="Q381" i="207"/>
  <c r="M377" i="207"/>
  <c r="Q376" i="207"/>
  <c r="Q374" i="207"/>
  <c r="L371" i="207"/>
  <c r="Q371" i="207" s="1"/>
  <c r="Q370" i="207"/>
  <c r="L369" i="207"/>
  <c r="Q369" i="207" s="1"/>
  <c r="Q368" i="207"/>
  <c r="Q362" i="207"/>
  <c r="Q361" i="207"/>
  <c r="I360" i="207"/>
  <c r="M359" i="207"/>
  <c r="M358" i="207"/>
  <c r="Q358" i="207" s="1"/>
  <c r="Q357" i="207"/>
  <c r="M356" i="207"/>
  <c r="Q356" i="207" s="1"/>
  <c r="Q355" i="207"/>
  <c r="L354" i="207"/>
  <c r="Q354" i="207" s="1"/>
  <c r="Q353" i="207"/>
  <c r="M352" i="207"/>
  <c r="Q352" i="207" s="1"/>
  <c r="M351" i="207"/>
  <c r="Q351" i="207" s="1"/>
  <c r="L334" i="207"/>
  <c r="Q334" i="207" s="1"/>
  <c r="Q332" i="207"/>
  <c r="Q331" i="207"/>
  <c r="Q329" i="207"/>
  <c r="Q328" i="207"/>
  <c r="Q325" i="207"/>
  <c r="M324" i="207"/>
  <c r="Q324" i="207" s="1"/>
  <c r="K293" i="207"/>
  <c r="Q293" i="207" s="1"/>
  <c r="Q319" i="207"/>
  <c r="Q317" i="207"/>
  <c r="I315" i="207"/>
  <c r="Q315" i="207" s="1"/>
  <c r="I313" i="207"/>
  <c r="Q313" i="207" s="1"/>
  <c r="K312" i="207"/>
  <c r="I312" i="207"/>
  <c r="H312" i="207"/>
  <c r="H320" i="207" s="1"/>
  <c r="H382" i="207" s="1"/>
  <c r="E8" i="63" s="1"/>
  <c r="G312" i="207"/>
  <c r="G320" i="207" s="1"/>
  <c r="G382" i="207" s="1"/>
  <c r="D8" i="63" s="1"/>
  <c r="I310" i="207"/>
  <c r="Q310" i="207" s="1"/>
  <c r="Q309" i="207"/>
  <c r="I308" i="207"/>
  <c r="Q308" i="207" s="1"/>
  <c r="I307" i="207"/>
  <c r="Q307" i="207" s="1"/>
  <c r="I306" i="207"/>
  <c r="Q306" i="207" s="1"/>
  <c r="Q305" i="207"/>
  <c r="I301" i="207"/>
  <c r="Q301" i="207" s="1"/>
  <c r="I300" i="207"/>
  <c r="Q300" i="207" s="1"/>
  <c r="Q298" i="207"/>
  <c r="I296" i="207"/>
  <c r="Q296" i="207" s="1"/>
  <c r="I295" i="207"/>
  <c r="Q295" i="207" s="1"/>
  <c r="Q294" i="207"/>
  <c r="J320" i="207"/>
  <c r="J382" i="207" s="1"/>
  <c r="G8" i="63" s="1"/>
  <c r="I292" i="207"/>
  <c r="Q292" i="207" s="1"/>
  <c r="I291" i="207"/>
  <c r="Q291" i="207" s="1"/>
  <c r="I289" i="207"/>
  <c r="Q289" i="207" s="1"/>
  <c r="L288" i="207"/>
  <c r="Q287" i="207"/>
  <c r="Q286" i="207"/>
  <c r="K285" i="207"/>
  <c r="Q282" i="207"/>
  <c r="Q281" i="207"/>
  <c r="K279" i="207"/>
  <c r="Q279" i="207" s="1"/>
  <c r="I278" i="207"/>
  <c r="Q278" i="207" s="1"/>
  <c r="XFC278" i="207" s="1"/>
  <c r="I277" i="207"/>
  <c r="Q277" i="207" s="1"/>
  <c r="XFC277" i="207" s="1"/>
  <c r="Q276" i="207"/>
  <c r="XFC276" i="207" s="1"/>
  <c r="I275" i="207"/>
  <c r="Q275" i="207" s="1"/>
  <c r="XFC275" i="207" s="1"/>
  <c r="I274" i="207"/>
  <c r="Q274" i="207" s="1"/>
  <c r="XFC274" i="207" s="1"/>
  <c r="I273" i="207"/>
  <c r="Q273" i="207" s="1"/>
  <c r="I272" i="207"/>
  <c r="Q272" i="207" s="1"/>
  <c r="XFC272" i="207" s="1"/>
  <c r="I271" i="207"/>
  <c r="Q271" i="207" s="1"/>
  <c r="XFC271" i="207" s="1"/>
  <c r="I270" i="207"/>
  <c r="Q270" i="207" s="1"/>
  <c r="I269" i="207"/>
  <c r="Q269" i="207" s="1"/>
  <c r="XFC269" i="207" s="1"/>
  <c r="I268" i="207"/>
  <c r="Q268" i="207" s="1"/>
  <c r="XFC268" i="207" s="1"/>
  <c r="I267" i="207"/>
  <c r="Q267" i="207" s="1"/>
  <c r="Q284" i="207"/>
  <c r="I265" i="207"/>
  <c r="Q265" i="207" s="1"/>
  <c r="XFC265" i="207" s="1"/>
  <c r="I264" i="207"/>
  <c r="Q264" i="207" s="1"/>
  <c r="XFC264" i="207" s="1"/>
  <c r="I263" i="207"/>
  <c r="Q263" i="207" s="1"/>
  <c r="XFC263" i="207" s="1"/>
  <c r="Q260" i="207"/>
  <c r="XFC260" i="207" s="1"/>
  <c r="Q256" i="207"/>
  <c r="XFC256" i="207" s="1"/>
  <c r="Q255" i="207"/>
  <c r="XFC255" i="207" s="1"/>
  <c r="Q253" i="207"/>
  <c r="XFC253" i="207" s="1"/>
  <c r="I252" i="207"/>
  <c r="Q252" i="207" s="1"/>
  <c r="XFC252" i="207" s="1"/>
  <c r="I251" i="207"/>
  <c r="Q251" i="207" s="1"/>
  <c r="Q250" i="207"/>
  <c r="XFC250" i="207" s="1"/>
  <c r="Q249" i="207"/>
  <c r="XFC249" i="207" s="1"/>
  <c r="Q248" i="207"/>
  <c r="I247" i="207"/>
  <c r="Q247" i="207" s="1"/>
  <c r="Q246" i="207"/>
  <c r="I244" i="207"/>
  <c r="Q244" i="207" s="1"/>
  <c r="I243" i="207"/>
  <c r="Q243" i="207" s="1"/>
  <c r="Q242" i="207"/>
  <c r="I241" i="207"/>
  <c r="Q241" i="207" s="1"/>
  <c r="I240" i="207"/>
  <c r="Q240" i="207" s="1"/>
  <c r="I239" i="207"/>
  <c r="Q239" i="207" s="1"/>
  <c r="Q238" i="207"/>
  <c r="I237" i="207"/>
  <c r="Q237" i="207" s="1"/>
  <c r="I236" i="207"/>
  <c r="Q236" i="207" s="1"/>
  <c r="I234" i="207"/>
  <c r="Q234" i="207" s="1"/>
  <c r="Q233" i="207"/>
  <c r="I232" i="207"/>
  <c r="Q232" i="207" s="1"/>
  <c r="Q231" i="207"/>
  <c r="Q230" i="207"/>
  <c r="I229" i="207"/>
  <c r="Q229" i="207" s="1"/>
  <c r="Q228" i="207"/>
  <c r="Q235" i="207"/>
  <c r="N223" i="207"/>
  <c r="Q223" i="207" s="1"/>
  <c r="L222" i="207"/>
  <c r="Q222" i="207" s="1"/>
  <c r="I218" i="207"/>
  <c r="Q218" i="207" s="1"/>
  <c r="I217" i="207"/>
  <c r="Q217" i="207" s="1"/>
  <c r="I216" i="207"/>
  <c r="Q216" i="207" s="1"/>
  <c r="I215" i="207"/>
  <c r="Q215" i="207" s="1"/>
  <c r="Q197" i="207"/>
  <c r="N211" i="207"/>
  <c r="Q211" i="207" s="1"/>
  <c r="Q210" i="207"/>
  <c r="I209" i="207"/>
  <c r="M209" i="207"/>
  <c r="Q208" i="207"/>
  <c r="M207" i="207"/>
  <c r="Q207" i="207" s="1"/>
  <c r="L202" i="207"/>
  <c r="Q202" i="207" s="1"/>
  <c r="Q201" i="207"/>
  <c r="M196" i="207"/>
  <c r="Q196" i="207" s="1"/>
  <c r="Q191" i="207"/>
  <c r="Q190" i="207"/>
  <c r="M189" i="207"/>
  <c r="Q189" i="207" s="1"/>
  <c r="Q188" i="207"/>
  <c r="Q184" i="207"/>
  <c r="K183" i="207"/>
  <c r="Q183" i="207" s="1"/>
  <c r="K182" i="207"/>
  <c r="Q182" i="207" s="1"/>
  <c r="K181" i="207"/>
  <c r="I181" i="207"/>
  <c r="K178" i="207"/>
  <c r="I178" i="207"/>
  <c r="H178" i="207"/>
  <c r="G178" i="207"/>
  <c r="K176" i="207"/>
  <c r="Q176" i="207" s="1"/>
  <c r="K175" i="207"/>
  <c r="Q175" i="207" s="1"/>
  <c r="K174" i="207"/>
  <c r="Q174" i="207" s="1"/>
  <c r="K173" i="207"/>
  <c r="Q173" i="207" s="1"/>
  <c r="K172" i="207"/>
  <c r="Q172" i="207" s="1"/>
  <c r="K171" i="207"/>
  <c r="Q171" i="207" s="1"/>
  <c r="K170" i="207"/>
  <c r="Q170" i="207" s="1"/>
  <c r="K169" i="207"/>
  <c r="Q169" i="207" s="1"/>
  <c r="K167" i="207"/>
  <c r="Q167" i="207" s="1"/>
  <c r="K165" i="207"/>
  <c r="Q165" i="207" s="1"/>
  <c r="K166" i="207"/>
  <c r="Q166" i="207" s="1"/>
  <c r="K168" i="207"/>
  <c r="Q168" i="207" s="1"/>
  <c r="K177" i="207"/>
  <c r="Q177" i="207" s="1"/>
  <c r="K179" i="207"/>
  <c r="Q179" i="207" s="1"/>
  <c r="Q164" i="207"/>
  <c r="Q163" i="207"/>
  <c r="Q162" i="207"/>
  <c r="K161" i="207"/>
  <c r="Q161" i="207" s="1"/>
  <c r="Q160" i="207"/>
  <c r="K159" i="207"/>
  <c r="Q159" i="207" s="1"/>
  <c r="Q158" i="207"/>
  <c r="K157" i="207"/>
  <c r="Q157" i="207" s="1"/>
  <c r="K155" i="207"/>
  <c r="Q155" i="207" s="1"/>
  <c r="K154" i="207"/>
  <c r="Q154" i="207" s="1"/>
  <c r="H153" i="207"/>
  <c r="G153" i="207"/>
  <c r="K152" i="207"/>
  <c r="Q152" i="207" s="1"/>
  <c r="K151" i="207"/>
  <c r="Q151" i="207" s="1"/>
  <c r="K150" i="207"/>
  <c r="Q150" i="207" s="1"/>
  <c r="K149" i="207"/>
  <c r="Q149" i="207" s="1"/>
  <c r="K148" i="207"/>
  <c r="Q148" i="207" s="1"/>
  <c r="K147" i="207"/>
  <c r="Q147" i="207" s="1"/>
  <c r="K146" i="207"/>
  <c r="Q146" i="207" s="1"/>
  <c r="Q144" i="207"/>
  <c r="K143" i="207"/>
  <c r="Q143" i="207" s="1"/>
  <c r="K142" i="207"/>
  <c r="I142" i="207"/>
  <c r="H142" i="207"/>
  <c r="G142" i="207"/>
  <c r="H141" i="207"/>
  <c r="K139" i="207"/>
  <c r="Q139" i="207" s="1"/>
  <c r="Q138" i="207"/>
  <c r="K137" i="207"/>
  <c r="Q137" i="207" s="1"/>
  <c r="Q134" i="207"/>
  <c r="K133" i="207"/>
  <c r="Q133" i="207" s="1"/>
  <c r="Q131" i="207"/>
  <c r="Q129" i="207"/>
  <c r="I128" i="207"/>
  <c r="K127" i="207"/>
  <c r="I127" i="207"/>
  <c r="H127" i="207"/>
  <c r="G127" i="207"/>
  <c r="K125" i="207"/>
  <c r="Q125" i="207" s="1"/>
  <c r="K124" i="207"/>
  <c r="Q124" i="207" s="1"/>
  <c r="H122" i="207"/>
  <c r="G122" i="207"/>
  <c r="Q120" i="207"/>
  <c r="K119" i="207"/>
  <c r="Q119" i="207" s="1"/>
  <c r="I118" i="207"/>
  <c r="Q118" i="207" s="1"/>
  <c r="Q114" i="207"/>
  <c r="Q113" i="207"/>
  <c r="J111" i="207"/>
  <c r="Q111" i="207" s="1"/>
  <c r="K109" i="207"/>
  <c r="Q109" i="207" s="1"/>
  <c r="K108" i="207"/>
  <c r="Q108" i="207" s="1"/>
  <c r="K107" i="207"/>
  <c r="Q107" i="207" s="1"/>
  <c r="K106" i="207"/>
  <c r="Q106" i="207" s="1"/>
  <c r="K105" i="207"/>
  <c r="Q105" i="207" s="1"/>
  <c r="K104" i="207"/>
  <c r="Q104" i="207" s="1"/>
  <c r="K103" i="207"/>
  <c r="Q103" i="207" s="1"/>
  <c r="Q156" i="207"/>
  <c r="K99" i="207"/>
  <c r="Q99" i="207" s="1"/>
  <c r="K98" i="207"/>
  <c r="Q98" i="207" s="1"/>
  <c r="K97" i="207"/>
  <c r="Q97" i="207" s="1"/>
  <c r="K96" i="207"/>
  <c r="Q96" i="207" s="1"/>
  <c r="K95" i="207"/>
  <c r="Q95" i="207" s="1"/>
  <c r="K94" i="207"/>
  <c r="Q94" i="207" s="1"/>
  <c r="K93" i="207"/>
  <c r="Q93" i="207" s="1"/>
  <c r="K92" i="207"/>
  <c r="Q92" i="207" s="1"/>
  <c r="K91" i="207"/>
  <c r="Q91" i="207" s="1"/>
  <c r="K90" i="207"/>
  <c r="Q90" i="207" s="1"/>
  <c r="K89" i="207"/>
  <c r="Q89" i="207" s="1"/>
  <c r="K88" i="207"/>
  <c r="Q88" i="207" s="1"/>
  <c r="I87" i="207"/>
  <c r="Q87" i="207" s="1"/>
  <c r="K86" i="207"/>
  <c r="Q86" i="207" s="1"/>
  <c r="Q85" i="207"/>
  <c r="K84" i="207"/>
  <c r="Q84" i="207" s="1"/>
  <c r="K83" i="207"/>
  <c r="Q83" i="207" s="1"/>
  <c r="Q82" i="207"/>
  <c r="K81" i="207"/>
  <c r="Q81" i="207" s="1"/>
  <c r="K80" i="207"/>
  <c r="Q80" i="207" s="1"/>
  <c r="K79" i="207"/>
  <c r="Q79" i="207" s="1"/>
  <c r="K78" i="207"/>
  <c r="Q78" i="207" s="1"/>
  <c r="Q77" i="207"/>
  <c r="K76" i="207"/>
  <c r="Q76" i="207" s="1"/>
  <c r="K75" i="207"/>
  <c r="Q75" i="207" s="1"/>
  <c r="K74" i="207"/>
  <c r="Q74" i="207" s="1"/>
  <c r="K73" i="207"/>
  <c r="Q73" i="207" s="1"/>
  <c r="K72" i="207"/>
  <c r="I72" i="207"/>
  <c r="H72" i="207"/>
  <c r="G72" i="207"/>
  <c r="I70" i="207"/>
  <c r="H70" i="207"/>
  <c r="G70" i="207"/>
  <c r="K68" i="207"/>
  <c r="J68" i="207"/>
  <c r="K66" i="207"/>
  <c r="Q66" i="207" s="1"/>
  <c r="I65" i="207"/>
  <c r="H65" i="207"/>
  <c r="G65" i="207"/>
  <c r="K64" i="207"/>
  <c r="Q64" i="207" s="1"/>
  <c r="Q63" i="207"/>
  <c r="K58" i="207"/>
  <c r="Q58" i="207" s="1"/>
  <c r="Q57" i="207"/>
  <c r="K56" i="207"/>
  <c r="Q56" i="207" s="1"/>
  <c r="I55" i="207"/>
  <c r="H55" i="207"/>
  <c r="G55" i="207"/>
  <c r="K53" i="207"/>
  <c r="Q53" i="207" s="1"/>
  <c r="K52" i="207"/>
  <c r="Q52" i="207" s="1"/>
  <c r="Q47" i="207"/>
  <c r="Q46" i="207"/>
  <c r="Q44" i="207"/>
  <c r="J20" i="207"/>
  <c r="Q20" i="207" s="1"/>
  <c r="K41" i="207"/>
  <c r="Q41" i="207" s="1"/>
  <c r="K39" i="207"/>
  <c r="I39" i="207"/>
  <c r="H39" i="207"/>
  <c r="G39" i="207"/>
  <c r="G42" i="207" s="1"/>
  <c r="G48" i="207" s="1"/>
  <c r="D5" i="63" s="1"/>
  <c r="I37" i="207"/>
  <c r="I36" i="207"/>
  <c r="Q36" i="207" s="1"/>
  <c r="I35" i="207"/>
  <c r="H35" i="207"/>
  <c r="Q34" i="207"/>
  <c r="Q32" i="207"/>
  <c r="I30" i="207"/>
  <c r="Q30" i="207" s="1"/>
  <c r="Q28" i="207"/>
  <c r="K26" i="207"/>
  <c r="J26" i="207"/>
  <c r="I26" i="207"/>
  <c r="J24" i="207"/>
  <c r="Q24" i="207" s="1"/>
  <c r="Q22" i="207"/>
  <c r="Q18" i="207"/>
  <c r="J17" i="207"/>
  <c r="Q17" i="207" s="1"/>
  <c r="J16" i="207"/>
  <c r="Q15" i="207"/>
  <c r="J14" i="207"/>
  <c r="Q14" i="207" s="1"/>
  <c r="Q12" i="207"/>
  <c r="Q11" i="207"/>
  <c r="Q10" i="207"/>
  <c r="J9" i="207"/>
  <c r="Q9" i="207" s="1"/>
  <c r="Q25" i="207"/>
  <c r="J7" i="207"/>
  <c r="Q7" i="207" s="1"/>
  <c r="P650" i="207"/>
  <c r="M14" i="63" s="1"/>
  <c r="O650" i="207"/>
  <c r="L14" i="63" s="1"/>
  <c r="N650" i="207"/>
  <c r="K14" i="63" s="1"/>
  <c r="J650" i="207"/>
  <c r="G14" i="63" s="1"/>
  <c r="I650" i="207"/>
  <c r="F14" i="63" s="1"/>
  <c r="H650" i="207"/>
  <c r="E14" i="63" s="1"/>
  <c r="G650" i="207"/>
  <c r="D14" i="63" s="1"/>
  <c r="Q643" i="207"/>
  <c r="P626" i="207"/>
  <c r="P634" i="207" s="1"/>
  <c r="M13" i="63" s="1"/>
  <c r="O626" i="207"/>
  <c r="O634" i="207" s="1"/>
  <c r="L13" i="63" s="1"/>
  <c r="N626" i="207"/>
  <c r="N634" i="207" s="1"/>
  <c r="K13" i="63" s="1"/>
  <c r="M626" i="207"/>
  <c r="M634" i="207" s="1"/>
  <c r="J13" i="63" s="1"/>
  <c r="L626" i="207"/>
  <c r="H586" i="207"/>
  <c r="G586" i="207"/>
  <c r="P551" i="207"/>
  <c r="P556" i="207" s="1"/>
  <c r="M11" i="63" s="1"/>
  <c r="O551" i="207"/>
  <c r="O556" i="207" s="1"/>
  <c r="L11" i="63" s="1"/>
  <c r="N551" i="207"/>
  <c r="N556" i="207" s="1"/>
  <c r="K11" i="63" s="1"/>
  <c r="M551" i="207"/>
  <c r="L551" i="207"/>
  <c r="J551" i="207"/>
  <c r="J556" i="207" s="1"/>
  <c r="G11" i="63" s="1"/>
  <c r="P524" i="207"/>
  <c r="O524" i="207"/>
  <c r="N524" i="207"/>
  <c r="M524" i="207"/>
  <c r="L524" i="207"/>
  <c r="K524" i="207"/>
  <c r="J524" i="207"/>
  <c r="H524" i="207"/>
  <c r="G524" i="207"/>
  <c r="Q514" i="207"/>
  <c r="Q482" i="207"/>
  <c r="Q479" i="207"/>
  <c r="Q463" i="207"/>
  <c r="Q458" i="207"/>
  <c r="Q440" i="207"/>
  <c r="Q437" i="207"/>
  <c r="Q433" i="207"/>
  <c r="Q432" i="207"/>
  <c r="Q406" i="207"/>
  <c r="Q404" i="207"/>
  <c r="P394" i="207"/>
  <c r="P510" i="207" s="1"/>
  <c r="M9" i="63" s="1"/>
  <c r="O394" i="207"/>
  <c r="O510" i="207" s="1"/>
  <c r="L9" i="63" s="1"/>
  <c r="N394" i="207"/>
  <c r="L394" i="207"/>
  <c r="J394" i="207"/>
  <c r="G394" i="207"/>
  <c r="Q385" i="207"/>
  <c r="P320" i="207"/>
  <c r="P382" i="207" s="1"/>
  <c r="M8" i="63" s="1"/>
  <c r="O320" i="207"/>
  <c r="O382" i="207" s="1"/>
  <c r="L8" i="63" s="1"/>
  <c r="N320" i="207"/>
  <c r="N382" i="207" s="1"/>
  <c r="K8" i="63" s="1"/>
  <c r="M320" i="207"/>
  <c r="Q290" i="207"/>
  <c r="XFC262" i="207"/>
  <c r="XFC259" i="207"/>
  <c r="P219" i="207"/>
  <c r="P224" i="207" s="1"/>
  <c r="M7" i="63" s="1"/>
  <c r="O219" i="207"/>
  <c r="O224" i="207" s="1"/>
  <c r="L7" i="63" s="1"/>
  <c r="N219" i="207"/>
  <c r="M219" i="207"/>
  <c r="M224" i="207" s="1"/>
  <c r="J7" i="63" s="1"/>
  <c r="L219" i="207"/>
  <c r="K219" i="207"/>
  <c r="K224" i="207" s="1"/>
  <c r="H7" i="63" s="1"/>
  <c r="J219" i="207"/>
  <c r="J224" i="207" s="1"/>
  <c r="G7" i="63" s="1"/>
  <c r="H219" i="207"/>
  <c r="H224" i="207" s="1"/>
  <c r="E7" i="63" s="1"/>
  <c r="G219" i="207"/>
  <c r="G224" i="207" s="1"/>
  <c r="D7" i="63" s="1"/>
  <c r="P185" i="207"/>
  <c r="P212" i="207" s="1"/>
  <c r="M6" i="63" s="1"/>
  <c r="O185" i="207"/>
  <c r="O212" i="207" s="1"/>
  <c r="L6" i="63" s="1"/>
  <c r="N185" i="207"/>
  <c r="M185" i="207"/>
  <c r="L185" i="207"/>
  <c r="P42" i="207"/>
  <c r="P48" i="207" s="1"/>
  <c r="M5" i="63" s="1"/>
  <c r="O42" i="207"/>
  <c r="O48" i="207" s="1"/>
  <c r="L5" i="63" s="1"/>
  <c r="N42" i="207"/>
  <c r="M42" i="207"/>
  <c r="M48" i="207" s="1"/>
  <c r="J5" i="63" s="1"/>
  <c r="L42" i="207"/>
  <c r="L48" i="207" s="1"/>
  <c r="I5" i="63" s="1"/>
  <c r="Q632" i="199"/>
  <c r="Q633" i="199"/>
  <c r="Q628" i="199"/>
  <c r="Q492" i="199"/>
  <c r="Q467" i="199"/>
  <c r="Q407" i="199"/>
  <c r="Q334" i="199"/>
  <c r="Q329" i="199"/>
  <c r="Q295" i="199"/>
  <c r="Q278" i="199"/>
  <c r="Q279" i="199"/>
  <c r="Q276" i="199"/>
  <c r="Q254" i="199"/>
  <c r="Q255" i="199"/>
  <c r="Q244" i="199"/>
  <c r="Q312" i="199"/>
  <c r="Q313" i="199"/>
  <c r="Q315" i="199"/>
  <c r="Q200" i="199"/>
  <c r="Q201" i="199"/>
  <c r="Q202" i="199"/>
  <c r="Q188" i="199"/>
  <c r="Q120" i="199"/>
  <c r="Q122" i="199"/>
  <c r="Q109" i="199"/>
  <c r="Q111" i="199"/>
  <c r="Q99" i="199"/>
  <c r="Q134" i="199"/>
  <c r="Q139" i="199"/>
  <c r="Q144" i="199"/>
  <c r="Q154" i="199"/>
  <c r="Q178" i="199"/>
  <c r="Q58" i="199"/>
  <c r="M21" i="139"/>
  <c r="L20" i="139"/>
  <c r="H20" i="139"/>
  <c r="G20" i="139"/>
  <c r="L19" i="139"/>
  <c r="O18" i="139"/>
  <c r="O17" i="139"/>
  <c r="M15" i="139"/>
  <c r="K15" i="139"/>
  <c r="L12" i="139"/>
  <c r="K8" i="139"/>
  <c r="O20" i="138"/>
  <c r="N20" i="138"/>
  <c r="J20" i="138"/>
  <c r="P18" i="138"/>
  <c r="O18" i="138"/>
  <c r="P17" i="138"/>
  <c r="J16" i="138"/>
  <c r="J14" i="138"/>
  <c r="K13" i="138"/>
  <c r="J13" i="138"/>
  <c r="J10" i="138"/>
  <c r="J8" i="138"/>
  <c r="J5" i="138"/>
  <c r="I4" i="138"/>
  <c r="H589" i="207" l="1"/>
  <c r="E12" i="63" s="1"/>
  <c r="J589" i="207"/>
  <c r="G12" i="63" s="1"/>
  <c r="L589" i="207"/>
  <c r="I12" i="63" s="1"/>
  <c r="N589" i="207"/>
  <c r="K12" i="63" s="1"/>
  <c r="M589" i="207"/>
  <c r="J12" i="63" s="1"/>
  <c r="O589" i="207"/>
  <c r="L12" i="63" s="1"/>
  <c r="G589" i="207"/>
  <c r="D12" i="63" s="1"/>
  <c r="Q254" i="207"/>
  <c r="XFC254" i="207" s="1"/>
  <c r="K528" i="207"/>
  <c r="H10" i="63" s="1"/>
  <c r="O528" i="207"/>
  <c r="L10" i="63" s="1"/>
  <c r="G528" i="207"/>
  <c r="D10" i="63" s="1"/>
  <c r="L528" i="207"/>
  <c r="I10" i="63" s="1"/>
  <c r="P528" i="207"/>
  <c r="M10" i="63" s="1"/>
  <c r="H528" i="207"/>
  <c r="E10" i="63" s="1"/>
  <c r="J528" i="207"/>
  <c r="G10" i="63" s="1"/>
  <c r="Q526" i="207"/>
  <c r="N528" i="207"/>
  <c r="K10" i="63" s="1"/>
  <c r="M528" i="207"/>
  <c r="J10" i="63" s="1"/>
  <c r="K650" i="207"/>
  <c r="H14" i="63" s="1"/>
  <c r="Q431" i="207"/>
  <c r="Q609" i="207"/>
  <c r="Q288" i="207"/>
  <c r="Q592" i="207"/>
  <c r="Q509" i="207"/>
  <c r="Q122" i="207"/>
  <c r="Q492" i="207"/>
  <c r="Q493" i="207"/>
  <c r="P586" i="207"/>
  <c r="Q386" i="207"/>
  <c r="Q388" i="207"/>
  <c r="O175" i="206"/>
  <c r="O79" i="206"/>
  <c r="O52" i="206"/>
  <c r="H42" i="207"/>
  <c r="H48" i="207" s="1"/>
  <c r="E5" i="63" s="1"/>
  <c r="Q501" i="207"/>
  <c r="L556" i="207"/>
  <c r="I11" i="63" s="1"/>
  <c r="Q560" i="207"/>
  <c r="L650" i="207"/>
  <c r="I14" i="63" s="1"/>
  <c r="M650" i="207"/>
  <c r="J14" i="63" s="1"/>
  <c r="J634" i="207"/>
  <c r="G13" i="63" s="1"/>
  <c r="L634" i="207"/>
  <c r="I13" i="63" s="1"/>
  <c r="Q616" i="207"/>
  <c r="Q610" i="207"/>
  <c r="Q608" i="207"/>
  <c r="Q606" i="207"/>
  <c r="Q601" i="207"/>
  <c r="H626" i="207"/>
  <c r="H634" i="207" s="1"/>
  <c r="E13" i="63" s="1"/>
  <c r="Q600" i="207"/>
  <c r="G626" i="207"/>
  <c r="G634" i="207" s="1"/>
  <c r="D13" i="63" s="1"/>
  <c r="Q597" i="207"/>
  <c r="Q593" i="207"/>
  <c r="K626" i="207"/>
  <c r="K634" i="207" s="1"/>
  <c r="H13" i="63" s="1"/>
  <c r="I626" i="207"/>
  <c r="I634" i="207" s="1"/>
  <c r="F13" i="63" s="1"/>
  <c r="Q578" i="207"/>
  <c r="Q574" i="207"/>
  <c r="K586" i="207"/>
  <c r="Q571" i="207"/>
  <c r="Q567" i="207"/>
  <c r="I586" i="207"/>
  <c r="Q561" i="207"/>
  <c r="Q555" i="207"/>
  <c r="M556" i="207"/>
  <c r="J11" i="63" s="1"/>
  <c r="I551" i="207"/>
  <c r="I556" i="207" s="1"/>
  <c r="F11" i="63" s="1"/>
  <c r="K551" i="207"/>
  <c r="K556" i="207" s="1"/>
  <c r="H11" i="63" s="1"/>
  <c r="Q540" i="207"/>
  <c r="Q536" i="207"/>
  <c r="I524" i="207"/>
  <c r="H394" i="207"/>
  <c r="H510" i="207" s="1"/>
  <c r="E9" i="63" s="1"/>
  <c r="Q650" i="207"/>
  <c r="Q401" i="207"/>
  <c r="Q462" i="207"/>
  <c r="Q486" i="207"/>
  <c r="Q500" i="207"/>
  <c r="Q35" i="207"/>
  <c r="Q524" i="207"/>
  <c r="Q61" i="207"/>
  <c r="Q178" i="207"/>
  <c r="I219" i="207"/>
  <c r="I224" i="207" s="1"/>
  <c r="F7" i="63" s="1"/>
  <c r="Q499" i="207"/>
  <c r="Q494" i="207"/>
  <c r="Q489" i="207"/>
  <c r="Q488" i="207"/>
  <c r="G510" i="207"/>
  <c r="D9" i="63" s="1"/>
  <c r="Q487" i="207"/>
  <c r="Q484" i="207"/>
  <c r="Q483" i="207"/>
  <c r="N510" i="207"/>
  <c r="K9" i="63" s="1"/>
  <c r="Q459" i="207"/>
  <c r="Q435" i="207"/>
  <c r="Q407" i="207"/>
  <c r="Q405" i="207"/>
  <c r="Q400" i="207"/>
  <c r="L510" i="207"/>
  <c r="I9" i="63" s="1"/>
  <c r="J510" i="207"/>
  <c r="G9" i="63" s="1"/>
  <c r="Q397" i="207"/>
  <c r="M394" i="207"/>
  <c r="M510" i="207" s="1"/>
  <c r="J9" i="63" s="1"/>
  <c r="Q387" i="207"/>
  <c r="K394" i="207"/>
  <c r="K510" i="207" s="1"/>
  <c r="H9" i="63" s="1"/>
  <c r="I394" i="207"/>
  <c r="I510" i="207" s="1"/>
  <c r="F9" i="63" s="1"/>
  <c r="Q377" i="207"/>
  <c r="Q360" i="207"/>
  <c r="Q359" i="207"/>
  <c r="M382" i="207"/>
  <c r="J8" i="63" s="1"/>
  <c r="Q312" i="207"/>
  <c r="Q303" i="207"/>
  <c r="L320" i="207"/>
  <c r="L382" i="207" s="1"/>
  <c r="I8" i="63" s="1"/>
  <c r="Q285" i="207"/>
  <c r="Q127" i="207"/>
  <c r="Q70" i="207"/>
  <c r="Q200" i="207"/>
  <c r="Q209" i="207"/>
  <c r="N212" i="207"/>
  <c r="K6" i="63" s="1"/>
  <c r="L224" i="207"/>
  <c r="I7" i="63" s="1"/>
  <c r="Q55" i="207"/>
  <c r="Q142" i="207"/>
  <c r="K42" i="207"/>
  <c r="K48" i="207" s="1"/>
  <c r="H5" i="63" s="1"/>
  <c r="Q68" i="207"/>
  <c r="K320" i="207"/>
  <c r="K382" i="207" s="1"/>
  <c r="H8" i="63" s="1"/>
  <c r="XFC273" i="207"/>
  <c r="Q261" i="207"/>
  <c r="XFC261" i="207" s="1"/>
  <c r="XFC251" i="207"/>
  <c r="I320" i="207"/>
  <c r="I382" i="207" s="1"/>
  <c r="F8" i="63" s="1"/>
  <c r="Q227" i="207"/>
  <c r="N224" i="207"/>
  <c r="K7" i="63" s="1"/>
  <c r="Q219" i="207"/>
  <c r="Q224" i="207" s="1"/>
  <c r="L212" i="207"/>
  <c r="I6" i="63" s="1"/>
  <c r="M212" i="207"/>
  <c r="J6" i="63" s="1"/>
  <c r="Q192" i="207"/>
  <c r="Q181" i="207"/>
  <c r="Q153" i="207"/>
  <c r="Q141" i="207"/>
  <c r="Q128" i="207"/>
  <c r="J185" i="207"/>
  <c r="J212" i="207" s="1"/>
  <c r="G6" i="63" s="1"/>
  <c r="Q72" i="207"/>
  <c r="Q65" i="207"/>
  <c r="K185" i="207"/>
  <c r="K212" i="207" s="1"/>
  <c r="H6" i="63" s="1"/>
  <c r="I185" i="207"/>
  <c r="I212" i="207" s="1"/>
  <c r="F6" i="63" s="1"/>
  <c r="Q62" i="207"/>
  <c r="H185" i="207"/>
  <c r="H212" i="207" s="1"/>
  <c r="E6" i="63" s="1"/>
  <c r="G185" i="207"/>
  <c r="G212" i="207" s="1"/>
  <c r="D6" i="63" s="1"/>
  <c r="Q54" i="207"/>
  <c r="N48" i="207"/>
  <c r="K5" i="63" s="1"/>
  <c r="Q39" i="207"/>
  <c r="Q37" i="207"/>
  <c r="I42" i="207"/>
  <c r="I48" i="207" s="1"/>
  <c r="F5" i="63" s="1"/>
  <c r="Q26" i="207"/>
  <c r="J42" i="207"/>
  <c r="J48" i="207" s="1"/>
  <c r="G5" i="63" s="1"/>
  <c r="Q16" i="207"/>
  <c r="XFC266" i="207"/>
  <c r="XFC267" i="207" s="1"/>
  <c r="XFC270" i="207"/>
  <c r="P589" i="207" l="1"/>
  <c r="M12" i="63" s="1"/>
  <c r="K589" i="207"/>
  <c r="K651" i="207" s="1"/>
  <c r="I589" i="207"/>
  <c r="F12" i="63" s="1"/>
  <c r="O651" i="207"/>
  <c r="O653" i="207" s="1"/>
  <c r="Q528" i="207"/>
  <c r="Q394" i="207"/>
  <c r="Q510" i="207" s="1"/>
  <c r="I528" i="207"/>
  <c r="F10" i="63" s="1"/>
  <c r="Q626" i="207"/>
  <c r="Q634" i="207" s="1"/>
  <c r="Q586" i="207"/>
  <c r="Q589" i="207" s="1"/>
  <c r="Q551" i="207"/>
  <c r="Q556" i="207" s="1"/>
  <c r="G651" i="207"/>
  <c r="H651" i="207"/>
  <c r="M651" i="207"/>
  <c r="L651" i="207"/>
  <c r="Q320" i="207"/>
  <c r="Q382" i="207" s="1"/>
  <c r="N651" i="207"/>
  <c r="J651" i="207"/>
  <c r="Q185" i="207"/>
  <c r="Q212" i="207" s="1"/>
  <c r="Q42" i="207"/>
  <c r="Q48" i="207" s="1"/>
  <c r="P651" i="207" l="1"/>
  <c r="P653" i="207" s="1"/>
  <c r="P655" i="207" s="1"/>
  <c r="H12" i="63"/>
  <c r="I651" i="207"/>
  <c r="Q651" i="207"/>
  <c r="E12" i="62" l="1"/>
  <c r="F12" i="62"/>
  <c r="G12" i="62"/>
  <c r="H12" i="62"/>
  <c r="I12" i="62"/>
  <c r="J12" i="62"/>
  <c r="K12" i="62"/>
  <c r="L12" i="62"/>
  <c r="M12" i="62"/>
  <c r="D12" i="62"/>
  <c r="E6" i="62"/>
  <c r="F6" i="62"/>
  <c r="D6" i="62"/>
  <c r="K4" i="62"/>
  <c r="L4" i="62"/>
  <c r="E11" i="62" l="1"/>
  <c r="E170" i="206"/>
  <c r="O170" i="206" s="1"/>
  <c r="O169" i="206"/>
  <c r="E167" i="206"/>
  <c r="G165" i="206"/>
  <c r="G164" i="206"/>
  <c r="O164" i="206" s="1"/>
  <c r="G163" i="206"/>
  <c r="O163" i="206" s="1"/>
  <c r="G162" i="206"/>
  <c r="O162" i="206" s="1"/>
  <c r="G161" i="206"/>
  <c r="O156" i="206"/>
  <c r="O155" i="206"/>
  <c r="M151" i="206"/>
  <c r="N150" i="206"/>
  <c r="O149" i="206"/>
  <c r="N146" i="206"/>
  <c r="H11" i="62"/>
  <c r="G142" i="206"/>
  <c r="O142" i="206" s="1"/>
  <c r="H141" i="206"/>
  <c r="G140" i="206"/>
  <c r="G139" i="206"/>
  <c r="O139" i="206" s="1"/>
  <c r="H138" i="206"/>
  <c r="N135" i="206"/>
  <c r="M9" i="62" s="1"/>
  <c r="M135" i="206"/>
  <c r="L9" i="62" s="1"/>
  <c r="O132" i="206"/>
  <c r="L135" i="206"/>
  <c r="K9" i="62" s="1"/>
  <c r="J135" i="206"/>
  <c r="I9" i="62" s="1"/>
  <c r="O128" i="206"/>
  <c r="O126" i="206"/>
  <c r="O122" i="206"/>
  <c r="O121" i="206"/>
  <c r="O120" i="206"/>
  <c r="O119" i="206"/>
  <c r="O118" i="206"/>
  <c r="O117" i="206"/>
  <c r="O114" i="206"/>
  <c r="O112" i="206"/>
  <c r="O111" i="206"/>
  <c r="O108" i="206"/>
  <c r="O105" i="206"/>
  <c r="M94" i="206"/>
  <c r="N91" i="206"/>
  <c r="M91" i="206"/>
  <c r="M90" i="206"/>
  <c r="O90" i="206" s="1"/>
  <c r="N89" i="206"/>
  <c r="M89" i="206"/>
  <c r="M76" i="206"/>
  <c r="M73" i="206"/>
  <c r="O73" i="206" s="1"/>
  <c r="M74" i="206"/>
  <c r="O74" i="206" s="1"/>
  <c r="M72" i="206"/>
  <c r="M71" i="206"/>
  <c r="O71" i="206" s="1"/>
  <c r="H72" i="206"/>
  <c r="F75" i="206"/>
  <c r="E75" i="206"/>
  <c r="F76" i="206"/>
  <c r="E76" i="206"/>
  <c r="F77" i="206"/>
  <c r="E77" i="206"/>
  <c r="F78" i="206"/>
  <c r="E78" i="206"/>
  <c r="M99" i="206"/>
  <c r="H8" i="62"/>
  <c r="J8" i="62"/>
  <c r="K8" i="62"/>
  <c r="M98" i="206"/>
  <c r="O98" i="206" s="1"/>
  <c r="M97" i="206"/>
  <c r="F97" i="206"/>
  <c r="M96" i="206"/>
  <c r="O96" i="206" s="1"/>
  <c r="F95" i="206"/>
  <c r="E95" i="206"/>
  <c r="H94" i="206"/>
  <c r="I8" i="62"/>
  <c r="M70" i="206"/>
  <c r="O70" i="206" s="1"/>
  <c r="M68" i="206"/>
  <c r="F67" i="206"/>
  <c r="O67" i="206" s="1"/>
  <c r="M66" i="206"/>
  <c r="F66" i="206"/>
  <c r="M65" i="206"/>
  <c r="M64" i="206"/>
  <c r="M63" i="206"/>
  <c r="F8" i="62"/>
  <c r="H55" i="206"/>
  <c r="O49" i="206"/>
  <c r="H48" i="206"/>
  <c r="O48" i="206" s="1"/>
  <c r="H45" i="206"/>
  <c r="O45" i="206" s="1"/>
  <c r="H42" i="206"/>
  <c r="O42" i="206" s="1"/>
  <c r="H41" i="206"/>
  <c r="O41" i="206" s="1"/>
  <c r="H38" i="206"/>
  <c r="O38" i="206" s="1"/>
  <c r="M43" i="206"/>
  <c r="I7" i="62"/>
  <c r="K7" i="62"/>
  <c r="H37" i="206"/>
  <c r="M33" i="206"/>
  <c r="M34" i="206" s="1"/>
  <c r="L6" i="62" s="1"/>
  <c r="J34" i="206"/>
  <c r="I6" i="62" s="1"/>
  <c r="L34" i="206"/>
  <c r="K6" i="62" s="1"/>
  <c r="H32" i="206"/>
  <c r="O32" i="206" s="1"/>
  <c r="O16" i="206"/>
  <c r="K13" i="206"/>
  <c r="K29" i="206" s="1"/>
  <c r="H5" i="62"/>
  <c r="I5" i="62"/>
  <c r="H11" i="206"/>
  <c r="H29" i="206" s="1"/>
  <c r="H7" i="206"/>
  <c r="H8" i="206" s="1"/>
  <c r="G4" i="62" s="1"/>
  <c r="K11" i="62"/>
  <c r="I11" i="62"/>
  <c r="N143" i="206"/>
  <c r="M10" i="62" s="1"/>
  <c r="M143" i="206"/>
  <c r="L10" i="62" s="1"/>
  <c r="L143" i="206"/>
  <c r="K10" i="62" s="1"/>
  <c r="K143" i="206"/>
  <c r="J10" i="62" s="1"/>
  <c r="J143" i="206"/>
  <c r="I10" i="62" s="1"/>
  <c r="I143" i="206"/>
  <c r="H10" i="62" s="1"/>
  <c r="F143" i="206"/>
  <c r="E10" i="62" s="1"/>
  <c r="E143" i="206"/>
  <c r="D10" i="62" s="1"/>
  <c r="G135" i="206"/>
  <c r="F9" i="62" s="1"/>
  <c r="F135" i="206"/>
  <c r="E9" i="62" s="1"/>
  <c r="E135" i="206"/>
  <c r="D9" i="62" s="1"/>
  <c r="M7" i="62"/>
  <c r="J7" i="62"/>
  <c r="H7" i="62"/>
  <c r="F7" i="62"/>
  <c r="E7" i="62"/>
  <c r="D7" i="62"/>
  <c r="N34" i="206"/>
  <c r="M6" i="62" s="1"/>
  <c r="K34" i="206"/>
  <c r="J6" i="62" s="1"/>
  <c r="I34" i="206"/>
  <c r="H6" i="62" s="1"/>
  <c r="M5" i="62"/>
  <c r="L5" i="62"/>
  <c r="K5" i="62"/>
  <c r="F5" i="62"/>
  <c r="E5" i="62"/>
  <c r="N8" i="206"/>
  <c r="M4" i="62" s="1"/>
  <c r="K8" i="206"/>
  <c r="J4" i="62" s="1"/>
  <c r="J8" i="206"/>
  <c r="I4" i="62" s="1"/>
  <c r="I8" i="206"/>
  <c r="H4" i="62" s="1"/>
  <c r="G8" i="206"/>
  <c r="F4" i="62" s="1"/>
  <c r="F8" i="206"/>
  <c r="E4" i="62" s="1"/>
  <c r="E8" i="206"/>
  <c r="D4" i="62" s="1"/>
  <c r="O155" i="198"/>
  <c r="O156" i="198"/>
  <c r="O55" i="198"/>
  <c r="O15" i="198"/>
  <c r="M60" i="206" l="1"/>
  <c r="L7" i="62" s="1"/>
  <c r="O37" i="206"/>
  <c r="H60" i="206"/>
  <c r="G7" i="62" s="1"/>
  <c r="N177" i="206"/>
  <c r="E177" i="206"/>
  <c r="D11" i="62" s="1"/>
  <c r="O151" i="206"/>
  <c r="M177" i="206"/>
  <c r="L11" i="62" s="1"/>
  <c r="G177" i="206"/>
  <c r="F11" i="62" s="1"/>
  <c r="D5" i="62"/>
  <c r="F101" i="206"/>
  <c r="E101" i="206"/>
  <c r="D8" i="62" s="1"/>
  <c r="M101" i="206"/>
  <c r="N101" i="206"/>
  <c r="M8" i="62" s="1"/>
  <c r="H101" i="206"/>
  <c r="G8" i="62" s="1"/>
  <c r="O11" i="206"/>
  <c r="G5" i="62"/>
  <c r="O89" i="206"/>
  <c r="J5" i="62"/>
  <c r="O148" i="206"/>
  <c r="G11" i="62"/>
  <c r="O146" i="206"/>
  <c r="O153" i="206"/>
  <c r="O72" i="206"/>
  <c r="O97" i="206"/>
  <c r="O64" i="206"/>
  <c r="O104" i="206"/>
  <c r="O95" i="206"/>
  <c r="H34" i="206"/>
  <c r="G6" i="62" s="1"/>
  <c r="O76" i="206"/>
  <c r="I135" i="206"/>
  <c r="H9" i="62" s="1"/>
  <c r="O43" i="206"/>
  <c r="O65" i="206"/>
  <c r="O167" i="206"/>
  <c r="O165" i="206"/>
  <c r="O161" i="206"/>
  <c r="O150" i="206"/>
  <c r="H143" i="206"/>
  <c r="G10" i="62" s="1"/>
  <c r="O141" i="206"/>
  <c r="G143" i="206"/>
  <c r="F10" i="62" s="1"/>
  <c r="O140" i="206"/>
  <c r="O138" i="206"/>
  <c r="K135" i="206"/>
  <c r="O134" i="206"/>
  <c r="H135" i="206"/>
  <c r="G9" i="62" s="1"/>
  <c r="O110" i="206"/>
  <c r="O78" i="206"/>
  <c r="O99" i="206"/>
  <c r="O94" i="206"/>
  <c r="O91" i="206"/>
  <c r="O77" i="206"/>
  <c r="O75" i="206"/>
  <c r="O68" i="206"/>
  <c r="O66" i="206"/>
  <c r="O63" i="206"/>
  <c r="O55" i="206"/>
  <c r="L187" i="206"/>
  <c r="L189" i="206" s="1"/>
  <c r="O33" i="206"/>
  <c r="O34" i="206" s="1"/>
  <c r="O15" i="206"/>
  <c r="O13" i="206"/>
  <c r="J187" i="206"/>
  <c r="O7" i="206"/>
  <c r="O8" i="206" s="1"/>
  <c r="O29" i="206" l="1"/>
  <c r="O60" i="206"/>
  <c r="O101" i="206"/>
  <c r="I187" i="206"/>
  <c r="F187" i="206"/>
  <c r="E8" i="62"/>
  <c r="O135" i="206"/>
  <c r="N187" i="206"/>
  <c r="N189" i="206" s="1"/>
  <c r="M11" i="62"/>
  <c r="M187" i="206"/>
  <c r="L8" i="62"/>
  <c r="J9" i="62"/>
  <c r="G187" i="206"/>
  <c r="E187" i="206"/>
  <c r="O143" i="206"/>
  <c r="H187" i="206"/>
  <c r="E68" i="205" l="1"/>
  <c r="Q256" i="199"/>
  <c r="XFD256" i="199" s="1"/>
  <c r="XFD254" i="199"/>
  <c r="XFD262" i="199"/>
  <c r="XFD276" i="199"/>
  <c r="XFD278" i="199"/>
  <c r="H626" i="199" l="1"/>
  <c r="H634" i="199" s="1"/>
  <c r="I626" i="199"/>
  <c r="I634" i="199" s="1"/>
  <c r="J626" i="199"/>
  <c r="J634" i="199" s="1"/>
  <c r="K626" i="199"/>
  <c r="K634" i="199" s="1"/>
  <c r="L626" i="199"/>
  <c r="L634" i="199" s="1"/>
  <c r="M626" i="199"/>
  <c r="M634" i="199" s="1"/>
  <c r="N626" i="199"/>
  <c r="N634" i="199" s="1"/>
  <c r="O626" i="199"/>
  <c r="O634" i="199" s="1"/>
  <c r="P626" i="199"/>
  <c r="P634" i="199" s="1"/>
  <c r="G626" i="199"/>
  <c r="G634" i="199" s="1"/>
  <c r="Q610" i="199"/>
  <c r="Q360" i="199" l="1"/>
  <c r="Q361" i="199"/>
  <c r="Q362" i="199"/>
  <c r="Q368" i="199"/>
  <c r="Q369" i="199"/>
  <c r="Q370" i="199"/>
  <c r="Q371" i="199"/>
  <c r="Q374" i="199"/>
  <c r="Q376" i="199"/>
  <c r="Q377" i="199"/>
  <c r="Q381" i="199"/>
  <c r="Q324" i="199"/>
  <c r="Q325" i="199"/>
  <c r="Q328" i="199"/>
  <c r="Q331" i="199"/>
  <c r="Q332" i="199"/>
  <c r="Q351" i="199"/>
  <c r="Q352" i="199"/>
  <c r="Q353" i="199"/>
  <c r="Q354" i="199"/>
  <c r="Q355" i="199"/>
  <c r="Q356" i="199"/>
  <c r="Q357" i="199"/>
  <c r="Q358" i="199"/>
  <c r="Q359" i="199"/>
  <c r="Q125" i="199"/>
  <c r="O16" i="198"/>
  <c r="Q625" i="199" l="1"/>
  <c r="Q502" i="199"/>
  <c r="Q503" i="199"/>
  <c r="Q493" i="199"/>
  <c r="Q494" i="199"/>
  <c r="Q459" i="199"/>
  <c r="Q460" i="199"/>
  <c r="Q461" i="199"/>
  <c r="Q424" i="199"/>
  <c r="Q425" i="199"/>
  <c r="Q426" i="199"/>
  <c r="Q427" i="199"/>
  <c r="Q429" i="199"/>
  <c r="Q431" i="199"/>
  <c r="Q389" i="199"/>
  <c r="Q307" i="199"/>
  <c r="Q308" i="199"/>
  <c r="Q309" i="199"/>
  <c r="Q310" i="199"/>
  <c r="Q317" i="199"/>
  <c r="Q319" i="199"/>
  <c r="Q189" i="199"/>
  <c r="Q190" i="199"/>
  <c r="Q191" i="199"/>
  <c r="Q192" i="199"/>
  <c r="Q196" i="199"/>
  <c r="Q197" i="199"/>
  <c r="Q207" i="199"/>
  <c r="Q208" i="199"/>
  <c r="Q209" i="199"/>
  <c r="Q210" i="199"/>
  <c r="Q177" i="199"/>
  <c r="Q171" i="199"/>
  <c r="Q153" i="199" l="1"/>
  <c r="Q114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8" i="199"/>
  <c r="D8" i="107" l="1"/>
  <c r="D12" i="107"/>
  <c r="O151" i="198"/>
  <c r="O49" i="198"/>
  <c r="D13" i="107" l="1"/>
  <c r="D15" i="107" s="1"/>
  <c r="L18" i="139"/>
  <c r="N17" i="139"/>
  <c r="K17" i="139"/>
  <c r="K9" i="139"/>
  <c r="J8" i="139"/>
  <c r="K7" i="139"/>
  <c r="G19" i="138"/>
  <c r="J15" i="138"/>
  <c r="J7" i="138"/>
  <c r="G7" i="138"/>
  <c r="J22" i="204" l="1"/>
  <c r="C19" i="204"/>
  <c r="J8" i="204"/>
  <c r="C7" i="204"/>
  <c r="C12" i="204" s="1"/>
  <c r="C25" i="204" l="1"/>
  <c r="C26" i="204" s="1"/>
  <c r="C28" i="204" s="1"/>
  <c r="J25" i="204"/>
  <c r="J12" i="204"/>
  <c r="E31" i="203"/>
  <c r="D31" i="203"/>
  <c r="E20" i="203"/>
  <c r="D20" i="203"/>
  <c r="E12" i="203"/>
  <c r="D12" i="203"/>
  <c r="E8" i="203"/>
  <c r="D8" i="203"/>
  <c r="J26" i="204" l="1"/>
  <c r="J28" i="204" s="1"/>
  <c r="E32" i="203"/>
  <c r="D32" i="203"/>
  <c r="D41" i="203" s="1"/>
  <c r="E41" i="203" l="1"/>
  <c r="Q11" i="199"/>
  <c r="Q12" i="199"/>
  <c r="O40" i="198"/>
  <c r="H650" i="199"/>
  <c r="I650" i="199"/>
  <c r="J650" i="199"/>
  <c r="K650" i="199"/>
  <c r="L6" i="204" s="1"/>
  <c r="M6" i="204" s="1"/>
  <c r="N6" i="204" s="1"/>
  <c r="L650" i="199"/>
  <c r="M650" i="199"/>
  <c r="N650" i="199"/>
  <c r="O650" i="199"/>
  <c r="P650" i="199"/>
  <c r="G650" i="199"/>
  <c r="Q649" i="199"/>
  <c r="Q642" i="199"/>
  <c r="Q546" i="199"/>
  <c r="Q499" i="199"/>
  <c r="Q500" i="199"/>
  <c r="Q482" i="199"/>
  <c r="Q458" i="199"/>
  <c r="Q462" i="199"/>
  <c r="Q432" i="199"/>
  <c r="Q434" i="199"/>
  <c r="Q435" i="199"/>
  <c r="Q437" i="199"/>
  <c r="Q438" i="199"/>
  <c r="Q439" i="199"/>
  <c r="Q413" i="199"/>
  <c r="Q414" i="199"/>
  <c r="Q415" i="199"/>
  <c r="Q416" i="199"/>
  <c r="Q402" i="199"/>
  <c r="Q403" i="199"/>
  <c r="Q405" i="199"/>
  <c r="Q406" i="199"/>
  <c r="Q275" i="199"/>
  <c r="XFD275" i="199" s="1"/>
  <c r="O90" i="198" l="1"/>
  <c r="O77" i="198"/>
  <c r="O172" i="198" l="1"/>
  <c r="E22" i="139" l="1"/>
  <c r="E22" i="138"/>
  <c r="H21" i="138" l="1"/>
  <c r="I21" i="138"/>
  <c r="K21" i="138"/>
  <c r="L21" i="138"/>
  <c r="M21" i="138"/>
  <c r="P21" i="138"/>
  <c r="H20" i="138"/>
  <c r="I20" i="138"/>
  <c r="K20" i="138"/>
  <c r="L20" i="138"/>
  <c r="M20" i="138"/>
  <c r="P20" i="138"/>
  <c r="I19" i="138"/>
  <c r="K19" i="138"/>
  <c r="L19" i="138"/>
  <c r="M19" i="138"/>
  <c r="P19" i="138"/>
  <c r="H19" i="138"/>
  <c r="I18" i="138"/>
  <c r="K18" i="138"/>
  <c r="L18" i="138"/>
  <c r="M18" i="138"/>
  <c r="H18" i="138"/>
  <c r="I17" i="138"/>
  <c r="K17" i="138"/>
  <c r="L17" i="138"/>
  <c r="M17" i="138"/>
  <c r="I16" i="138"/>
  <c r="K16" i="138"/>
  <c r="M16" i="138"/>
  <c r="P16" i="138"/>
  <c r="I15" i="138"/>
  <c r="K15" i="138"/>
  <c r="M15" i="138"/>
  <c r="P15" i="138"/>
  <c r="I14" i="138"/>
  <c r="K14" i="138"/>
  <c r="L14" i="138"/>
  <c r="M14" i="138"/>
  <c r="P14" i="138"/>
  <c r="H14" i="138"/>
  <c r="I13" i="138"/>
  <c r="L13" i="138"/>
  <c r="M13" i="138"/>
  <c r="P13" i="138"/>
  <c r="H12" i="138"/>
  <c r="I12" i="138"/>
  <c r="K12" i="138"/>
  <c r="L12" i="138"/>
  <c r="M12" i="138"/>
  <c r="P12" i="138"/>
  <c r="H11" i="138"/>
  <c r="I11" i="138"/>
  <c r="K11" i="138"/>
  <c r="L11" i="138"/>
  <c r="M11" i="138"/>
  <c r="P11" i="138"/>
  <c r="H10" i="138"/>
  <c r="I10" i="138"/>
  <c r="K10" i="138"/>
  <c r="L10" i="138"/>
  <c r="M10" i="138"/>
  <c r="P10" i="138"/>
  <c r="I9" i="138"/>
  <c r="K9" i="138"/>
  <c r="L9" i="138"/>
  <c r="M9" i="138"/>
  <c r="P9" i="138"/>
  <c r="P7" i="138"/>
  <c r="I8" i="138"/>
  <c r="K8" i="138"/>
  <c r="L8" i="138"/>
  <c r="M8" i="138"/>
  <c r="P8" i="138"/>
  <c r="I7" i="138"/>
  <c r="K7" i="138"/>
  <c r="L7" i="138"/>
  <c r="M7" i="138"/>
  <c r="H7" i="138"/>
  <c r="L6" i="138"/>
  <c r="M6" i="138"/>
  <c r="K6" i="138"/>
  <c r="H5" i="138"/>
  <c r="I5" i="138"/>
  <c r="K5" i="138"/>
  <c r="L5" i="138"/>
  <c r="M5" i="138"/>
  <c r="P5" i="138"/>
  <c r="P4" i="138"/>
  <c r="K4" i="138"/>
  <c r="L4" i="138"/>
  <c r="M4" i="138"/>
  <c r="H4" i="138"/>
  <c r="K21" i="139"/>
  <c r="N21" i="139"/>
  <c r="O21" i="139"/>
  <c r="J21" i="139"/>
  <c r="K20" i="139"/>
  <c r="M20" i="139"/>
  <c r="N20" i="139"/>
  <c r="O20" i="139"/>
  <c r="J20" i="139"/>
  <c r="K19" i="139"/>
  <c r="M19" i="139"/>
  <c r="N19" i="139"/>
  <c r="O19" i="139"/>
  <c r="J19" i="139"/>
  <c r="K18" i="139"/>
  <c r="M18" i="139"/>
  <c r="N18" i="139"/>
  <c r="J18" i="139"/>
  <c r="M17" i="139"/>
  <c r="J17" i="139"/>
  <c r="N16" i="139"/>
  <c r="O16" i="139"/>
  <c r="J16" i="139"/>
  <c r="N15" i="139"/>
  <c r="O15" i="139"/>
  <c r="J15" i="139"/>
  <c r="K14" i="139"/>
  <c r="M14" i="139"/>
  <c r="N14" i="139"/>
  <c r="O14" i="139"/>
  <c r="J14" i="139"/>
  <c r="K13" i="139"/>
  <c r="N13" i="139"/>
  <c r="O13" i="139"/>
  <c r="J13" i="139"/>
  <c r="K12" i="139"/>
  <c r="M12" i="139"/>
  <c r="N12" i="139"/>
  <c r="O12" i="139"/>
  <c r="J12" i="139"/>
  <c r="N11" i="139"/>
  <c r="O11" i="139"/>
  <c r="K11" i="139"/>
  <c r="J11" i="139"/>
  <c r="N9" i="139"/>
  <c r="O9" i="139"/>
  <c r="N10" i="139"/>
  <c r="O10" i="139"/>
  <c r="M10" i="139"/>
  <c r="K10" i="139"/>
  <c r="J10" i="139"/>
  <c r="J9" i="139"/>
  <c r="N8" i="139"/>
  <c r="O8" i="139"/>
  <c r="N7" i="139"/>
  <c r="O7" i="139"/>
  <c r="M7" i="139"/>
  <c r="O6" i="139"/>
  <c r="N6" i="139"/>
  <c r="J6" i="139"/>
  <c r="O5" i="139"/>
  <c r="N5" i="139"/>
  <c r="K5" i="139"/>
  <c r="J5" i="139"/>
  <c r="O4" i="139"/>
  <c r="N4" i="139"/>
  <c r="K4" i="139"/>
  <c r="J4" i="139"/>
  <c r="Q242" i="199"/>
  <c r="L22" i="201"/>
  <c r="K22" i="201"/>
  <c r="J22" i="201"/>
  <c r="M652" i="207" s="1"/>
  <c r="I22" i="201"/>
  <c r="L652" i="207" s="1"/>
  <c r="H22" i="201"/>
  <c r="K652" i="207" s="1"/>
  <c r="G22" i="201"/>
  <c r="J652" i="207" s="1"/>
  <c r="F22" i="201"/>
  <c r="I652" i="207" s="1"/>
  <c r="E22" i="201"/>
  <c r="H652" i="207" s="1"/>
  <c r="D22" i="201"/>
  <c r="M21" i="201"/>
  <c r="F21" i="139" s="1"/>
  <c r="M20" i="201"/>
  <c r="F20" i="139" s="1"/>
  <c r="M19" i="201"/>
  <c r="F19" i="139" s="1"/>
  <c r="M18" i="201"/>
  <c r="F18" i="139" s="1"/>
  <c r="M17" i="201"/>
  <c r="F17" i="139" s="1"/>
  <c r="M16" i="201"/>
  <c r="F16" i="139" s="1"/>
  <c r="M15" i="201"/>
  <c r="F15" i="139" s="1"/>
  <c r="M14" i="201"/>
  <c r="F14" i="139" s="1"/>
  <c r="M13" i="201"/>
  <c r="F13" i="139" s="1"/>
  <c r="M12" i="201"/>
  <c r="F12" i="139" s="1"/>
  <c r="M11" i="201"/>
  <c r="F11" i="139" s="1"/>
  <c r="M10" i="201"/>
  <c r="F10" i="139" s="1"/>
  <c r="M9" i="201"/>
  <c r="F9" i="139" s="1"/>
  <c r="M8" i="201"/>
  <c r="F8" i="139" s="1"/>
  <c r="M7" i="201"/>
  <c r="F7" i="139" s="1"/>
  <c r="M6" i="201"/>
  <c r="F6" i="139" s="1"/>
  <c r="M5" i="201"/>
  <c r="F5" i="139" s="1"/>
  <c r="M4" i="201"/>
  <c r="F4" i="139" s="1"/>
  <c r="M22" i="200"/>
  <c r="L22" i="200"/>
  <c r="K22" i="200"/>
  <c r="M188" i="206" s="1"/>
  <c r="J22" i="200"/>
  <c r="I22" i="200"/>
  <c r="J188" i="206" s="1"/>
  <c r="H22" i="200"/>
  <c r="G22" i="200"/>
  <c r="H188" i="206" s="1"/>
  <c r="F22" i="200"/>
  <c r="E22" i="200"/>
  <c r="F188" i="206" s="1"/>
  <c r="D22" i="200"/>
  <c r="E188" i="206" s="1"/>
  <c r="N21" i="200"/>
  <c r="F21" i="138" s="1"/>
  <c r="N20" i="200"/>
  <c r="F20" i="138" s="1"/>
  <c r="N19" i="200"/>
  <c r="F19" i="138" s="1"/>
  <c r="N18" i="200"/>
  <c r="F18" i="138" s="1"/>
  <c r="N17" i="200"/>
  <c r="F17" i="138" s="1"/>
  <c r="N16" i="200"/>
  <c r="F16" i="138" s="1"/>
  <c r="N15" i="200"/>
  <c r="F15" i="138" s="1"/>
  <c r="N14" i="200"/>
  <c r="F14" i="138" s="1"/>
  <c r="N13" i="200"/>
  <c r="F13" i="138" s="1"/>
  <c r="N12" i="200"/>
  <c r="F12" i="138" s="1"/>
  <c r="N11" i="200"/>
  <c r="F11" i="138" s="1"/>
  <c r="N10" i="200"/>
  <c r="F10" i="138" s="1"/>
  <c r="N9" i="200"/>
  <c r="F9" i="138" s="1"/>
  <c r="N8" i="200"/>
  <c r="F8" i="138" s="1"/>
  <c r="N7" i="200"/>
  <c r="F7" i="138" s="1"/>
  <c r="N6" i="200"/>
  <c r="F6" i="138" s="1"/>
  <c r="N5" i="200"/>
  <c r="F5" i="138" s="1"/>
  <c r="N4" i="200"/>
  <c r="F4" i="138" s="1"/>
  <c r="Q648" i="199"/>
  <c r="Q647" i="199"/>
  <c r="Q644" i="199"/>
  <c r="Q643" i="199"/>
  <c r="Q641" i="199"/>
  <c r="Q640" i="199"/>
  <c r="Q639" i="199"/>
  <c r="Q638" i="199"/>
  <c r="Q636" i="199"/>
  <c r="Q623" i="199"/>
  <c r="Q622" i="199"/>
  <c r="Q620" i="199"/>
  <c r="Q618" i="199"/>
  <c r="Q617" i="199"/>
  <c r="Q616" i="199"/>
  <c r="Q614" i="199"/>
  <c r="Q613" i="199"/>
  <c r="Q611" i="199"/>
  <c r="Q609" i="199"/>
  <c r="Q608" i="199"/>
  <c r="Q606" i="199"/>
  <c r="Q605" i="199"/>
  <c r="Q603" i="199"/>
  <c r="Q602" i="199"/>
  <c r="Q601" i="199"/>
  <c r="Q600" i="199"/>
  <c r="Q599" i="199"/>
  <c r="Q598" i="199"/>
  <c r="Q597" i="199"/>
  <c r="Q596" i="199"/>
  <c r="Q595" i="199"/>
  <c r="Q594" i="199"/>
  <c r="Q593" i="199"/>
  <c r="Q592" i="199"/>
  <c r="G586" i="199"/>
  <c r="G589" i="199" s="1"/>
  <c r="Q585" i="199"/>
  <c r="Q579" i="199"/>
  <c r="Q578" i="199"/>
  <c r="Q576" i="199"/>
  <c r="Q574" i="199"/>
  <c r="Q571" i="199"/>
  <c r="Q569" i="199"/>
  <c r="Q567" i="199"/>
  <c r="Q566" i="199"/>
  <c r="Q565" i="199"/>
  <c r="Q564" i="199"/>
  <c r="Q561" i="199"/>
  <c r="Q560" i="199"/>
  <c r="Q559" i="199"/>
  <c r="Q555" i="199"/>
  <c r="Q554" i="199"/>
  <c r="P551" i="199"/>
  <c r="P556" i="199" s="1"/>
  <c r="O551" i="199"/>
  <c r="O556" i="199" s="1"/>
  <c r="N551" i="199"/>
  <c r="N556" i="199" s="1"/>
  <c r="M551" i="199"/>
  <c r="M556" i="199" s="1"/>
  <c r="L551" i="199"/>
  <c r="L556" i="199" s="1"/>
  <c r="K551" i="199"/>
  <c r="K556" i="199" s="1"/>
  <c r="J551" i="199"/>
  <c r="J556" i="199" s="1"/>
  <c r="I551" i="199"/>
  <c r="I556" i="199" s="1"/>
  <c r="H551" i="199"/>
  <c r="H556" i="199" s="1"/>
  <c r="G551" i="199"/>
  <c r="G556" i="199" s="1"/>
  <c r="Q550" i="199"/>
  <c r="Q549" i="199"/>
  <c r="Q548" i="199"/>
  <c r="Q543" i="199"/>
  <c r="Q542" i="199"/>
  <c r="Q540" i="199"/>
  <c r="Q537" i="199"/>
  <c r="Q536" i="199"/>
  <c r="Q534" i="199"/>
  <c r="Q533" i="199"/>
  <c r="Q532" i="199"/>
  <c r="Q531" i="199"/>
  <c r="Q526" i="199"/>
  <c r="P524" i="199"/>
  <c r="P528" i="199" s="1"/>
  <c r="O524" i="199"/>
  <c r="O528" i="199" s="1"/>
  <c r="N524" i="199"/>
  <c r="N528" i="199" s="1"/>
  <c r="M524" i="199"/>
  <c r="M528" i="199" s="1"/>
  <c r="L524" i="199"/>
  <c r="L528" i="199" s="1"/>
  <c r="K524" i="199"/>
  <c r="K528" i="199" s="1"/>
  <c r="J524" i="199"/>
  <c r="J528" i="199" s="1"/>
  <c r="I524" i="199"/>
  <c r="I528" i="199" s="1"/>
  <c r="H524" i="199"/>
  <c r="H528" i="199" s="1"/>
  <c r="G524" i="199"/>
  <c r="G528" i="199" s="1"/>
  <c r="Q523" i="199"/>
  <c r="Q519" i="199"/>
  <c r="Q518" i="199"/>
  <c r="Q517" i="199"/>
  <c r="Q516" i="199"/>
  <c r="Q515" i="199"/>
  <c r="Q514" i="199"/>
  <c r="Q513" i="199"/>
  <c r="Q509" i="199"/>
  <c r="Q508" i="199"/>
  <c r="Q505" i="199"/>
  <c r="Q501" i="199"/>
  <c r="Q489" i="199"/>
  <c r="Q488" i="199"/>
  <c r="Q487" i="199"/>
  <c r="Q486" i="199"/>
  <c r="Q485" i="199"/>
  <c r="Q484" i="199"/>
  <c r="Q483" i="199"/>
  <c r="Q481" i="199"/>
  <c r="Q480" i="199"/>
  <c r="Q479" i="199"/>
  <c r="Q464" i="199"/>
  <c r="Q463" i="199"/>
  <c r="Q457" i="199"/>
  <c r="Q442" i="199"/>
  <c r="Q441" i="199"/>
  <c r="Q423" i="199"/>
  <c r="Q422" i="199"/>
  <c r="Q412" i="199"/>
  <c r="Q411" i="199"/>
  <c r="Q401" i="199"/>
  <c r="Q400" i="199"/>
  <c r="Q399" i="199"/>
  <c r="Q398" i="199"/>
  <c r="Q397" i="199"/>
  <c r="P394" i="199"/>
  <c r="P510" i="199" s="1"/>
  <c r="O394" i="199"/>
  <c r="O510" i="199" s="1"/>
  <c r="N394" i="199"/>
  <c r="N510" i="199" s="1"/>
  <c r="M394" i="199"/>
  <c r="M510" i="199" s="1"/>
  <c r="L394" i="199"/>
  <c r="L510" i="199" s="1"/>
  <c r="K394" i="199"/>
  <c r="K510" i="199" s="1"/>
  <c r="J394" i="199"/>
  <c r="J510" i="199" s="1"/>
  <c r="I394" i="199"/>
  <c r="I510" i="199" s="1"/>
  <c r="H394" i="199"/>
  <c r="H510" i="199" s="1"/>
  <c r="G394" i="199"/>
  <c r="G510" i="199" s="1"/>
  <c r="Q393" i="199"/>
  <c r="Q391" i="199"/>
  <c r="Q388" i="199"/>
  <c r="Q387" i="199"/>
  <c r="Q386" i="199"/>
  <c r="Q385" i="199"/>
  <c r="P320" i="199"/>
  <c r="P382" i="199" s="1"/>
  <c r="O320" i="199"/>
  <c r="O382" i="199" s="1"/>
  <c r="N320" i="199"/>
  <c r="N382" i="199" s="1"/>
  <c r="M320" i="199"/>
  <c r="M382" i="199" s="1"/>
  <c r="L320" i="199"/>
  <c r="L382" i="199" s="1"/>
  <c r="K320" i="199"/>
  <c r="K382" i="199" s="1"/>
  <c r="J320" i="199"/>
  <c r="J382" i="199" s="1"/>
  <c r="I320" i="199"/>
  <c r="I382" i="199" s="1"/>
  <c r="H320" i="199"/>
  <c r="H382" i="199" s="1"/>
  <c r="G320" i="199"/>
  <c r="G382" i="199" s="1"/>
  <c r="Q306" i="199"/>
  <c r="Q305" i="199"/>
  <c r="Q303" i="199"/>
  <c r="Q301" i="199"/>
  <c r="Q300" i="199"/>
  <c r="Q298" i="199"/>
  <c r="Q296" i="199"/>
  <c r="Q294" i="199"/>
  <c r="Q293" i="199"/>
  <c r="Q292" i="199"/>
  <c r="Q291" i="199"/>
  <c r="Q290" i="199"/>
  <c r="Q289" i="199"/>
  <c r="Q288" i="199"/>
  <c r="Q287" i="199"/>
  <c r="Q286" i="199"/>
  <c r="Q285" i="199"/>
  <c r="Q284" i="199"/>
  <c r="Q282" i="199"/>
  <c r="Q281" i="199"/>
  <c r="Q277" i="199"/>
  <c r="XFD277" i="199" s="1"/>
  <c r="Q274" i="199"/>
  <c r="XFD274" i="199" s="1"/>
  <c r="Q273" i="199"/>
  <c r="Q272" i="199"/>
  <c r="XFD272" i="199" s="1"/>
  <c r="Q271" i="199"/>
  <c r="XFD271" i="199" s="1"/>
  <c r="Q270" i="199"/>
  <c r="Q269" i="199"/>
  <c r="XFD269" i="199" s="1"/>
  <c r="Q268" i="199"/>
  <c r="XFD268" i="199" s="1"/>
  <c r="Q267" i="199"/>
  <c r="Q265" i="199"/>
  <c r="XFD265" i="199" s="1"/>
  <c r="Q264" i="199"/>
  <c r="XFD264" i="199" s="1"/>
  <c r="Q263" i="199"/>
  <c r="XFD263" i="199" s="1"/>
  <c r="Q261" i="199"/>
  <c r="XFD261" i="199" s="1"/>
  <c r="Q260" i="199"/>
  <c r="XFD260" i="199" s="1"/>
  <c r="Q259" i="199"/>
  <c r="XFD259" i="199" s="1"/>
  <c r="XFD255" i="199"/>
  <c r="Q253" i="199"/>
  <c r="XFD253" i="199" s="1"/>
  <c r="Q252" i="199"/>
  <c r="XFD252" i="199" s="1"/>
  <c r="Q251" i="199"/>
  <c r="Q250" i="199"/>
  <c r="XFD250" i="199" s="1"/>
  <c r="Q249" i="199"/>
  <c r="XFD249" i="199" s="1"/>
  <c r="Q248" i="199"/>
  <c r="Q247" i="199"/>
  <c r="Q246" i="199"/>
  <c r="Q243" i="199"/>
  <c r="Q241" i="199"/>
  <c r="Q240" i="199"/>
  <c r="Q239" i="199"/>
  <c r="Q238" i="199"/>
  <c r="Q237" i="199"/>
  <c r="Q236" i="199"/>
  <c r="Q235" i="199"/>
  <c r="Q234" i="199"/>
  <c r="Q233" i="199"/>
  <c r="Q232" i="199"/>
  <c r="Q231" i="199"/>
  <c r="Q230" i="199"/>
  <c r="Q229" i="199"/>
  <c r="Q228" i="199"/>
  <c r="Q227" i="199"/>
  <c r="Q223" i="199"/>
  <c r="Q222" i="199"/>
  <c r="P219" i="199"/>
  <c r="P224" i="199" s="1"/>
  <c r="O219" i="199"/>
  <c r="O224" i="199" s="1"/>
  <c r="N219" i="199"/>
  <c r="N224" i="199" s="1"/>
  <c r="M219" i="199"/>
  <c r="M224" i="199" s="1"/>
  <c r="L219" i="199"/>
  <c r="L224" i="199" s="1"/>
  <c r="K219" i="199"/>
  <c r="K224" i="199" s="1"/>
  <c r="J219" i="199"/>
  <c r="J224" i="199" s="1"/>
  <c r="I219" i="199"/>
  <c r="I224" i="199" s="1"/>
  <c r="H219" i="199"/>
  <c r="H224" i="199" s="1"/>
  <c r="G219" i="199"/>
  <c r="G224" i="199" s="1"/>
  <c r="Q218" i="199"/>
  <c r="Q217" i="199"/>
  <c r="Q216" i="199"/>
  <c r="Q215" i="199"/>
  <c r="P185" i="199"/>
  <c r="P212" i="199" s="1"/>
  <c r="O185" i="199"/>
  <c r="O212" i="199" s="1"/>
  <c r="N185" i="199"/>
  <c r="N212" i="199" s="1"/>
  <c r="M185" i="199"/>
  <c r="M212" i="199" s="1"/>
  <c r="L185" i="199"/>
  <c r="L212" i="199" s="1"/>
  <c r="K185" i="199"/>
  <c r="K212" i="199" s="1"/>
  <c r="J185" i="199"/>
  <c r="J212" i="199" s="1"/>
  <c r="I185" i="199"/>
  <c r="I212" i="199" s="1"/>
  <c r="H185" i="199"/>
  <c r="H212" i="199" s="1"/>
  <c r="G185" i="199"/>
  <c r="G212" i="199" s="1"/>
  <c r="Q184" i="199"/>
  <c r="Q183" i="199"/>
  <c r="Q182" i="199"/>
  <c r="Q181" i="199"/>
  <c r="Q179" i="199"/>
  <c r="Q176" i="199"/>
  <c r="Q175" i="199"/>
  <c r="Q174" i="199"/>
  <c r="Q173" i="199"/>
  <c r="Q172" i="199"/>
  <c r="Q170" i="199"/>
  <c r="Q169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5" i="199"/>
  <c r="Q152" i="199"/>
  <c r="Q151" i="199"/>
  <c r="Q150" i="199"/>
  <c r="Q149" i="199"/>
  <c r="Q148" i="199"/>
  <c r="Q147" i="199"/>
  <c r="Q146" i="199"/>
  <c r="Q143" i="199"/>
  <c r="Q142" i="199"/>
  <c r="Q141" i="199"/>
  <c r="Q138" i="199"/>
  <c r="Q137" i="199"/>
  <c r="Q133" i="199"/>
  <c r="Q131" i="199"/>
  <c r="Q129" i="199"/>
  <c r="Q128" i="199"/>
  <c r="Q127" i="199"/>
  <c r="Q124" i="199"/>
  <c r="Q119" i="199"/>
  <c r="Q118" i="199"/>
  <c r="Q113" i="199"/>
  <c r="Q108" i="199"/>
  <c r="Q107" i="199"/>
  <c r="Q106" i="199"/>
  <c r="Q105" i="199"/>
  <c r="Q104" i="199"/>
  <c r="Q103" i="199"/>
  <c r="Q74" i="199"/>
  <c r="Q73" i="199"/>
  <c r="Q72" i="199"/>
  <c r="Q70" i="199"/>
  <c r="Q68" i="199"/>
  <c r="Q66" i="199"/>
  <c r="Q65" i="199"/>
  <c r="Q64" i="199"/>
  <c r="Q63" i="199"/>
  <c r="Q62" i="199"/>
  <c r="Q61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69" i="198"/>
  <c r="O167" i="198"/>
  <c r="O165" i="198"/>
  <c r="O164" i="198"/>
  <c r="O163" i="198"/>
  <c r="O162" i="198"/>
  <c r="O161" i="198"/>
  <c r="O153" i="198"/>
  <c r="O150" i="198"/>
  <c r="O149" i="198"/>
  <c r="O148" i="198"/>
  <c r="O146" i="198"/>
  <c r="N143" i="198"/>
  <c r="M143" i="198"/>
  <c r="L143" i="198"/>
  <c r="K143" i="198"/>
  <c r="J143" i="198"/>
  <c r="I143" i="198"/>
  <c r="H143" i="198"/>
  <c r="G143" i="198"/>
  <c r="F143" i="198"/>
  <c r="E143" i="198"/>
  <c r="O142" i="198"/>
  <c r="O141" i="198"/>
  <c r="O140" i="198"/>
  <c r="O139" i="198"/>
  <c r="O138" i="198"/>
  <c r="N135" i="198"/>
  <c r="M135" i="198"/>
  <c r="L135" i="198"/>
  <c r="K135" i="198"/>
  <c r="J135" i="198"/>
  <c r="I135" i="198"/>
  <c r="H135" i="198"/>
  <c r="G135" i="198"/>
  <c r="F135" i="198"/>
  <c r="E135" i="198"/>
  <c r="O134" i="198"/>
  <c r="O132" i="198"/>
  <c r="O128" i="198"/>
  <c r="O126" i="198"/>
  <c r="O122" i="198"/>
  <c r="O121" i="198"/>
  <c r="O120" i="198"/>
  <c r="O119" i="198"/>
  <c r="O118" i="198"/>
  <c r="O117" i="198"/>
  <c r="O114" i="198"/>
  <c r="O112" i="198"/>
  <c r="O111" i="198"/>
  <c r="O110" i="198"/>
  <c r="O108" i="198"/>
  <c r="O105" i="198"/>
  <c r="O104" i="198"/>
  <c r="O99" i="198"/>
  <c r="O98" i="198"/>
  <c r="O97" i="198"/>
  <c r="O96" i="198"/>
  <c r="O95" i="198"/>
  <c r="O94" i="198"/>
  <c r="O91" i="198"/>
  <c r="O89" i="198"/>
  <c r="O78" i="198"/>
  <c r="O76" i="198"/>
  <c r="O75" i="198"/>
  <c r="O74" i="198"/>
  <c r="O73" i="198"/>
  <c r="O72" i="198"/>
  <c r="O71" i="198"/>
  <c r="O68" i="198"/>
  <c r="O67" i="198"/>
  <c r="O66" i="198"/>
  <c r="O65" i="198"/>
  <c r="O64" i="198"/>
  <c r="O63" i="198"/>
  <c r="O43" i="198"/>
  <c r="O42" i="198"/>
  <c r="O38" i="198"/>
  <c r="O37" i="198"/>
  <c r="N34" i="198"/>
  <c r="M34" i="198"/>
  <c r="L34" i="198"/>
  <c r="K34" i="198"/>
  <c r="J34" i="198"/>
  <c r="I34" i="198"/>
  <c r="H34" i="198"/>
  <c r="O33" i="198"/>
  <c r="O32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G652" i="207" l="1"/>
  <c r="G652" i="199"/>
  <c r="L3" i="204"/>
  <c r="G651" i="199"/>
  <c r="O29" i="198"/>
  <c r="O60" i="198"/>
  <c r="O177" i="198"/>
  <c r="Q586" i="199"/>
  <c r="Q589" i="199" s="1"/>
  <c r="O101" i="198"/>
  <c r="M188" i="198"/>
  <c r="M189" i="206"/>
  <c r="N191" i="206" s="1"/>
  <c r="I188" i="198"/>
  <c r="I188" i="206"/>
  <c r="I189" i="206" s="1"/>
  <c r="K652" i="199"/>
  <c r="K653" i="207"/>
  <c r="N652" i="199"/>
  <c r="L15" i="204" s="1"/>
  <c r="M15" i="204" s="1"/>
  <c r="N15" i="204" s="1"/>
  <c r="N652" i="207"/>
  <c r="N653" i="207" s="1"/>
  <c r="J188" i="198"/>
  <c r="J189" i="206"/>
  <c r="G188" i="198"/>
  <c r="G188" i="206"/>
  <c r="G189" i="206" s="1"/>
  <c r="K188" i="198"/>
  <c r="K188" i="206"/>
  <c r="J652" i="199"/>
  <c r="J653" i="207"/>
  <c r="H652" i="199"/>
  <c r="H653" i="207"/>
  <c r="G653" i="207"/>
  <c r="M652" i="199"/>
  <c r="L19" i="204" s="1"/>
  <c r="M19" i="204" s="1"/>
  <c r="N19" i="204" s="1"/>
  <c r="M653" i="207"/>
  <c r="L652" i="199"/>
  <c r="L17" i="204" s="1"/>
  <c r="M17" i="204" s="1"/>
  <c r="N17" i="204" s="1"/>
  <c r="L653" i="207"/>
  <c r="I652" i="199"/>
  <c r="F188" i="198"/>
  <c r="F189" i="206"/>
  <c r="E188" i="198"/>
  <c r="E189" i="206"/>
  <c r="H188" i="198"/>
  <c r="XFD251" i="199"/>
  <c r="XFD266" i="199"/>
  <c r="XFD267" i="199" s="1"/>
  <c r="XFD270" i="199"/>
  <c r="XFD273" i="199"/>
  <c r="Q626" i="199"/>
  <c r="Q634" i="199" s="1"/>
  <c r="J651" i="199"/>
  <c r="N651" i="199"/>
  <c r="O651" i="199"/>
  <c r="O653" i="199" s="1"/>
  <c r="K651" i="199"/>
  <c r="L5" i="204" s="1"/>
  <c r="M5" i="204" s="1"/>
  <c r="N5" i="204" s="1"/>
  <c r="H651" i="199"/>
  <c r="Q650" i="199"/>
  <c r="L651" i="199"/>
  <c r="P651" i="199"/>
  <c r="P653" i="199" s="1"/>
  <c r="I651" i="199"/>
  <c r="M651" i="199"/>
  <c r="L187" i="198"/>
  <c r="L189" i="198" s="1"/>
  <c r="O34" i="198"/>
  <c r="H187" i="198"/>
  <c r="O135" i="198"/>
  <c r="F22" i="139"/>
  <c r="F22" i="138"/>
  <c r="O143" i="198"/>
  <c r="K187" i="198"/>
  <c r="G187" i="198"/>
  <c r="N187" i="198"/>
  <c r="N189" i="198" s="1"/>
  <c r="E187" i="198"/>
  <c r="I187" i="198"/>
  <c r="J187" i="198"/>
  <c r="M187" i="198"/>
  <c r="F187" i="198"/>
  <c r="Q551" i="199"/>
  <c r="Q556" i="199" s="1"/>
  <c r="Q524" i="199"/>
  <c r="Q528" i="199" s="1"/>
  <c r="Q394" i="199"/>
  <c r="Q510" i="199" s="1"/>
  <c r="Q320" i="199"/>
  <c r="Q382" i="199" s="1"/>
  <c r="Q219" i="199"/>
  <c r="Q224" i="199" s="1"/>
  <c r="Q185" i="199"/>
  <c r="Q212" i="199" s="1"/>
  <c r="Q42" i="199"/>
  <c r="Q48" i="199" s="1"/>
  <c r="N22" i="200"/>
  <c r="L31" i="204" s="1"/>
  <c r="M22" i="201"/>
  <c r="L32" i="204" s="1"/>
  <c r="M3" i="204" l="1"/>
  <c r="N3" i="204" s="1"/>
  <c r="L30" i="204"/>
  <c r="L4" i="204"/>
  <c r="L8" i="204" s="1"/>
  <c r="L12" i="204" s="1"/>
  <c r="N653" i="199"/>
  <c r="E14" i="107"/>
  <c r="F14" i="107" s="1"/>
  <c r="J653" i="199"/>
  <c r="E6" i="107" s="1"/>
  <c r="M653" i="199"/>
  <c r="I189" i="198"/>
  <c r="E15" i="204" s="1"/>
  <c r="F15" i="204" s="1"/>
  <c r="G15" i="204" s="1"/>
  <c r="H189" i="198"/>
  <c r="E5" i="204" s="1"/>
  <c r="F5" i="204" s="1"/>
  <c r="G5" i="204" s="1"/>
  <c r="I653" i="199"/>
  <c r="E5" i="107" s="1"/>
  <c r="K653" i="199"/>
  <c r="E7" i="107" s="1"/>
  <c r="L653" i="199"/>
  <c r="G653" i="199"/>
  <c r="E3" i="107" s="1"/>
  <c r="G189" i="198"/>
  <c r="E4" i="204" s="1"/>
  <c r="F4" i="204" s="1"/>
  <c r="G4" i="204" s="1"/>
  <c r="K189" i="198"/>
  <c r="E17" i="204" s="1"/>
  <c r="F17" i="204" s="1"/>
  <c r="G17" i="204" s="1"/>
  <c r="O188" i="198"/>
  <c r="E189" i="198"/>
  <c r="E3" i="204" s="1"/>
  <c r="M189" i="198"/>
  <c r="J189" i="198"/>
  <c r="E6" i="204" s="1"/>
  <c r="F6" i="204" s="1"/>
  <c r="G6" i="204" s="1"/>
  <c r="H653" i="199"/>
  <c r="E4" i="107" s="1"/>
  <c r="Q652" i="199"/>
  <c r="Q652" i="207"/>
  <c r="Q653" i="207" s="1"/>
  <c r="I653" i="207"/>
  <c r="N655" i="207" s="1"/>
  <c r="F189" i="198"/>
  <c r="E14" i="204" s="1"/>
  <c r="O188" i="206"/>
  <c r="H189" i="206"/>
  <c r="Q651" i="199"/>
  <c r="O187" i="198"/>
  <c r="M4" i="204" l="1"/>
  <c r="N4" i="204" s="1"/>
  <c r="N8" i="204" s="1"/>
  <c r="K192" i="206"/>
  <c r="Q655" i="207"/>
  <c r="E10" i="107"/>
  <c r="F10" i="107" s="1"/>
  <c r="L18" i="204"/>
  <c r="M18" i="204" s="1"/>
  <c r="N18" i="204" s="1"/>
  <c r="E11" i="107"/>
  <c r="F11" i="107" s="1"/>
  <c r="L14" i="204"/>
  <c r="E9" i="107"/>
  <c r="L16" i="204"/>
  <c r="M16" i="204" s="1"/>
  <c r="N16" i="204" s="1"/>
  <c r="F3" i="204"/>
  <c r="E7" i="204"/>
  <c r="E12" i="204" s="1"/>
  <c r="F14" i="204"/>
  <c r="E19" i="204"/>
  <c r="E25" i="204" s="1"/>
  <c r="F7" i="107"/>
  <c r="F4" i="107"/>
  <c r="F5" i="107"/>
  <c r="F6" i="107"/>
  <c r="F3" i="107"/>
  <c r="O189" i="198"/>
  <c r="Q653" i="199"/>
  <c r="M8" i="204" l="1"/>
  <c r="M12" i="204" s="1"/>
  <c r="N12" i="204"/>
  <c r="G31" i="204"/>
  <c r="M14" i="204"/>
  <c r="L22" i="204"/>
  <c r="L25" i="204" s="1"/>
  <c r="L26" i="204" s="1"/>
  <c r="L28" i="204" s="1"/>
  <c r="G14" i="204"/>
  <c r="G19" i="204" s="1"/>
  <c r="F19" i="204"/>
  <c r="F25" i="204" s="1"/>
  <c r="E26" i="204"/>
  <c r="E28" i="204" s="1"/>
  <c r="G3" i="204"/>
  <c r="G7" i="204" s="1"/>
  <c r="F7" i="204"/>
  <c r="F12" i="204" s="1"/>
  <c r="E12" i="107"/>
  <c r="E8" i="107"/>
  <c r="F9" i="107"/>
  <c r="G22" i="139"/>
  <c r="H22" i="139"/>
  <c r="I22" i="139"/>
  <c r="J22" i="139"/>
  <c r="K22" i="139"/>
  <c r="L22" i="139"/>
  <c r="M22" i="139"/>
  <c r="N22" i="139"/>
  <c r="O22" i="139"/>
  <c r="G22" i="138"/>
  <c r="H22" i="138"/>
  <c r="I22" i="138"/>
  <c r="J22" i="138"/>
  <c r="K22" i="138"/>
  <c r="L22" i="138"/>
  <c r="M22" i="138"/>
  <c r="N22" i="138"/>
  <c r="P4" i="139"/>
  <c r="P5" i="139"/>
  <c r="P6" i="139"/>
  <c r="P7" i="139"/>
  <c r="P8" i="139"/>
  <c r="P9" i="139"/>
  <c r="P10" i="139"/>
  <c r="P11" i="139"/>
  <c r="P12" i="139"/>
  <c r="P13" i="139"/>
  <c r="P14" i="139"/>
  <c r="P15" i="139"/>
  <c r="P16" i="139"/>
  <c r="P17" i="139"/>
  <c r="P18" i="139"/>
  <c r="P19" i="139"/>
  <c r="P20" i="139"/>
  <c r="P21" i="139"/>
  <c r="Q4" i="138"/>
  <c r="Q5" i="138"/>
  <c r="Q6" i="138"/>
  <c r="Q7" i="138"/>
  <c r="Q8" i="138"/>
  <c r="Q9" i="138"/>
  <c r="Q10" i="138"/>
  <c r="Q11" i="138"/>
  <c r="Q12" i="138"/>
  <c r="Q13" i="138"/>
  <c r="Q14" i="138"/>
  <c r="Q15" i="138"/>
  <c r="Q16" i="138"/>
  <c r="Q17" i="138"/>
  <c r="Q18" i="138"/>
  <c r="Q19" i="138"/>
  <c r="Q20" i="138"/>
  <c r="Q21" i="138"/>
  <c r="O22" i="138"/>
  <c r="P22" i="138"/>
  <c r="N14" i="204" l="1"/>
  <c r="N22" i="204" s="1"/>
  <c r="M22" i="204"/>
  <c r="M25" i="204" s="1"/>
  <c r="M26" i="204" s="1"/>
  <c r="M28" i="204" s="1"/>
  <c r="G12" i="204"/>
  <c r="O12" i="204" s="1"/>
  <c r="G30" i="204"/>
  <c r="G32" i="204" s="1"/>
  <c r="F26" i="204"/>
  <c r="F28" i="204" s="1"/>
  <c r="G34" i="204"/>
  <c r="G25" i="204"/>
  <c r="E13" i="107"/>
  <c r="E15" i="107" s="1"/>
  <c r="M16" i="63"/>
  <c r="J14" i="62"/>
  <c r="I14" i="62"/>
  <c r="E14" i="62"/>
  <c r="F14" i="62"/>
  <c r="H14" i="62"/>
  <c r="D14" i="62"/>
  <c r="L14" i="62"/>
  <c r="G14" i="62"/>
  <c r="J16" i="63"/>
  <c r="H16" i="63"/>
  <c r="F16" i="63"/>
  <c r="D16" i="63"/>
  <c r="K16" i="63"/>
  <c r="I16" i="63"/>
  <c r="G16" i="63"/>
  <c r="E16" i="63"/>
  <c r="P22" i="139"/>
  <c r="N7" i="63"/>
  <c r="G15" i="63"/>
  <c r="N9" i="63"/>
  <c r="N10" i="63"/>
  <c r="N14" i="63"/>
  <c r="E13" i="62"/>
  <c r="I13" i="62"/>
  <c r="N6" i="62"/>
  <c r="L13" i="62"/>
  <c r="L15" i="63"/>
  <c r="L17" i="63" s="1"/>
  <c r="K13" i="62"/>
  <c r="K15" i="62" s="1"/>
  <c r="Q22" i="138"/>
  <c r="M13" i="62"/>
  <c r="M15" i="62" s="1"/>
  <c r="H13" i="62"/>
  <c r="N9" i="62"/>
  <c r="N12" i="62"/>
  <c r="E15" i="63"/>
  <c r="H15" i="63"/>
  <c r="M15" i="63"/>
  <c r="N11" i="63"/>
  <c r="N13" i="63"/>
  <c r="I15" i="63"/>
  <c r="N10" i="62"/>
  <c r="N12" i="63"/>
  <c r="N8" i="62"/>
  <c r="D15" i="63"/>
  <c r="F15" i="63"/>
  <c r="N4" i="62"/>
  <c r="N7" i="62"/>
  <c r="F13" i="62"/>
  <c r="D13" i="62"/>
  <c r="J15" i="63"/>
  <c r="G13" i="62"/>
  <c r="N25" i="204" l="1"/>
  <c r="G35" i="204"/>
  <c r="G36" i="204" s="1"/>
  <c r="G38" i="204" s="1"/>
  <c r="G26" i="204"/>
  <c r="G28" i="204" s="1"/>
  <c r="M17" i="63"/>
  <c r="F15" i="62"/>
  <c r="I15" i="62"/>
  <c r="H15" i="62"/>
  <c r="L15" i="62"/>
  <c r="E17" i="63"/>
  <c r="N16" i="63"/>
  <c r="J17" i="63"/>
  <c r="F17" i="63"/>
  <c r="D17" i="63"/>
  <c r="I17" i="63"/>
  <c r="H17" i="63"/>
  <c r="E15" i="62"/>
  <c r="G17" i="63"/>
  <c r="N14" i="62"/>
  <c r="G15" i="62"/>
  <c r="N6" i="63"/>
  <c r="D15" i="62"/>
  <c r="N5" i="62"/>
  <c r="N8" i="63"/>
  <c r="N26" i="204" l="1"/>
  <c r="N28" i="204" s="1"/>
  <c r="O28" i="204" s="1"/>
  <c r="O25" i="204"/>
  <c r="F8" i="107"/>
  <c r="O26" i="204" l="1"/>
  <c r="N5" i="63"/>
  <c r="N15" i="63" s="1"/>
  <c r="N17" i="63" s="1"/>
  <c r="K15" i="63" l="1"/>
  <c r="K17" i="63" s="1"/>
  <c r="O176" i="206"/>
  <c r="O177" i="206" s="1"/>
  <c r="O187" i="206" s="1"/>
  <c r="O189" i="206" s="1"/>
  <c r="K177" i="206"/>
  <c r="J11" i="62" s="1"/>
  <c r="N11" i="62" s="1"/>
  <c r="K187" i="206" l="1"/>
  <c r="K189" i="206" s="1"/>
  <c r="K191" i="206" s="1"/>
  <c r="F12" i="107"/>
  <c r="F13" i="107" s="1"/>
  <c r="F15" i="107" s="1"/>
  <c r="J13" i="62"/>
  <c r="O191" i="206" l="1"/>
  <c r="K193" i="206"/>
  <c r="J15" i="62"/>
  <c r="N15" i="62" s="1"/>
  <c r="N13" i="62"/>
</calcChain>
</file>

<file path=xl/sharedStrings.xml><?xml version="1.0" encoding="utf-8"?>
<sst xmlns="http://schemas.openxmlformats.org/spreadsheetml/2006/main" count="2894" uniqueCount="1250">
  <si>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</si>
  <si>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</si>
  <si>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</si>
  <si>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</si>
  <si>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</si>
  <si>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</si>
  <si>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</si>
  <si>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</si>
  <si>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</si>
  <si>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</si>
  <si>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</si>
  <si>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</si>
  <si>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</si>
  <si>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</si>
  <si>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</si>
  <si>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</si>
  <si>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</si>
  <si>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</si>
  <si>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</si>
  <si>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</si>
  <si>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</si>
  <si>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</si>
  <si>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</si>
  <si>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</si>
  <si>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</si>
  <si>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</si>
  <si>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</si>
  <si>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</si>
  <si>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</si>
  <si>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</si>
  <si>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</si>
  <si>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</si>
  <si>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</si>
  <si>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</si>
  <si>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</si>
  <si>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</si>
  <si>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</si>
  <si>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</si>
  <si>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</si>
  <si>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</si>
  <si>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</si>
  <si>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</si>
  <si>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</si>
  <si>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</si>
  <si>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</si>
  <si>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</si>
  <si>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</si>
  <si>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</si>
  <si>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</si>
  <si>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</si>
  <si>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</si>
  <si>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</si>
  <si>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</si>
  <si>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</si>
  <si>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</si>
  <si>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</si>
  <si>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</si>
  <si>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</si>
  <si>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</si>
  <si>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</si>
  <si>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</si>
  <si>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</si>
  <si>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</si>
  <si>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</si>
  <si>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</si>
  <si>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</si>
  <si>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</si>
  <si>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</si>
  <si>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</si>
  <si>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</si>
  <si>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</si>
  <si>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</si>
  <si>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</si>
  <si>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</si>
  <si>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</si>
  <si>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</si>
  <si>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</si>
  <si>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</si>
  <si>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</si>
  <si>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</si>
  <si>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</si>
  <si>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</si>
  <si>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</si>
  <si>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</si>
  <si>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</si>
  <si>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</si>
  <si>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</si>
  <si>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</si>
  <si>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</si>
  <si>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</si>
  <si>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</si>
  <si>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</si>
  <si>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</si>
  <si>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</si>
  <si>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</si>
  <si>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</si>
  <si>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</si>
  <si>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</si>
  <si>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</si>
  <si>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</si>
  <si>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</si>
  <si>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</si>
  <si>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</si>
  <si>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</si>
  <si>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</si>
  <si>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</si>
  <si>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</si>
  <si>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</si>
  <si>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</si>
  <si>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</si>
  <si>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</si>
  <si>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</si>
  <si>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</si>
  <si>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</si>
  <si>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</si>
  <si>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</si>
  <si>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</si>
  <si>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</si>
  <si>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</si>
  <si>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</si>
  <si>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</si>
  <si>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</si>
  <si>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</si>
  <si>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</si>
  <si>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</si>
  <si>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</si>
  <si>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</si>
  <si>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</si>
  <si>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</si>
  <si>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</si>
  <si>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</si>
  <si>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</si>
  <si>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</si>
  <si>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</si>
  <si>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</si>
  <si>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</si>
  <si>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</si>
  <si>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</si>
  <si>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</si>
  <si>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</si>
  <si>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</si>
  <si>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</si>
  <si>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</si>
  <si>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</si>
  <si>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</si>
  <si>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</si>
  <si>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</si>
  <si>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</si>
  <si>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</si>
  <si>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</si>
  <si>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</si>
  <si>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</si>
  <si>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</si>
  <si>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</si>
  <si>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</si>
  <si>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</si>
  <si>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</si>
  <si>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</si>
  <si>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</si>
  <si>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</si>
  <si>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</si>
  <si>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</si>
  <si>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</si>
  <si>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</si>
  <si>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</si>
  <si>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</si>
  <si>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</si>
  <si>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</si>
  <si>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</si>
  <si>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</si>
  <si>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</si>
  <si>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</si>
  <si>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</si>
  <si>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</si>
  <si>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</si>
  <si>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</si>
  <si>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</si>
  <si>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</si>
  <si>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</si>
  <si>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</si>
  <si>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</si>
  <si>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</si>
  <si>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</si>
  <si>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</si>
  <si>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</si>
  <si>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</si>
  <si>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</si>
  <si>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</si>
  <si>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</si>
  <si>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</si>
  <si>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</si>
  <si>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</si>
  <si>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</si>
  <si>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</si>
  <si>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</si>
  <si>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</si>
  <si>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</si>
  <si>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</si>
  <si>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</si>
  <si>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</si>
  <si>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</si>
  <si>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</si>
  <si>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</si>
  <si>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</si>
  <si>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</si>
  <si>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</si>
  <si>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</si>
  <si>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</si>
  <si>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</si>
  <si>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</si>
  <si>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</si>
  <si>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</si>
  <si>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</si>
  <si>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</si>
  <si>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</si>
  <si>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</si>
  <si>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</si>
  <si>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TOP-6.1.2-16-ZL1-2017-00001 Inkubátorház bővítés Zalaegerszegen-III.ütem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</si>
  <si>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</si>
  <si>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</si>
  <si>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</si>
  <si>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</si>
  <si>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</si>
  <si>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</si>
  <si>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</si>
  <si>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</si>
  <si>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</si>
  <si>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</si>
  <si>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</si>
  <si>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</si>
  <si>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</si>
  <si>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</si>
  <si>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</si>
  <si>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</si>
  <si>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</si>
  <si>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</si>
  <si>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</si>
  <si>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</si>
  <si>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</si>
  <si>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</si>
  <si>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</si>
  <si>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</si>
  <si>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</si>
  <si>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</si>
  <si>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</si>
  <si>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</si>
  <si>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</si>
  <si>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</si>
  <si>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</si>
  <si>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</si>
  <si>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</si>
  <si>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</si>
  <si>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</si>
  <si>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</si>
  <si>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</si>
  <si>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</si>
  <si>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</si>
  <si>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</si>
  <si>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</si>
  <si>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</si>
  <si>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</si>
  <si>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</si>
  <si>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</si>
  <si>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</si>
  <si>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</si>
  <si>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</si>
  <si>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</si>
  <si>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</si>
  <si>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</si>
  <si>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</si>
  <si>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</si>
  <si>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</si>
  <si>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</si>
  <si>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</si>
  <si>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</si>
  <si>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</si>
  <si>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</si>
  <si>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</si>
  <si>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</si>
  <si>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</si>
  <si>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</si>
  <si>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</si>
  <si>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</si>
  <si>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</si>
  <si>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</si>
  <si>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</si>
  <si>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</si>
  <si>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</si>
  <si>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</si>
  <si>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</si>
  <si>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</si>
  <si>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</si>
  <si>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</si>
  <si>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</si>
  <si>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</si>
  <si>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</si>
  <si>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</si>
  <si>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</si>
  <si>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</si>
  <si>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</si>
  <si>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</si>
  <si>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</si>
  <si>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</si>
  <si>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</si>
  <si>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</si>
  <si>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</si>
  <si>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</si>
  <si>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</si>
  <si>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</si>
  <si>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</si>
  <si>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</si>
  <si>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</si>
  <si>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</si>
  <si>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</si>
  <si>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</si>
  <si>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</si>
  <si>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</si>
  <si>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</si>
  <si>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</si>
  <si>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</si>
  <si>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</si>
  <si>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</si>
  <si>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</si>
  <si>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</si>
  <si>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</si>
  <si>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</si>
  <si>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</si>
  <si>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</si>
  <si>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</si>
  <si>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</si>
  <si>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</si>
  <si>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</si>
  <si>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</si>
  <si>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</si>
  <si>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</si>
  <si>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</si>
  <si>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</si>
  <si>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</si>
  <si>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</si>
  <si>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</si>
  <si>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</si>
  <si>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</si>
  <si>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</si>
  <si>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</si>
  <si>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</si>
  <si>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</si>
  <si>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</si>
  <si>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</si>
  <si>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</si>
  <si>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</si>
  <si>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</si>
  <si>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</si>
  <si>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</si>
  <si>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</si>
  <si>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</si>
  <si>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</si>
  <si>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</si>
  <si>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</si>
  <si>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</si>
  <si>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</si>
  <si>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</si>
  <si>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</si>
  <si>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</si>
  <si>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</si>
  <si>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</si>
  <si>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</si>
  <si>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</si>
  <si>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</si>
  <si>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</si>
  <si>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</si>
  <si>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</si>
  <si>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</si>
  <si>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</si>
  <si>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</si>
  <si>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</si>
  <si>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</si>
  <si>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</si>
  <si>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</si>
  <si>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</si>
  <si>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</si>
  <si>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</si>
  <si>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</si>
  <si>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</si>
  <si>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</si>
  <si>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</si>
  <si>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</si>
  <si>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</si>
  <si>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</si>
  <si>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</si>
  <si>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</si>
  <si>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</si>
  <si>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</si>
  <si>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</si>
  <si>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</si>
  <si>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</si>
  <si>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</si>
  <si>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</si>
  <si>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</si>
  <si>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</si>
  <si>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</si>
  <si>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</si>
  <si>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</si>
  <si>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</si>
  <si>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</si>
  <si>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</si>
  <si>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</si>
  <si>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</si>
  <si>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</si>
  <si>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</si>
  <si>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</si>
  <si>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</si>
  <si>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</si>
  <si>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</si>
  <si>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</si>
  <si>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</si>
  <si>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</si>
  <si>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</si>
  <si>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</si>
  <si>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</si>
  <si>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</si>
  <si>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</si>
  <si>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</si>
  <si>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</si>
  <si>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</si>
  <si>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</si>
  <si>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</si>
  <si>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</si>
  <si>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</si>
  <si>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</si>
  <si>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</si>
  <si>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</si>
  <si>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</si>
  <si>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</si>
  <si>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</si>
  <si>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</si>
  <si>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</si>
  <si>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</si>
  <si>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</si>
  <si>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</si>
  <si>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</si>
  <si>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</si>
  <si>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</si>
  <si>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</si>
  <si>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</si>
  <si>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</si>
  <si>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</si>
  <si>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</si>
  <si>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</si>
  <si>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</si>
  <si>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</si>
  <si>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</si>
  <si>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</si>
  <si>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</si>
  <si>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</si>
  <si>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</si>
  <si>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</si>
  <si>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</si>
  <si>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</si>
  <si>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</si>
  <si>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</si>
  <si>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</si>
  <si>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</si>
  <si>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1.a/3</t>
  </si>
  <si>
    <t>Ivóvíz beruházások</t>
  </si>
  <si>
    <t xml:space="preserve">Közvilágítás és egyéb közmű </t>
  </si>
  <si>
    <t>3.a/1</t>
  </si>
  <si>
    <t>Közvilágítás fejlesztés</t>
  </si>
  <si>
    <t>4./1</t>
  </si>
  <si>
    <t>4./2</t>
  </si>
  <si>
    <t>4./3</t>
  </si>
  <si>
    <t>4./4</t>
  </si>
  <si>
    <t>4./5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</si>
  <si>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</si>
  <si>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</si>
  <si>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</si>
  <si>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</si>
  <si>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</si>
  <si>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</si>
  <si>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</si>
  <si>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</si>
  <si>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</si>
  <si>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</si>
  <si>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</si>
  <si>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</si>
  <si>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</si>
  <si>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</si>
  <si>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</si>
  <si>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</si>
  <si>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</si>
  <si>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</si>
  <si>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</si>
  <si>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</si>
  <si>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</si>
  <si>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</si>
  <si>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</si>
  <si>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</si>
  <si>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</si>
  <si>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</si>
  <si>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</si>
  <si>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</si>
  <si>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</si>
  <si>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</si>
  <si>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</si>
  <si>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</si>
  <si>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</si>
  <si>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</si>
  <si>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</si>
  <si>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</si>
  <si>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</si>
  <si>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</si>
  <si>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</si>
  <si>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</si>
  <si>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</si>
  <si>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</si>
  <si>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</si>
  <si>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</si>
  <si>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</si>
  <si>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</si>
  <si>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</si>
  <si>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</si>
  <si>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</si>
  <si>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</si>
  <si>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</si>
  <si>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</si>
  <si>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</si>
  <si>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</si>
  <si>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</si>
  <si>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</si>
  <si>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</si>
  <si>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</si>
  <si>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</si>
  <si>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</si>
  <si>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</si>
  <si>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</si>
  <si>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</si>
  <si>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</si>
  <si>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</si>
  <si>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</si>
  <si>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</si>
  <si>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</si>
  <si>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</si>
  <si>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</si>
  <si>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</si>
  <si>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</si>
  <si>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</si>
  <si>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</si>
  <si>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</si>
  <si>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</si>
  <si>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</si>
  <si>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</si>
  <si>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</si>
  <si>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</si>
  <si>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</si>
  <si>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</si>
  <si>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</si>
  <si>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</si>
  <si>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</si>
  <si>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</si>
  <si>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</si>
  <si>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</si>
  <si>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</si>
  <si>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</si>
  <si>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</si>
  <si>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</si>
  <si>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</si>
  <si>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</si>
  <si>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</si>
  <si>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</si>
  <si>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</si>
  <si>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</si>
  <si>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</si>
  <si>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</si>
  <si>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</si>
  <si>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</si>
  <si>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</si>
  <si>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</si>
  <si>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</si>
  <si>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</si>
  <si>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</si>
  <si>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</si>
  <si>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</si>
  <si>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</si>
  <si>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</si>
  <si>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</si>
  <si>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</si>
  <si>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</si>
  <si>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</si>
  <si>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</si>
  <si>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</si>
  <si>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</si>
  <si>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</si>
  <si>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</si>
  <si>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</si>
  <si>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</si>
  <si>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</si>
  <si>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</si>
  <si>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</si>
  <si>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</si>
  <si>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</si>
  <si>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</si>
  <si>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</si>
  <si>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</si>
  <si>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</si>
  <si>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</si>
  <si>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</si>
  <si>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</si>
  <si>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</si>
  <si>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</si>
  <si>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</si>
  <si>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</si>
  <si>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</si>
  <si>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</si>
  <si>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</si>
  <si>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</si>
  <si>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</si>
  <si>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</si>
  <si>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</si>
  <si>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</si>
  <si>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</si>
  <si>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</si>
  <si>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</si>
  <si>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</si>
  <si>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</si>
  <si>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</si>
  <si>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</si>
  <si>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</si>
  <si>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</si>
  <si>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</si>
  <si>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</si>
  <si>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</si>
  <si>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</si>
  <si>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</si>
  <si>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</si>
  <si>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</si>
  <si>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</si>
  <si>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</si>
  <si>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</si>
  <si>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</si>
  <si>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</si>
  <si>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</si>
  <si>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</si>
  <si>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>151607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</si>
  <si>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</si>
  <si>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</si>
  <si>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</si>
  <si>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</si>
  <si>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</si>
  <si>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</si>
  <si>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</si>
  <si>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</si>
  <si>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</si>
  <si>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</si>
  <si>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</si>
  <si>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Gébárti tó fejlesztési, üzemeltetési, magasabb szintű fenntartási feladatai VÜCS</t>
  </si>
  <si>
    <t>Nem víziközmű vagyon fejlesztése</t>
  </si>
  <si>
    <t>Ady u.15. és 17. számú ingatlanok között lévő ingatlanon új elektromos tolókapu építése</t>
  </si>
  <si>
    <t xml:space="preserve"> - Városfejlesztő Zrt. működési kiadása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</si>
  <si>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</si>
  <si>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</si>
  <si>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</si>
  <si>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</si>
  <si>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</si>
  <si>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</si>
  <si>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</si>
  <si>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</si>
  <si>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</si>
  <si>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</si>
  <si>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</si>
  <si>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</si>
  <si>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</si>
  <si>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</si>
  <si>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</si>
  <si>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</si>
  <si>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</si>
  <si>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</si>
  <si>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</si>
  <si>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</si>
  <si>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</si>
  <si>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</si>
  <si>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</si>
  <si>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</si>
  <si>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</si>
  <si>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</si>
  <si>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</si>
  <si>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</si>
  <si>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</si>
  <si>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</si>
  <si>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</si>
  <si>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</si>
  <si>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</si>
  <si>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</si>
  <si>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</si>
  <si>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</si>
  <si>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</si>
  <si>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</si>
  <si>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</si>
  <si>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</si>
  <si>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</si>
  <si>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</si>
  <si>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</si>
  <si>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</si>
  <si>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</si>
  <si>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</si>
  <si>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</si>
  <si>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>Parkolóépítés parkolómegváltás bevételéből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</si>
  <si>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</si>
  <si>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</si>
  <si>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</si>
  <si>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</si>
  <si>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</si>
  <si>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</si>
  <si>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</si>
  <si>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</si>
  <si>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</si>
  <si>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</si>
  <si>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</si>
  <si>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</si>
  <si>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</si>
  <si>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</si>
  <si>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</si>
  <si>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10./1.a./2</t>
  </si>
  <si>
    <t>10./1.a./11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</si>
  <si>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</si>
  <si>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</si>
  <si>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</si>
  <si>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</si>
  <si>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</si>
  <si>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</si>
  <si>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</si>
  <si>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</si>
  <si>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</si>
  <si>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</si>
  <si>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>Módosítás hatáskör szerint</t>
  </si>
  <si>
    <t>Módosítás összege</t>
  </si>
  <si>
    <t>Módosítás     összege</t>
  </si>
  <si>
    <t>Módosítás         összege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</si>
  <si>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</si>
  <si>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</si>
  <si>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</si>
  <si>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</si>
  <si>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</si>
  <si>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</si>
  <si>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</si>
  <si>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</si>
  <si>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   - gázártámogatás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</si>
  <si>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</si>
  <si>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</si>
  <si>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</si>
  <si>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</si>
  <si>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TOP Plusz-1.2.1-21-ZA2-2022-00006 Zeg-Teskánd kerékpárút projekt</t>
  </si>
  <si>
    <t>10./2.</t>
  </si>
  <si>
    <t>10./2.a/1</t>
  </si>
  <si>
    <t>10./2.a/2</t>
  </si>
  <si>
    <t>10./2.a/3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</si>
  <si>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</si>
  <si>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</si>
  <si>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</si>
  <si>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</si>
  <si>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</si>
  <si>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</si>
  <si>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</si>
  <si>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</si>
  <si>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</si>
  <si>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</si>
  <si>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4./6</t>
  </si>
  <si>
    <t>Aquacity és egyéb gébárti létesítmények felújítása</t>
  </si>
  <si>
    <t>3.) Közhatalmi bevételek</t>
  </si>
  <si>
    <t>Egyéb áruhasználati és szolgáltatási adók ( idegenforgalmi adó)</t>
  </si>
  <si>
    <t>Egyéb közhatalmi bevételek (különféle bírságok, talajterhelési díj)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</si>
  <si>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</si>
  <si>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</si>
  <si>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</si>
  <si>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 xml:space="preserve">        bértámogatás  682/2021. (XII.16.) Korm.rendelet </t>
  </si>
  <si>
    <t>Zalaegerszegi Múzeumok Igazgatósága</t>
  </si>
  <si>
    <t>Göcseji Tudásközpont - Zalaegerszegi Helyi Termék Piac</t>
  </si>
  <si>
    <t xml:space="preserve"> - Gébárti fürdő lét. üzemeltetése</t>
  </si>
  <si>
    <t xml:space="preserve">  - állategészségügyi tevékenység</t>
  </si>
  <si>
    <t>151902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</si>
  <si>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</si>
  <si>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</si>
  <si>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</si>
  <si>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</si>
  <si>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</si>
  <si>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 állampapír beváltás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</si>
  <si>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</si>
  <si>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</si>
  <si>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</si>
  <si>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</si>
  <si>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</si>
  <si>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</si>
  <si>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</si>
  <si>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Gébárti Művésztelep</t>
  </si>
  <si>
    <t xml:space="preserve"> - Zala Open támogatása</t>
  </si>
  <si>
    <t xml:space="preserve"> - Restart fesztivál</t>
  </si>
  <si>
    <t xml:space="preserve"> - Mányoki Attila versenyfelkészülésének támogatása</t>
  </si>
  <si>
    <t>2./2</t>
  </si>
  <si>
    <t>Keresztury ház felújítása</t>
  </si>
  <si>
    <t>2./3</t>
  </si>
  <si>
    <t>2./4</t>
  </si>
  <si>
    <t>2./5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</si>
  <si>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</si>
  <si>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</si>
  <si>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</si>
  <si>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</si>
  <si>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</si>
  <si>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</si>
  <si>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</si>
  <si>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</si>
  <si>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</si>
  <si>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</si>
  <si>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</si>
  <si>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</si>
  <si>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</si>
  <si>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Gébárt Kézműves háznál térburkolat felújítás aszfalttal</t>
  </si>
  <si>
    <t>Gébárt Aszfaltozás gáti sétányon</t>
  </si>
  <si>
    <t xml:space="preserve">Gébárt Tóstrand paroló tervezés és zuzalékolás </t>
  </si>
  <si>
    <t>Utastájékoztató létesítése</t>
  </si>
  <si>
    <t>Körmendi út gyalogátkelő (Közúttal közösen)</t>
  </si>
  <si>
    <t xml:space="preserve">Pityke utca martaszfaltos felújítás </t>
  </si>
  <si>
    <t>Járdafelújítások</t>
  </si>
  <si>
    <t>Szívhegyi út útburkolat felújítása</t>
  </si>
  <si>
    <t>Balatoni út térköves felálló megszüntetése</t>
  </si>
  <si>
    <t>5./1</t>
  </si>
  <si>
    <t>Játszóterek fejlesztése</t>
  </si>
  <si>
    <t>Kutyastrand fejlesztése</t>
  </si>
  <si>
    <t>8./1</t>
  </si>
  <si>
    <t xml:space="preserve"> - IT karbantartás</t>
  </si>
  <si>
    <t>Vízelőkészítő gépház és kutak felújítása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</si>
  <si>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</si>
  <si>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</si>
  <si>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</si>
  <si>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</si>
  <si>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</si>
  <si>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</si>
  <si>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</si>
  <si>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</si>
  <si>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</si>
  <si>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Településrészi önkormányzatok közösségi helyeinek rezsiköltsége</t>
  </si>
  <si>
    <t>2025. évi  eredeti előirányzat</t>
  </si>
  <si>
    <t>2025. évi  módosított előirányzat</t>
  </si>
  <si>
    <t>4.) Felhalmozási célú átvett pénzeszközök</t>
  </si>
  <si>
    <t>5.) Fejlesztéshez működési jellegű bevétel (HD, áfa visszaigénylés)</t>
  </si>
  <si>
    <t>7.) Előző év költségvetési maradványának igénybevétele</t>
  </si>
  <si>
    <t>2025. évi eredeti előirányzat</t>
  </si>
  <si>
    <t>2025. évi módosított előirányzat</t>
  </si>
  <si>
    <t xml:space="preserve">7.) Forgatási célú értékpapír vásárlás hazai forrásból átmenetileg szabad pénzeszközökből </t>
  </si>
  <si>
    <t>2025. tervezett bevétel</t>
  </si>
  <si>
    <t>2025. módosított  bevételi ei.</t>
  </si>
  <si>
    <t>EREDETI EI.</t>
  </si>
  <si>
    <t>Forintban</t>
  </si>
  <si>
    <t xml:space="preserve">   -pedagógusok 2025. január 1-jei béremeléséhez</t>
  </si>
  <si>
    <t>2.4.9. Zalaegerszegi Mindszentyneum működtetési támogatása</t>
  </si>
  <si>
    <t>Állami hozzájárulás összesen:</t>
  </si>
  <si>
    <t xml:space="preserve"> - Andráshidai TE részére TAO támogatás megelőlegezés visszafizetése</t>
  </si>
  <si>
    <t xml:space="preserve"> - Helyi építészeti értékek védelme alap</t>
  </si>
  <si>
    <t xml:space="preserve"> - Zalai Közszolgáltató Nonprofit Kft. bérleti díj</t>
  </si>
  <si>
    <t>151603</t>
  </si>
  <si>
    <t xml:space="preserve"> - ZALAVÍZ Zrt. nem víziközmű után fizetendő bérleti díj</t>
  </si>
  <si>
    <t xml:space="preserve"> - TOP_PLUSZ-6.2.1-23-ZL1-2023-00001 Csácsbozsoki kilátó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</si>
  <si>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</si>
  <si>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</si>
  <si>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</si>
  <si>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- Északi Ipari park infrastuktúra fejlesztésével összefüggő közműfejlesztések és közműcsatlakozások - csapadékvíz biztonságos kezelése Nagypáli</t>
  </si>
  <si>
    <t xml:space="preserve"> - 2024. évi maradvány igénybevétele áthúzódó és új feladatokhoz</t>
  </si>
  <si>
    <t xml:space="preserve"> - 2024. évi maradvány igénybevétele áthúzódó   feladathoz</t>
  </si>
  <si>
    <t xml:space="preserve"> -  normatív támogatás növekménye 2025. februári felméréssel</t>
  </si>
  <si>
    <t xml:space="preserve"> - kulturális dolgozóknál minimálbér emelés többlete</t>
  </si>
  <si>
    <t xml:space="preserve"> - Zalaegerszegi Múzeumok Igazgatósága részére  megelőlegezett ált.forgalmi adó visszafizetése</t>
  </si>
  <si>
    <t>2024. évről áthúzódó feladat</t>
  </si>
  <si>
    <t>- Zegasztár támogatása</t>
  </si>
  <si>
    <t>- Formula Student East</t>
  </si>
  <si>
    <t xml:space="preserve"> - Városi Hangverseny- és Kiállítóteremben rendezvények </t>
  </si>
  <si>
    <t xml:space="preserve"> - Zalaegerszegi Múzeumok Igazgatósága  a '80-as évek kiállítás</t>
  </si>
  <si>
    <t xml:space="preserve"> - Városi karácsonyi hangverseny</t>
  </si>
  <si>
    <t xml:space="preserve"> - Kárpát-medencei ifjúsági tábor</t>
  </si>
  <si>
    <t xml:space="preserve"> - 140 éves jubileum</t>
  </si>
  <si>
    <t xml:space="preserve"> - II. Nemzetközi Tánc és Világzenei Fesztivál</t>
  </si>
  <si>
    <t xml:space="preserve"> - Városi Gyermeknap</t>
  </si>
  <si>
    <t xml:space="preserve"> - Prósza Fesztivál</t>
  </si>
  <si>
    <t>- Fogyatékos Otthon támogatása</t>
  </si>
  <si>
    <t xml:space="preserve"> -   egyéb szociális és egészségügyi szolgáltatás</t>
  </si>
  <si>
    <t xml:space="preserve"> - Egészséges Zalaegerszeg Program indítása</t>
  </si>
  <si>
    <t xml:space="preserve"> - ZTE FC Zrt. támogatása </t>
  </si>
  <si>
    <t xml:space="preserve"> - Zala Megyei  Diáksport Szövetség támogatása</t>
  </si>
  <si>
    <t xml:space="preserve"> - Armada Szabadidő Egyesület támogatása</t>
  </si>
  <si>
    <t xml:space="preserve"> - Zalaegerszegi Kétkerék SE támogatása</t>
  </si>
  <si>
    <t>- Press Dance International World Dance</t>
  </si>
  <si>
    <t>Deák Könyvtár előlépcső felújítás</t>
  </si>
  <si>
    <t>Deák Könyvtár gépészeti rendszer felújítása</t>
  </si>
  <si>
    <t>Korbay Károly emléktábla</t>
  </si>
  <si>
    <t>Emléktábla a vasútállomás falára</t>
  </si>
  <si>
    <t>Orvosi rendelő és idősotthon fűtés rekonstrukció</t>
  </si>
  <si>
    <t>3./2</t>
  </si>
  <si>
    <t>Idősek otthona fürdőszoba felújítások</t>
  </si>
  <si>
    <t>Sportcsarnok ajtókiváltás</t>
  </si>
  <si>
    <t>Uszoda fejlesztés</t>
  </si>
  <si>
    <t>Zrínyi M. Gimnázium felújítása</t>
  </si>
  <si>
    <t>Egészségügyi létesítmények karbantartása és felújítása</t>
  </si>
  <si>
    <t>6.a/4</t>
  </si>
  <si>
    <t>Alsóerdei Sport- és Élménypark fejlesztése</t>
  </si>
  <si>
    <t>6.a/5</t>
  </si>
  <si>
    <t>Andráshidai TE részére TAO támogatás megelőlegezése</t>
  </si>
  <si>
    <t>Helyi építészeti értékek védelme alap</t>
  </si>
  <si>
    <t xml:space="preserve"> - Kerékpáros pihenők, fahidak javítása, karbantartása, festése</t>
  </si>
  <si>
    <t xml:space="preserve"> - közlekedésbiztonságot veszélyeztető növényzet eltávolítása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</si>
  <si>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</si>
  <si>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</si>
  <si>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</si>
  <si>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városüzemeléssel kapcsolatos pályázati kiadások</t>
  </si>
  <si>
    <t xml:space="preserve"> -  E-közmű adatszolgáltatás</t>
  </si>
  <si>
    <t>Orsolya tér csapadékvíz-elvezetési beavatkozások</t>
  </si>
  <si>
    <t>Városvég u. közvilágítás kiépítése</t>
  </si>
  <si>
    <t>3./2.</t>
  </si>
  <si>
    <t>Díszvilágítás elromlott sorok cseréje, fejlesztés</t>
  </si>
  <si>
    <t>3.a/2</t>
  </si>
  <si>
    <t xml:space="preserve">Út,  járda parkoló </t>
  </si>
  <si>
    <t xml:space="preserve">4./.1 </t>
  </si>
  <si>
    <t>Magánerős útépítés</t>
  </si>
  <si>
    <t>5.a/2</t>
  </si>
  <si>
    <t>5.a/3</t>
  </si>
  <si>
    <t>5.a/4</t>
  </si>
  <si>
    <t>Ebrendészeti telep felújítása önrész</t>
  </si>
  <si>
    <t>MOGIM és Falumúzeum szennyvízelvezetés</t>
  </si>
  <si>
    <t xml:space="preserve">Szívhegyi út csapadékvíz rendezés </t>
  </si>
  <si>
    <t>1.a/4</t>
  </si>
  <si>
    <t xml:space="preserve">Átalszegett utcai csapadékcsatorna rekonstrukció </t>
  </si>
  <si>
    <t>Kossuth Lajos utca tervezés</t>
  </si>
  <si>
    <t>Petőfi utca felújítás</t>
  </si>
  <si>
    <t>Ady-Petőfi új gyalogátkelőhely és közvilágítás</t>
  </si>
  <si>
    <t>Baross liget sétány</t>
  </si>
  <si>
    <t>Alsójánkahegyi u. (Mindszenty iskola mellett) gyalogos sétány építés, kerítés átépítés</t>
  </si>
  <si>
    <t>Vágóhíd tehermentesítő gyalogos átkelőhely fejlesztés (okos zebra csere)</t>
  </si>
  <si>
    <t>Bartók B.u. járdafelújítás</t>
  </si>
  <si>
    <t>Ebergényi úton  útcsatlakozás aszfaltozás munkái</t>
  </si>
  <si>
    <t>Ebergényi úton felújítás</t>
  </si>
  <si>
    <t>Rózsa liget tervezés</t>
  </si>
  <si>
    <t>6./1.</t>
  </si>
  <si>
    <t>Előtervezések magasépítési feladatokhoz</t>
  </si>
  <si>
    <t>6./2.</t>
  </si>
  <si>
    <t>Arányos városfejlesztés tervezés/előkészítés</t>
  </si>
  <si>
    <t>Előtervezések út- és közműépítési feladatokhoz (KKVP)</t>
  </si>
  <si>
    <t>7.a/1.</t>
  </si>
  <si>
    <t>Vásárcsarnok részére hulladékgyűjtő sziget kialakítása</t>
  </si>
  <si>
    <t>Energetikai tervezés</t>
  </si>
  <si>
    <t>Jákum utca 1. bontás</t>
  </si>
  <si>
    <t>Önkormányzat tulajdonában lévő bérlakások   teljes vagy részleges  felújítása, korszerűsítése  (Lakásalap)</t>
  </si>
  <si>
    <t xml:space="preserve">Nyugdíjas otthonházi lakások felújítása </t>
  </si>
  <si>
    <t>Energiamanagement szoftver</t>
  </si>
  <si>
    <t>10./1./1.</t>
  </si>
  <si>
    <t>TOP   és egyéb projektek lebonyolításához kapcsolódó költségek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</si>
  <si>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</si>
  <si>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</si>
  <si>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</si>
  <si>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</si>
  <si>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>10./3.a/5</t>
  </si>
  <si>
    <t>Ingatlan vásárlás Városfejlesztő  Zrt. lebonyolításában</t>
  </si>
  <si>
    <t xml:space="preserve"> - ASP bevezetésének előkészítése</t>
  </si>
  <si>
    <t xml:space="preserve"> - Zala Vármegyei Rendőr-főkapitányság támogatása</t>
  </si>
  <si>
    <t xml:space="preserve"> - 2024. évi állami hozzájárulás elszámolása </t>
  </si>
  <si>
    <t xml:space="preserve"> - 2025. évi állami hozzájárulás 0. havi előleg visszafizetése </t>
  </si>
  <si>
    <t xml:space="preserve"> - Horvát Nemzetiségi Önkormányzat támogatása</t>
  </si>
  <si>
    <t xml:space="preserve"> - Zalaegerszegi Médiacentrum Kft. működési támogatása</t>
  </si>
  <si>
    <t xml:space="preserve"> - MJVSZ jegyzői kollégium rendezvény</t>
  </si>
  <si>
    <t>Héviz Balaton Airport Kft.  üzletrész vásárlás</t>
  </si>
  <si>
    <t xml:space="preserve"> Gébárti turisztikai táblák</t>
  </si>
  <si>
    <t xml:space="preserve">Kjt 77. § (1) bekezdése  szerinti keresetkiegészítés </t>
  </si>
  <si>
    <t xml:space="preserve"> - Ebrendészeti telep felújításához támogatás a Közös ügyünk az állatvédelem Alapítványtól</t>
  </si>
  <si>
    <t>154908</t>
  </si>
  <si>
    <t>152442</t>
  </si>
  <si>
    <t xml:space="preserve"> - TOP_PLUSZ-3.4.1-23-ZL1-2024-00004 Zala Vármegyei Pedagógiai Szakszolgálat fejlesztése</t>
  </si>
  <si>
    <t xml:space="preserve"> - államháztartáson belüli megelőlegezés</t>
  </si>
  <si>
    <t xml:space="preserve"> - Nyugdíjas Otthonházi  adományok</t>
  </si>
  <si>
    <r>
      <t xml:space="preserve"> - 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Nemzeti Orvosbiológiai Alapítvány tudósképző akadémia programjának támogatása</t>
    </r>
  </si>
  <si>
    <t xml:space="preserve"> - "Fiatalok az Egészséges Jövőért"  Alapítvány országos vetélkedője</t>
  </si>
  <si>
    <t xml:space="preserve"> - Mindszentyneum működési támogatás  átadása </t>
  </si>
  <si>
    <t>10./1./2.</t>
  </si>
  <si>
    <t xml:space="preserve"> TOP_PLUSZ-3.4.1-23-ZL1-2024-00004 Zala Vármegyei Pedagógiai Szakszolgálat fejlesztése</t>
  </si>
  <si>
    <t>Ingatlanvásárlások</t>
  </si>
  <si>
    <t xml:space="preserve"> - városi kamerarendszer működtetése, karbantartása</t>
  </si>
  <si>
    <t xml:space="preserve"> - államháztartáson belüli megelőlegezések visszafizetése</t>
  </si>
  <si>
    <t xml:space="preserve"> - Szelestey hagyaték felvásárlásához támogatás</t>
  </si>
  <si>
    <t>2./6.</t>
  </si>
  <si>
    <t>Szelestey hagyaték felvásárlása</t>
  </si>
  <si>
    <t>IX. Helyi önkormányzatok támogatásai fejezet 14. Zalaegerszeg  Megyei Jogú Város fejlesztési feladatainak támogatása</t>
  </si>
  <si>
    <t>B814</t>
  </si>
  <si>
    <t>Államháztartáson belüli megelőlegezések</t>
  </si>
  <si>
    <t>7.) Államháztartáson belüli megelőlegezések</t>
  </si>
  <si>
    <t>3./1.</t>
  </si>
  <si>
    <t xml:space="preserve"> - Nemzeti Orvosbiológiai Alapítvány tudósképző akadémia programjának támogatása</t>
  </si>
  <si>
    <t xml:space="preserve"> - parkolómegváltás bevétele</t>
  </si>
  <si>
    <t>4./2.</t>
  </si>
  <si>
    <t>151701</t>
  </si>
  <si>
    <t xml:space="preserve">9.) Forgatási célú értékpapír beváltás </t>
  </si>
  <si>
    <t>8.) Forgatási célú értékpapír beváltás projektekhez kapcsolódóan</t>
  </si>
  <si>
    <t>3.1 Vis maior támogatás</t>
  </si>
  <si>
    <t xml:space="preserve"> - közművesítési hozzájárulás</t>
  </si>
  <si>
    <t>151611</t>
  </si>
  <si>
    <t>TOP_PLUSZ-1.3.2-23-ZL1-2024-00001Páterdombi közösségi tér kialakítása</t>
  </si>
  <si>
    <t xml:space="preserve"> - Pózváért Alapítványtól felhalmozási célra átvett pénzeszköz</t>
  </si>
  <si>
    <t xml:space="preserve"> - Zalai Közszolgáltató Nonprofit Kft. értékesítése</t>
  </si>
  <si>
    <t xml:space="preserve"> - Zala-Müllex Kft. osztalék</t>
  </si>
  <si>
    <t xml:space="preserve"> -helyi önkormányzatok  felhalmozási célú kiegészítő támogatásai</t>
  </si>
  <si>
    <t>018030 Támogatási célú finanszírozási műveletek</t>
  </si>
  <si>
    <t xml:space="preserve"> - intézményi elvonás maradvány terhére</t>
  </si>
  <si>
    <t xml:space="preserve"> - Zalaegerszegi Élménypark Kft. működési támogatásból visszafizetés</t>
  </si>
  <si>
    <t xml:space="preserve"> - Verbunk verseny</t>
  </si>
  <si>
    <t xml:space="preserve"> - csatorna fedlapok javítása a város területén</t>
  </si>
  <si>
    <t>4./3.</t>
  </si>
  <si>
    <t>Táncsics M. utca útburkolat felújítási munkák</t>
  </si>
  <si>
    <t>4./4.</t>
  </si>
  <si>
    <t>Batsányi J.u. Jókai M.u. és Pintér M.u.közti, déli oldali járdaszakaszának felújítása</t>
  </si>
  <si>
    <t>4./5.</t>
  </si>
  <si>
    <t>Bazitai templom melletti járda felújítása</t>
  </si>
  <si>
    <t>Mart aszfaltos útfelújítások</t>
  </si>
  <si>
    <t>4./6.</t>
  </si>
  <si>
    <t>Buszöblök szegély felújításai</t>
  </si>
  <si>
    <t>Újhegyi út buszmegálló kialakítása</t>
  </si>
  <si>
    <t>4./7.</t>
  </si>
  <si>
    <t>4./8.</t>
  </si>
  <si>
    <t>5./1.</t>
  </si>
  <si>
    <t>Parkerdőben padok beszerzése</t>
  </si>
  <si>
    <t>5./2.</t>
  </si>
  <si>
    <t>Bozsoki játszótér</t>
  </si>
  <si>
    <t>5./3.</t>
  </si>
  <si>
    <t>Köztéri szobrok felújítása</t>
  </si>
  <si>
    <t>Kossuth L.u. felújítás I.ütem</t>
  </si>
  <si>
    <t>Teskándi u.- Körmendi u. csomópont átépítése</t>
  </si>
  <si>
    <t>4./9.</t>
  </si>
  <si>
    <t>Botfy u. balesetveszélyes járda felújítása</t>
  </si>
  <si>
    <t>9./3.</t>
  </si>
  <si>
    <t>Energiaválság csökkentő beruházások</t>
  </si>
  <si>
    <t>9./4.</t>
  </si>
  <si>
    <t>Ady u.15. alatti hivatali épületben klímaberendezés telepítése</t>
  </si>
  <si>
    <t>9./5.</t>
  </si>
  <si>
    <t>Pózvai harangláb felújítása</t>
  </si>
  <si>
    <t>10./1./3</t>
  </si>
  <si>
    <t>10./4./2.</t>
  </si>
  <si>
    <t>Versenyképes Járások Program előkészítéséhez és megvalósításához kapcsolódó feladatok</t>
  </si>
  <si>
    <t xml:space="preserve"> - Buslakpuszta,Harasztifalu hulladéklerakó területkivonás költségei</t>
  </si>
  <si>
    <t xml:space="preserve"> - 2024. évi mutatószámok elszámolásából eredő  intézményi póttámogatás</t>
  </si>
  <si>
    <t>Zalaegerszegi Médiacentrum Kft. részére eszközbeszerzés támogatása</t>
  </si>
  <si>
    <t>Zalai Közszolgáltató Nonprofit Zrt. értékesítése bevétel elkülönítése</t>
  </si>
  <si>
    <t>154401</t>
  </si>
  <si>
    <t xml:space="preserve"> - Batsányi J.u. Jókai M.u. és Pintér M.u.közti, déli oldali járdaszakaszának felújítása</t>
  </si>
  <si>
    <t>9./6.</t>
  </si>
  <si>
    <t>Munkácsy u. 1. épület felújítása</t>
  </si>
  <si>
    <t xml:space="preserve"> - Idősek Otthona férőhely megváltás </t>
  </si>
  <si>
    <t>B54</t>
  </si>
  <si>
    <t>102023 Időskorúak tartós bentlakásos ellátása</t>
  </si>
  <si>
    <t>Részesedések értékesítése</t>
  </si>
  <si>
    <t>2./7.</t>
  </si>
  <si>
    <t>Csutor Imre emléktábla</t>
  </si>
  <si>
    <t>Gerle utca felújítása</t>
  </si>
  <si>
    <t>Kovács K. tér mozi parkoló kialakítása</t>
  </si>
  <si>
    <t>Gébárt esőtető és árnyékoló,térburkolás garázs és gazdasági bejárat előtt</t>
  </si>
  <si>
    <t>4./8</t>
  </si>
  <si>
    <t>4./9</t>
  </si>
  <si>
    <t>4./10</t>
  </si>
  <si>
    <t>4./11</t>
  </si>
  <si>
    <t>Botfai közösségi ház áramhálózat megújítása</t>
  </si>
  <si>
    <t>9./7.</t>
  </si>
  <si>
    <t xml:space="preserve"> Szenterzsébet hegyi harangláb felújítása</t>
  </si>
  <si>
    <t>9./8.</t>
  </si>
  <si>
    <t>Városi Hangverseny és Kiállítóterem új vápaborítás, belső festés, homlokzat javítása</t>
  </si>
  <si>
    <t xml:space="preserve"> - Zalaegerszegi Sport és Tanuszoda műk.  támogatása a Honvédelmi Minisztériumtól</t>
  </si>
  <si>
    <t>Roxi teleklubban tekepálya felújítása</t>
  </si>
  <si>
    <t>9./9.</t>
  </si>
  <si>
    <t>Vásárcsarnok tetőszigetelés</t>
  </si>
  <si>
    <t>3./3.</t>
  </si>
  <si>
    <t>Űrhajós bölcsőde tető felújítás</t>
  </si>
  <si>
    <t>9./9</t>
  </si>
  <si>
    <t>2024. évi tény adat</t>
  </si>
  <si>
    <t>B12</t>
  </si>
  <si>
    <t>Elvonások és befizetések bevételei</t>
  </si>
  <si>
    <t>B311</t>
  </si>
  <si>
    <t>Magánszemélyek jövedelemadói</t>
  </si>
  <si>
    <t>B817</t>
  </si>
  <si>
    <t>Lekötött bankbetétek megszüntetése</t>
  </si>
  <si>
    <t>2024. évi 
tény adat</t>
  </si>
  <si>
    <t xml:space="preserve"> - Mindszentyneum működési támogatás</t>
  </si>
  <si>
    <t>013350 Önkormányzati vagyonnal való gazdálkodáshoz kapcsolódó feladatok</t>
  </si>
  <si>
    <t>042180 Állategészségügy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</si>
  <si>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</si>
  <si>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</si>
  <si>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TOP_PLUSZ-1.3.2-23-ZL1-2024-00001Páterdombi közösségi tér kialakítása</t>
  </si>
  <si>
    <t xml:space="preserve"> - TOP_PLUSZ-3.4.1-23-ZL1-2025-00006 Űrhajós utcai óvoda felújítása</t>
  </si>
  <si>
    <t xml:space="preserve"> - Tudomány és technika parkban ingatlan értékesítés</t>
  </si>
  <si>
    <t xml:space="preserve"> - pedagógusnapi rendezvény szervezése</t>
  </si>
  <si>
    <t>Sportcsarnokban eszközfejlesztés</t>
  </si>
  <si>
    <t xml:space="preserve"> - cserével vegyes ingatlanszerzések</t>
  </si>
  <si>
    <t>Lokális csapadékvízelvezetési munkák elvégzése</t>
  </si>
  <si>
    <t>1./1.</t>
  </si>
  <si>
    <t>Kiserdei úti temető locsoló- és tüzivízvezeték felújítása</t>
  </si>
  <si>
    <t>Petőfi S. u. Kossuth utca - Ady utca közötti járdaszakaszának szegélyépítési munkái</t>
  </si>
  <si>
    <t>4./12</t>
  </si>
  <si>
    <t>Körmendi u. 21. szám előtt járda és parkolófelújítási munkák</t>
  </si>
  <si>
    <t>4./10.</t>
  </si>
  <si>
    <t>Szeliánszky iskola útfelújítás</t>
  </si>
  <si>
    <t>9./10.</t>
  </si>
  <si>
    <t>Jószomszédok parkban létrehozandó közösségi építmény megvalósítására</t>
  </si>
  <si>
    <t>10./1./4.</t>
  </si>
  <si>
    <t>10./1./5.</t>
  </si>
  <si>
    <t>10./1./6.</t>
  </si>
  <si>
    <t>TOP_PLUSZ-3.4..1-23-ZL1-2025-00005 Tipegő bölcsőde felújítása</t>
  </si>
  <si>
    <t>TOP_PLUSZ-1.3.2-23-ZL1-2025-00003 Gyermek játszóház kialakítása Zalaegerszegen</t>
  </si>
  <si>
    <t>TOP_PLUSZ-3.4.1-23-ZL1-2025-00006 Űrhajós utcai óvoda felújítása</t>
  </si>
  <si>
    <t>Zala-Lap Kiadói Kft. üzletrész vásárlás</t>
  </si>
  <si>
    <t xml:space="preserve"> - TOP_PLUSZ-3.4.1-23-ZL1-2025-00007 Napsugár óvoda felújítása</t>
  </si>
  <si>
    <t xml:space="preserve"> - MOL adomány</t>
  </si>
  <si>
    <t>Hevesi Sándor Színház nézőterét ellátó fűtés csőrendszer cseréje</t>
  </si>
  <si>
    <t>9./11.</t>
  </si>
  <si>
    <t>10./1./7.</t>
  </si>
  <si>
    <t>TOP_PLUSZ-3.4.1-23-ZL1-2025-00007 Napsugár óvoda felújítása</t>
  </si>
  <si>
    <t>10./3./1.</t>
  </si>
  <si>
    <t>10./3./2.</t>
  </si>
  <si>
    <t>Kossuth u. 45-49. sz. épület főbejárati ajtajának cseréje, homlokzatfelújítás</t>
  </si>
  <si>
    <t xml:space="preserve">Deák F. Megyei és Városi Könyvtár részére ált.forgalmi adó megelőlegezés </t>
  </si>
  <si>
    <t xml:space="preserve">Zalaegerszegi Múzeumok Igazgatósága részére ált.forgalmi adó megelőlegezés </t>
  </si>
  <si>
    <t>Felhalmozási célú pénzeszköz átadás a Z.M. Katasztrófavéd. Igazgatóság részére</t>
  </si>
  <si>
    <t xml:space="preserve"> - óvodapedagógusok béremelése az 1231/2025. (VI.30.)Korm. határozat és a 182/2025. (VI.30.) Korm. rendelet alapján</t>
  </si>
  <si>
    <t>1.1.2. Nem közművel összegyűjtött háztartási szennyvíz ártalmatlanítása</t>
  </si>
  <si>
    <t>Versenyképes Járások Program - Deák Ferenc Megyei és Városi Könyvtár fűtéskorszerűsítése</t>
  </si>
  <si>
    <t>Versenyképes Járások Program - Hevesi Sándor Színház infrastrukturális fejlesztése</t>
  </si>
  <si>
    <t>104031 Gyermekek bölcsődében, minibölcsődében történő ellátása</t>
  </si>
  <si>
    <t xml:space="preserve"> - Bölcsődei ellátás biztosítása (Söjtör Önkorm.)</t>
  </si>
  <si>
    <t>045160 Közutak, hidak, alagutak üzemeltetése, fenntartása</t>
  </si>
  <si>
    <t>TOP_PLUSZ-3.4.1-23-ZL1-2025-00008 Ady iskola infrastruktúra fejlesztése</t>
  </si>
  <si>
    <t xml:space="preserve"> - volt nyomda épületének hasznosítása</t>
  </si>
  <si>
    <t xml:space="preserve"> - egyéb vagyonhasznosítás</t>
  </si>
  <si>
    <t xml:space="preserve"> - Alsóerdei Élménypark bérleti díja</t>
  </si>
  <si>
    <t>Sportcsarnokban új villámvédelmi rendszer kiépítése</t>
  </si>
  <si>
    <t>4./13.</t>
  </si>
  <si>
    <t>Hídfelújítások</t>
  </si>
  <si>
    <t>4./14</t>
  </si>
  <si>
    <t>Kézműves piac parkoló létesítése</t>
  </si>
  <si>
    <t>4./11.</t>
  </si>
  <si>
    <t>Kossuth L.u. felújítás II.ütem</t>
  </si>
  <si>
    <t>9./12.</t>
  </si>
  <si>
    <t>Pénzeszközátadás Szűz Mária Szeplőtelen Plébánia részére</t>
  </si>
  <si>
    <t>9./13.</t>
  </si>
  <si>
    <t>Fehér Hattyú étterem konyhai szellőzés/előmelegítés kiépítése</t>
  </si>
  <si>
    <t>10./1./8.</t>
  </si>
  <si>
    <t xml:space="preserve"> - közvilágítás villamosenergia vásárlás</t>
  </si>
  <si>
    <t>151201</t>
  </si>
  <si>
    <t xml:space="preserve"> - Jákum utcai parkoló zúzalékolása</t>
  </si>
  <si>
    <t>4./15.</t>
  </si>
  <si>
    <t>Építők útja hídfelújítás</t>
  </si>
  <si>
    <t>Petőfi iskola előtti utastájékoztató berendezés telepítése</t>
  </si>
  <si>
    <t>4./16.</t>
  </si>
  <si>
    <t>Fügefa utca meredek szakaszának aszfaltozási munkái</t>
  </si>
  <si>
    <t xml:space="preserve"> - egyéb város és községgazdálkodás</t>
  </si>
  <si>
    <t>Jánkahegyi kápolnához asztal és pad kihelyezés, valamint térkövezés</t>
  </si>
  <si>
    <t xml:space="preserve">2.4.3. Vármegyei hatáskörű városi könyvtárak feladatainak támogatása  (Deák Ferenc Megyei és Városi  Könyvtár) </t>
  </si>
  <si>
    <t>2.4.2. Vármegyei hatókörű városi múzeumok feladatainak támogatása (Zalaegerszegi Múzeumok Igazgatósága)</t>
  </si>
  <si>
    <t>2.3.2. Szociális ágazati összevont pótlék és egészségügyi kiegészítő pótlék</t>
  </si>
  <si>
    <t xml:space="preserve">2.4.7. Települési önkormányzatok kulturális feladatainak bérjellegű támogatása </t>
  </si>
  <si>
    <t>2.1.5. Önkormányzatok rendkívüli támogatása</t>
  </si>
  <si>
    <t xml:space="preserve"> - csatornafedlapok javítása a város területén</t>
  </si>
  <si>
    <t xml:space="preserve"> - ár- és belvízvédelmi feladatok</t>
  </si>
  <si>
    <t xml:space="preserve"> - csapadékvíz-elvezető rendszer fennmaradási/üzemeltetési engedélyek</t>
  </si>
  <si>
    <t xml:space="preserve"> - csapadékvíz-elvezető és árvízvédelmi létesítmények fenntartása, hibaelhárítás, sürgősségi feladatok</t>
  </si>
  <si>
    <t xml:space="preserve"> - Vízügyi hatóságokkal kapcsolatos feladatok</t>
  </si>
  <si>
    <t xml:space="preserve"> - Városüzemelési feladatokhoz kapcsolódó közfoglalkoztatás</t>
  </si>
  <si>
    <t xml:space="preserve">  -  környezetvédelmi alap feltöltése</t>
  </si>
  <si>
    <t xml:space="preserve"> - liberalizált energiapiacra való kilépés műszaki előkészítése</t>
  </si>
  <si>
    <t>Gébárt- aszfaltozás gáti sétányon</t>
  </si>
  <si>
    <t xml:space="preserve">Gébárt Tóstrand parkoló tervezés és zúzalékolás </t>
  </si>
  <si>
    <t xml:space="preserve">Pityke utca mart aszfaltos felújítás </t>
  </si>
  <si>
    <t xml:space="preserve"> - médiával kapcsolatos szerződések, támogatások</t>
  </si>
  <si>
    <t xml:space="preserve"> - faértékesítés bevétele</t>
  </si>
  <si>
    <t>Egerszegi Advent megvalósítása</t>
  </si>
  <si>
    <t>Magyarország ifjúsági fővárosa</t>
  </si>
  <si>
    <t>Egészséges Zalaegerszeg Program indítása</t>
  </si>
  <si>
    <t>- Gébárti kemping,  fedett fürdő földhasználat</t>
  </si>
  <si>
    <t>151909</t>
  </si>
  <si>
    <t>TOP_PLUSZ-6.2.1-23-ZL1-2025-00003 Parkerdei kerékpárút</t>
  </si>
  <si>
    <t>TOP_PLUSZ-6.2.1-23-ZL1-2025-000007 Ebergényi bekötőút burkolatfelújítása</t>
  </si>
  <si>
    <t>TOP_PLUSZ-1.3.2-23-ZL1-2024-00002 Kaszaházai közösségi tér kialakítása</t>
  </si>
  <si>
    <t>TOP_PLUSZ-3.2.1-23-ZL1-2024-00001 Helyi kulturális közösségfejlesztési folyamat kezdeményezése és megvalósítása Zalaegerszegen</t>
  </si>
  <si>
    <t>Nemzetközi kapcsolatokra</t>
  </si>
  <si>
    <t>Nemzetközi kapcsolatok</t>
  </si>
  <si>
    <t>kgy</t>
  </si>
  <si>
    <t>pm</t>
  </si>
  <si>
    <t>kgy,pm</t>
  </si>
  <si>
    <t xml:space="preserve"> - Harangláb Népzenei Együttes 40 éves jubileuma</t>
  </si>
  <si>
    <t xml:space="preserve"> -Magyarország ifjúsági fővárosa</t>
  </si>
  <si>
    <t xml:space="preserve"> - Magyarország ifjúsági fővárosa</t>
  </si>
  <si>
    <t xml:space="preserve">pm </t>
  </si>
  <si>
    <t xml:space="preserve"> - buszvárók javítása, karbantartása </t>
  </si>
  <si>
    <t xml:space="preserve"> - ár-és belvízvédelmi feladatok</t>
  </si>
  <si>
    <t>10./1./9.</t>
  </si>
  <si>
    <t>10./1./10.</t>
  </si>
  <si>
    <t>10./1./11.</t>
  </si>
  <si>
    <t>Andráshidai templom hangosítására pénzeszköz átadás</t>
  </si>
  <si>
    <t>2.4.8.  A települési önkormányzatok könyvtári célú érdekeltségnövelő támogatása</t>
  </si>
  <si>
    <t>Módosítás         összege III. névig</t>
  </si>
  <si>
    <t>Módosítás         összege IV. név</t>
  </si>
  <si>
    <t>9./14.</t>
  </si>
  <si>
    <t>9./15.</t>
  </si>
  <si>
    <t>Göcseji Falumúzeumban Hencz malom külső technológiai felújítása</t>
  </si>
  <si>
    <t>Idősotthon udvari akadálymentes rámpa- és teraszépítés</t>
  </si>
  <si>
    <t>mód Iv</t>
  </si>
  <si>
    <t>Módosítás     összege III. névig</t>
  </si>
  <si>
    <t>mód IV</t>
  </si>
  <si>
    <t>Sportcsarnok fejlesztés előkészítő munkái (megnevezés változása)</t>
  </si>
  <si>
    <t>Cím    szám</t>
  </si>
  <si>
    <t>közszolgálati jogviszony</t>
  </si>
  <si>
    <t>közalkalmazotti jogviszony</t>
  </si>
  <si>
    <t>egészségügyi szolgálati jogviszony</t>
  </si>
  <si>
    <t>munkaviszony</t>
  </si>
  <si>
    <t>megbízásos jogviszony</t>
  </si>
  <si>
    <t>vállalkozási jogviszony</t>
  </si>
  <si>
    <t>közfoglalkoztatási jogviszony</t>
  </si>
  <si>
    <t xml:space="preserve">Polgármesteri Hivatal </t>
  </si>
  <si>
    <t>Zalaegerszegi GESZ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</si>
  <si>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</si>
  <si>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</si>
  <si>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</si>
  <si>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</si>
  <si>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 xml:space="preserve">Hevesi Sándor Színház </t>
  </si>
  <si>
    <t xml:space="preserve">Városi Sportlétesítmények Gondnoksága </t>
  </si>
  <si>
    <t>Költségvetési szervek összesen:</t>
  </si>
  <si>
    <t>Mindösszesen:</t>
  </si>
  <si>
    <t xml:space="preserve">      Költségvetési felhalmozási célú kiadások összesen:</t>
  </si>
  <si>
    <t xml:space="preserve">     Költségvetési felhalmozási célú bevételek összesen:</t>
  </si>
  <si>
    <t>6.) Hitelfelvétel</t>
  </si>
  <si>
    <t>költségvetési hiány:</t>
  </si>
  <si>
    <t>költségvetési bevételek - működési</t>
  </si>
  <si>
    <t>költségvetési kiadások - működési</t>
  </si>
  <si>
    <t>működési hiány</t>
  </si>
  <si>
    <t>költségvetési bevételek - felhalmozási</t>
  </si>
  <si>
    <t>költségvetési kiadások - felhalmozási</t>
  </si>
  <si>
    <t>felhalmozási hiány</t>
  </si>
  <si>
    <t>intézményi változás</t>
  </si>
  <si>
    <t>ktgvetési bev:</t>
  </si>
  <si>
    <t>ktgvetési kiad:</t>
  </si>
  <si>
    <t>ktgvetési hiány:</t>
  </si>
  <si>
    <t>2025. évi eredeti létszám</t>
  </si>
  <si>
    <t>2025. évi II. negyedévi módosított előírányzat (törvény módosítás miatt)</t>
  </si>
  <si>
    <t xml:space="preserve">Javasolt módosítás </t>
  </si>
  <si>
    <t>köznvelési foglalkoztatotti jogviszony</t>
  </si>
  <si>
    <t>2025. évi IV. negyedévi módosított előírányzat</t>
  </si>
  <si>
    <t>A közszolgálati tisztviselőkról szóló 2011. évi CXCIX. törvény</t>
  </si>
  <si>
    <t>A közalkalmazottak jogállásáról szóló 1992. évi XXXIII. törvény</t>
  </si>
  <si>
    <t>A pedagógusok új életpályájáról szóló 2023. évi LII. törvény</t>
  </si>
  <si>
    <t>Az egészségügyi szolgálati jogviszonyról szóló 2020. évi C. törvény</t>
  </si>
  <si>
    <t>A munka törvénykönyvéről szóló 2012. évi I. törvény</t>
  </si>
  <si>
    <t>A Polgári Törvénykönyvről szóló 2013. évi V. törvény</t>
  </si>
  <si>
    <t>A közfoglalkoztatásról és a közfoglalkoztatáshoz kapcsolódó, valamint egyéb törvények módosításáról szóló 2011. évi CVI. törvény</t>
  </si>
  <si>
    <t>Göcseji Tudásközpont - Zalaegerszegi Helyi Termékpiac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</si>
</sst>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F_t_-;\-* #,##0.00\ _F_t_-;_-* &quot;-&quot;??\ _F_t_-;_-@_-"/>
    <numFmt numFmtId="164" formatCode="_-* #,##0.00_-;\-* #,##0.00_-;_-* &quot;-&quot;??_-;_-@_-"/>
    <numFmt numFmtId="165" formatCode="#,##0.0"/>
    <numFmt numFmtId="166" formatCode="_-* #,##0\ _F_t_-;\-* #,##0\ _F_t_-;_-* &quot;-&quot;??\ _F_t_-;_-@_-"/>
    <numFmt numFmtId="167" formatCode="_-* #,##0.00\ _F_t_-;\-* #,##0.00\ _F_t_-;_-* \-??\ _F_t_-;_-@_-"/>
    <numFmt numFmtId="168" formatCode="#,##0.000"/>
    <numFmt numFmtId="169" formatCode="_-* #,##0_-;\-* #,##0_-;_-* &quot;-&quot;??_-;_-@_-"/>
    <numFmt numFmtId="170" formatCode="0.0"/>
    <numFmt numFmtId="171" formatCode="_-* #,##0.0_-;\-* #,##0.0_-;_-* &quot;-&quot;??_-;_-@_-"/>
    <numFmt numFmtId="172" formatCode="#,##0.0_ ;\-#,##0.0\ "/>
  </numFmts>
  <fonts count="108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sz val="11"/>
      <color theme="1"/>
      <name val="Calibri"/>
      <family val="2"/>
      <scheme val="minor"/>
    </font>
    <font>
      <sz val="8"/>
      <name val="Times New Roman CE"/>
      <charset val="238"/>
    </font>
    <font>
      <b/>
      <i/>
      <sz val="9"/>
      <color rgb="FFFF0000"/>
      <name val="Arial CE"/>
      <family val="2"/>
      <charset val="238"/>
    </font>
    <font>
      <sz val="11"/>
      <color rgb="FFFF0000"/>
      <name val="Calibri"/>
      <family val="2"/>
      <charset val="238"/>
      <scheme val="minor"/>
    </font>
    <font>
      <sz val="9"/>
      <name val="Arial CE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</fills>
  <borders count="1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5">
    <xf numFmtId="0" fontId="0" fillId="0" borderId="0"/>
    <xf numFmtId="0" fontId="65" fillId="2" borderId="0" applyNumberFormat="0" applyBorder="0" applyAlignment="0" applyProtection="0"/>
    <xf numFmtId="0" fontId="65" fillId="3" borderId="0" applyNumberFormat="0" applyBorder="0" applyAlignment="0" applyProtection="0"/>
    <xf numFmtId="0" fontId="26" fillId="4" borderId="0" applyNumberFormat="0" applyBorder="0" applyAlignment="0" applyProtection="0"/>
    <xf numFmtId="0" fontId="64" fillId="5" borderId="0" applyNumberFormat="0" applyBorder="0" applyAlignment="0" applyProtection="0"/>
    <xf numFmtId="0" fontId="26" fillId="6" borderId="0" applyNumberFormat="0" applyBorder="0" applyAlignment="0" applyProtection="0"/>
    <xf numFmtId="0" fontId="64" fillId="7" borderId="0" applyNumberFormat="0" applyBorder="0" applyAlignment="0" applyProtection="0"/>
    <xf numFmtId="0" fontId="26" fillId="8" borderId="0" applyNumberFormat="0" applyBorder="0" applyAlignment="0" applyProtection="0"/>
    <xf numFmtId="0" fontId="64" fillId="9" borderId="0" applyNumberFormat="0" applyBorder="0" applyAlignment="0" applyProtection="0"/>
    <xf numFmtId="0" fontId="26" fillId="10" borderId="0" applyNumberFormat="0" applyBorder="0" applyAlignment="0" applyProtection="0"/>
    <xf numFmtId="0" fontId="64" fillId="11" borderId="0" applyNumberFormat="0" applyBorder="0" applyAlignment="0" applyProtection="0"/>
    <xf numFmtId="0" fontId="26" fillId="12" borderId="0" applyNumberFormat="0" applyBorder="0" applyAlignment="0" applyProtection="0"/>
    <xf numFmtId="0" fontId="64" fillId="13" borderId="0" applyNumberFormat="0" applyBorder="0" applyAlignment="0" applyProtection="0"/>
    <xf numFmtId="0" fontId="26" fillId="14" borderId="0" applyNumberFormat="0" applyBorder="0" applyAlignment="0" applyProtection="0"/>
    <xf numFmtId="0" fontId="64" fillId="15" borderId="0" applyNumberFormat="0" applyBorder="0" applyAlignment="0" applyProtection="0"/>
    <xf numFmtId="0" fontId="45" fillId="4" borderId="0" applyNumberFormat="0" applyBorder="0" applyAlignment="0" applyProtection="0"/>
    <xf numFmtId="0" fontId="45" fillId="6" borderId="0" applyNumberFormat="0" applyBorder="0" applyAlignment="0" applyProtection="0"/>
    <xf numFmtId="0" fontId="45" fillId="8" borderId="0" applyNumberFormat="0" applyBorder="0" applyAlignment="0" applyProtection="0"/>
    <xf numFmtId="0" fontId="45" fillId="10" borderId="0" applyNumberFormat="0" applyBorder="0" applyAlignment="0" applyProtection="0"/>
    <xf numFmtId="0" fontId="45" fillId="12" borderId="0" applyNumberFormat="0" applyBorder="0" applyAlignment="0" applyProtection="0"/>
    <xf numFmtId="0" fontId="45" fillId="14" borderId="0" applyNumberFormat="0" applyBorder="0" applyAlignment="0" applyProtection="0"/>
    <xf numFmtId="0" fontId="65" fillId="16" borderId="0" applyNumberFormat="0" applyBorder="0" applyAlignment="0" applyProtection="0"/>
    <xf numFmtId="0" fontId="65" fillId="17" borderId="0" applyNumberFormat="0" applyBorder="0" applyAlignment="0" applyProtection="0"/>
    <xf numFmtId="0" fontId="26" fillId="18" borderId="0" applyNumberFormat="0" applyBorder="0" applyAlignment="0" applyProtection="0"/>
    <xf numFmtId="0" fontId="64" fillId="19" borderId="0" applyNumberFormat="0" applyBorder="0" applyAlignment="0" applyProtection="0"/>
    <xf numFmtId="0" fontId="26" fillId="20" borderId="0" applyNumberFormat="0" applyBorder="0" applyAlignment="0" applyProtection="0"/>
    <xf numFmtId="0" fontId="64" fillId="21" borderId="0" applyNumberFormat="0" applyBorder="0" applyAlignment="0" applyProtection="0"/>
    <xf numFmtId="0" fontId="26" fillId="22" borderId="0" applyNumberFormat="0" applyBorder="0" applyAlignment="0" applyProtection="0"/>
    <xf numFmtId="0" fontId="64" fillId="23" borderId="0" applyNumberFormat="0" applyBorder="0" applyAlignment="0" applyProtection="0"/>
    <xf numFmtId="0" fontId="26" fillId="10" borderId="0" applyNumberFormat="0" applyBorder="0" applyAlignment="0" applyProtection="0"/>
    <xf numFmtId="0" fontId="64" fillId="11" borderId="0" applyNumberFormat="0" applyBorder="0" applyAlignment="0" applyProtection="0"/>
    <xf numFmtId="0" fontId="26" fillId="18" borderId="0" applyNumberFormat="0" applyBorder="0" applyAlignment="0" applyProtection="0"/>
    <xf numFmtId="0" fontId="64" fillId="19" borderId="0" applyNumberFormat="0" applyBorder="0" applyAlignment="0" applyProtection="0"/>
    <xf numFmtId="0" fontId="26" fillId="17" borderId="0" applyNumberFormat="0" applyBorder="0" applyAlignment="0" applyProtection="0"/>
    <xf numFmtId="0" fontId="64" fillId="24" borderId="0" applyNumberFormat="0" applyBorder="0" applyAlignment="0" applyProtection="0"/>
    <xf numFmtId="0" fontId="45" fillId="18" borderId="0" applyNumberFormat="0" applyBorder="0" applyAlignment="0" applyProtection="0"/>
    <xf numFmtId="0" fontId="45" fillId="20" borderId="0" applyNumberFormat="0" applyBorder="0" applyAlignment="0" applyProtection="0"/>
    <xf numFmtId="0" fontId="45" fillId="22" borderId="0" applyNumberFormat="0" applyBorder="0" applyAlignment="0" applyProtection="0"/>
    <xf numFmtId="0" fontId="45" fillId="10" borderId="0" applyNumberFormat="0" applyBorder="0" applyAlignment="0" applyProtection="0"/>
    <xf numFmtId="0" fontId="45" fillId="18" borderId="0" applyNumberFormat="0" applyBorder="0" applyAlignment="0" applyProtection="0"/>
    <xf numFmtId="0" fontId="45" fillId="17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27" fillId="27" borderId="0" applyNumberFormat="0" applyBorder="0" applyAlignment="0" applyProtection="0"/>
    <xf numFmtId="0" fontId="65" fillId="28" borderId="0" applyNumberFormat="0" applyBorder="0" applyAlignment="0" applyProtection="0"/>
    <xf numFmtId="0" fontId="27" fillId="20" borderId="0" applyNumberFormat="0" applyBorder="0" applyAlignment="0" applyProtection="0"/>
    <xf numFmtId="0" fontId="65" fillId="21" borderId="0" applyNumberFormat="0" applyBorder="0" applyAlignment="0" applyProtection="0"/>
    <xf numFmtId="0" fontId="27" fillId="22" borderId="0" applyNumberFormat="0" applyBorder="0" applyAlignment="0" applyProtection="0"/>
    <xf numFmtId="0" fontId="65" fillId="23" borderId="0" applyNumberFormat="0" applyBorder="0" applyAlignment="0" applyProtection="0"/>
    <xf numFmtId="0" fontId="27" fillId="29" borderId="0" applyNumberFormat="0" applyBorder="0" applyAlignment="0" applyProtection="0"/>
    <xf numFmtId="0" fontId="65" fillId="30" borderId="0" applyNumberFormat="0" applyBorder="0" applyAlignment="0" applyProtection="0"/>
    <xf numFmtId="0" fontId="27" fillId="2" borderId="0" applyNumberFormat="0" applyBorder="0" applyAlignment="0" applyProtection="0"/>
    <xf numFmtId="0" fontId="65" fillId="31" borderId="0" applyNumberFormat="0" applyBorder="0" applyAlignment="0" applyProtection="0"/>
    <xf numFmtId="0" fontId="27" fillId="32" borderId="0" applyNumberFormat="0" applyBorder="0" applyAlignment="0" applyProtection="0"/>
    <xf numFmtId="0" fontId="65" fillId="33" borderId="0" applyNumberFormat="0" applyBorder="0" applyAlignment="0" applyProtection="0"/>
    <xf numFmtId="0" fontId="46" fillId="27" borderId="0" applyNumberFormat="0" applyBorder="0" applyAlignment="0" applyProtection="0"/>
    <xf numFmtId="0" fontId="46" fillId="20" borderId="0" applyNumberFormat="0" applyBorder="0" applyAlignment="0" applyProtection="0"/>
    <xf numFmtId="0" fontId="46" fillId="22" borderId="0" applyNumberFormat="0" applyBorder="0" applyAlignment="0" applyProtection="0"/>
    <xf numFmtId="0" fontId="46" fillId="29" borderId="0" applyNumberFormat="0" applyBorder="0" applyAlignment="0" applyProtection="0"/>
    <xf numFmtId="0" fontId="46" fillId="2" borderId="0" applyNumberFormat="0" applyBorder="0" applyAlignment="0" applyProtection="0"/>
    <xf numFmtId="0" fontId="46" fillId="32" borderId="0" applyNumberFormat="0" applyBorder="0" applyAlignment="0" applyProtection="0"/>
    <xf numFmtId="0" fontId="46" fillId="25" borderId="0" applyNumberFormat="0" applyBorder="0" applyAlignment="0" applyProtection="0"/>
    <xf numFmtId="0" fontId="46" fillId="34" borderId="0" applyNumberFormat="0" applyBorder="0" applyAlignment="0" applyProtection="0"/>
    <xf numFmtId="0" fontId="46" fillId="26" borderId="0" applyNumberFormat="0" applyBorder="0" applyAlignment="0" applyProtection="0"/>
    <xf numFmtId="0" fontId="46" fillId="29" borderId="0" applyNumberFormat="0" applyBorder="0" applyAlignment="0" applyProtection="0"/>
    <xf numFmtId="0" fontId="46" fillId="2" borderId="0" applyNumberFormat="0" applyBorder="0" applyAlignment="0" applyProtection="0"/>
    <xf numFmtId="0" fontId="46" fillId="3" borderId="0" applyNumberFormat="0" applyBorder="0" applyAlignment="0" applyProtection="0"/>
    <xf numFmtId="0" fontId="47" fillId="6" borderId="0" applyNumberFormat="0" applyBorder="0" applyAlignment="0" applyProtection="0"/>
    <xf numFmtId="0" fontId="28" fillId="14" borderId="1" applyNumberFormat="0" applyAlignment="0" applyProtection="0"/>
    <xf numFmtId="0" fontId="66" fillId="15" borderId="1" applyNumberFormat="0" applyAlignment="0" applyProtection="0"/>
    <xf numFmtId="0" fontId="48" fillId="35" borderId="1" applyNumberFormat="0" applyAlignment="0" applyProtection="0"/>
    <xf numFmtId="0" fontId="49" fillId="16" borderId="2" applyNumberFormat="0" applyAlignment="0" applyProtection="0"/>
    <xf numFmtId="0" fontId="29" fillId="0" borderId="0" applyNumberFormat="0" applyFill="0" applyBorder="0" applyAlignment="0" applyProtection="0"/>
    <xf numFmtId="0" fontId="30" fillId="0" borderId="3" applyNumberFormat="0" applyFill="0" applyAlignment="0" applyProtection="0"/>
    <xf numFmtId="0" fontId="67" fillId="0" borderId="4" applyNumberFormat="0" applyFill="0" applyAlignment="0" applyProtection="0"/>
    <xf numFmtId="0" fontId="31" fillId="0" borderId="5" applyNumberFormat="0" applyFill="0" applyAlignment="0" applyProtection="0"/>
    <xf numFmtId="0" fontId="68" fillId="0" borderId="6" applyNumberFormat="0" applyFill="0" applyAlignment="0" applyProtection="0"/>
    <xf numFmtId="0" fontId="32" fillId="0" borderId="7" applyNumberFormat="0" applyFill="0" applyAlignment="0" applyProtection="0"/>
    <xf numFmtId="0" fontId="69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3" fillId="16" borderId="2" applyNumberFormat="0" applyAlignment="0" applyProtection="0"/>
    <xf numFmtId="0" fontId="70" fillId="36" borderId="2" applyNumberFormat="0" applyAlignment="0" applyProtection="0"/>
    <xf numFmtId="0" fontId="50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1" fillId="8" borderId="0" applyNumberFormat="0" applyBorder="0" applyAlignment="0" applyProtection="0"/>
    <xf numFmtId="0" fontId="52" fillId="0" borderId="3" applyNumberFormat="0" applyFill="0" applyAlignment="0" applyProtection="0"/>
    <xf numFmtId="0" fontId="53" fillId="0" borderId="5" applyNumberFormat="0" applyFill="0" applyAlignment="0" applyProtection="0"/>
    <xf numFmtId="0" fontId="54" fillId="0" borderId="7" applyNumberFormat="0" applyFill="0" applyAlignment="0" applyProtection="0"/>
    <xf numFmtId="0" fontId="5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72" fillId="0" borderId="9" applyNumberFormat="0" applyFill="0" applyAlignment="0" applyProtection="0"/>
    <xf numFmtId="0" fontId="55" fillId="14" borderId="1" applyNumberFormat="0" applyAlignment="0" applyProtection="0"/>
    <xf numFmtId="0" fontId="36" fillId="37" borderId="10" applyNumberFormat="0" applyFont="0" applyAlignment="0" applyProtection="0"/>
    <xf numFmtId="0" fontId="63" fillId="38" borderId="10" applyNumberFormat="0" applyAlignment="0" applyProtection="0"/>
    <xf numFmtId="0" fontId="27" fillId="25" borderId="0" applyNumberFormat="0" applyBorder="0" applyAlignment="0" applyProtection="0"/>
    <xf numFmtId="0" fontId="65" fillId="39" borderId="0" applyNumberFormat="0" applyBorder="0" applyAlignment="0" applyProtection="0"/>
    <xf numFmtId="0" fontId="27" fillId="34" borderId="0" applyNumberFormat="0" applyBorder="0" applyAlignment="0" applyProtection="0"/>
    <xf numFmtId="0" fontId="65" fillId="40" borderId="0" applyNumberFormat="0" applyBorder="0" applyAlignment="0" applyProtection="0"/>
    <xf numFmtId="0" fontId="27" fillId="26" borderId="0" applyNumberFormat="0" applyBorder="0" applyAlignment="0" applyProtection="0"/>
    <xf numFmtId="0" fontId="65" fillId="41" borderId="0" applyNumberFormat="0" applyBorder="0" applyAlignment="0" applyProtection="0"/>
    <xf numFmtId="0" fontId="27" fillId="29" borderId="0" applyNumberFormat="0" applyBorder="0" applyAlignment="0" applyProtection="0"/>
    <xf numFmtId="0" fontId="65" fillId="30" borderId="0" applyNumberFormat="0" applyBorder="0" applyAlignment="0" applyProtection="0"/>
    <xf numFmtId="0" fontId="27" fillId="2" borderId="0" applyNumberFormat="0" applyBorder="0" applyAlignment="0" applyProtection="0"/>
    <xf numFmtId="0" fontId="65" fillId="31" borderId="0" applyNumberFormat="0" applyBorder="0" applyAlignment="0" applyProtection="0"/>
    <xf numFmtId="0" fontId="27" fillId="3" borderId="0" applyNumberFormat="0" applyBorder="0" applyAlignment="0" applyProtection="0"/>
    <xf numFmtId="0" fontId="65" fillId="42" borderId="0" applyNumberFormat="0" applyBorder="0" applyAlignment="0" applyProtection="0"/>
    <xf numFmtId="0" fontId="65" fillId="25" borderId="0" applyNumberFormat="0" applyBorder="0" applyAlignment="0" applyProtection="0"/>
    <xf numFmtId="0" fontId="65" fillId="3" borderId="0" applyNumberFormat="0" applyBorder="0" applyAlignment="0" applyProtection="0"/>
    <xf numFmtId="0" fontId="65" fillId="16" borderId="0" applyNumberFormat="0" applyBorder="0" applyAlignment="0" applyProtection="0"/>
    <xf numFmtId="0" fontId="65" fillId="17" borderId="0" applyNumberFormat="0" applyBorder="0" applyAlignment="0" applyProtection="0"/>
    <xf numFmtId="0" fontId="65" fillId="2" borderId="0" applyNumberFormat="0" applyBorder="0" applyAlignment="0" applyProtection="0"/>
    <xf numFmtId="0" fontId="65" fillId="26" borderId="0" applyNumberFormat="0" applyBorder="0" applyAlignment="0" applyProtection="0"/>
    <xf numFmtId="0" fontId="37" fillId="8" borderId="0" applyNumberFormat="0" applyBorder="0" applyAlignment="0" applyProtection="0"/>
    <xf numFmtId="0" fontId="73" fillId="9" borderId="0" applyNumberFormat="0" applyBorder="0" applyAlignment="0" applyProtection="0"/>
    <xf numFmtId="0" fontId="38" fillId="35" borderId="11" applyNumberFormat="0" applyAlignment="0" applyProtection="0"/>
    <xf numFmtId="0" fontId="74" fillId="43" borderId="11" applyNumberFormat="0" applyAlignment="0" applyProtection="0"/>
    <xf numFmtId="0" fontId="56" fillId="0" borderId="9" applyNumberFormat="0" applyFill="0" applyAlignment="0" applyProtection="0"/>
    <xf numFmtId="0" fontId="3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57" fillId="44" borderId="0" applyNumberFormat="0" applyBorder="0" applyAlignment="0" applyProtection="0"/>
    <xf numFmtId="0" fontId="36" fillId="0" borderId="0"/>
    <xf numFmtId="0" fontId="63" fillId="0" borderId="0"/>
    <xf numFmtId="0" fontId="22" fillId="0" borderId="0"/>
    <xf numFmtId="0" fontId="12" fillId="0" borderId="0"/>
    <xf numFmtId="0" fontId="80" fillId="0" borderId="0"/>
    <xf numFmtId="0" fontId="12" fillId="0" borderId="0"/>
    <xf numFmtId="0" fontId="12" fillId="0" borderId="0"/>
    <xf numFmtId="0" fontId="10" fillId="0" borderId="0"/>
    <xf numFmtId="0" fontId="11" fillId="0" borderId="0"/>
    <xf numFmtId="0" fontId="12" fillId="0" borderId="0"/>
    <xf numFmtId="0" fontId="80" fillId="0" borderId="0"/>
    <xf numFmtId="0" fontId="11" fillId="0" borderId="0"/>
    <xf numFmtId="0" fontId="12" fillId="0" borderId="0"/>
    <xf numFmtId="0" fontId="45" fillId="37" borderId="10" applyNumberFormat="0" applyFont="0" applyAlignment="0" applyProtection="0"/>
    <xf numFmtId="0" fontId="58" fillId="35" borderId="11" applyNumberFormat="0" applyAlignment="0" applyProtection="0"/>
    <xf numFmtId="0" fontId="40" fillId="0" borderId="12" applyNumberFormat="0" applyFill="0" applyAlignment="0" applyProtection="0"/>
    <xf numFmtId="0" fontId="76" fillId="0" borderId="12" applyNumberFormat="0" applyFill="0" applyAlignment="0" applyProtection="0"/>
    <xf numFmtId="0" fontId="41" fillId="6" borderId="0" applyNumberFormat="0" applyBorder="0" applyAlignment="0" applyProtection="0"/>
    <xf numFmtId="0" fontId="77" fillId="7" borderId="0" applyNumberFormat="0" applyBorder="0" applyAlignment="0" applyProtection="0"/>
    <xf numFmtId="0" fontId="42" fillId="44" borderId="0" applyNumberFormat="0" applyBorder="0" applyAlignment="0" applyProtection="0"/>
    <xf numFmtId="0" fontId="78" fillId="45" borderId="0" applyNumberFormat="0" applyBorder="0" applyAlignment="0" applyProtection="0"/>
    <xf numFmtId="0" fontId="43" fillId="35" borderId="1" applyNumberFormat="0" applyAlignment="0" applyProtection="0"/>
    <xf numFmtId="0" fontId="79" fillId="43" borderId="1" applyNumberFormat="0" applyAlignment="0" applyProtection="0"/>
    <xf numFmtId="0" fontId="59" fillId="0" borderId="0" applyNumberFormat="0" applyFill="0" applyBorder="0" applyAlignment="0" applyProtection="0"/>
    <xf numFmtId="0" fontId="60" fillId="0" borderId="12" applyNumberFormat="0" applyFill="0" applyAlignment="0" applyProtection="0"/>
    <xf numFmtId="0" fontId="61" fillId="0" borderId="0" applyNumberFormat="0" applyFill="0" applyBorder="0" applyAlignment="0" applyProtection="0"/>
    <xf numFmtId="0" fontId="12" fillId="0" borderId="0"/>
    <xf numFmtId="0" fontId="8" fillId="0" borderId="0"/>
    <xf numFmtId="164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22" fillId="0" borderId="0"/>
    <xf numFmtId="0" fontId="12" fillId="0" borderId="0"/>
    <xf numFmtId="0" fontId="12" fillId="0" borderId="0"/>
    <xf numFmtId="0" fontId="87" fillId="0" borderId="0"/>
    <xf numFmtId="0" fontId="44" fillId="0" borderId="0"/>
    <xf numFmtId="0" fontId="12" fillId="0" borderId="0"/>
    <xf numFmtId="0" fontId="63" fillId="0" borderId="0"/>
    <xf numFmtId="0" fontId="44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164" fontId="7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7" fontId="10" fillId="0" borderId="0" applyBorder="0" applyProtection="0"/>
    <xf numFmtId="164" fontId="5" fillId="0" borderId="0" applyFont="0" applyFill="0" applyBorder="0" applyAlignment="0" applyProtection="0"/>
    <xf numFmtId="0" fontId="4" fillId="0" borderId="0"/>
    <xf numFmtId="0" fontId="12" fillId="0" borderId="0"/>
    <xf numFmtId="0" fontId="80" fillId="0" borderId="0"/>
    <xf numFmtId="0" fontId="3" fillId="0" borderId="0"/>
    <xf numFmtId="164" fontId="99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80" fillId="0" borderId="0"/>
    <xf numFmtId="0" fontId="2" fillId="0" borderId="0"/>
    <xf numFmtId="0" fontId="22" fillId="0" borderId="0"/>
    <xf numFmtId="0" fontId="10" fillId="0" borderId="0"/>
    <xf numFmtId="0" fontId="1" fillId="0" borderId="0"/>
  </cellStyleXfs>
  <cellXfs count="1058">
    <xf numFmtId="0" fontId="0" fillId="0" borderId="0" xfId="0"/>
    <xf numFmtId="3" fontId="13" fillId="0" borderId="0" xfId="0" applyNumberFormat="1" applyFont="1" applyAlignment="1">
      <alignment vertical="center"/>
    </xf>
    <xf numFmtId="3" fontId="18" fillId="0" borderId="13" xfId="135" applyNumberFormat="1" applyFont="1" applyBorder="1" applyAlignment="1">
      <alignment horizontal="center" vertical="center" wrapText="1"/>
    </xf>
    <xf numFmtId="3" fontId="17" fillId="0" borderId="13" xfId="135" applyNumberFormat="1" applyFont="1" applyBorder="1" applyAlignment="1">
      <alignment horizontal="center" vertical="center" wrapText="1"/>
    </xf>
    <xf numFmtId="3" fontId="18" fillId="0" borderId="13" xfId="135" applyNumberFormat="1" applyFont="1" applyBorder="1" applyAlignment="1">
      <alignment horizontal="center" vertical="center"/>
    </xf>
    <xf numFmtId="3" fontId="18" fillId="0" borderId="13" xfId="135" applyNumberFormat="1" applyFont="1" applyBorder="1" applyAlignment="1">
      <alignment horizontal="right" vertical="center"/>
    </xf>
    <xf numFmtId="3" fontId="18" fillId="0" borderId="13" xfId="135" applyNumberFormat="1" applyFont="1" applyBorder="1" applyAlignment="1">
      <alignment vertical="center"/>
    </xf>
    <xf numFmtId="3" fontId="17" fillId="46" borderId="13" xfId="135" applyNumberFormat="1" applyFont="1" applyFill="1" applyBorder="1" applyAlignment="1">
      <alignment horizontal="right" vertical="center"/>
    </xf>
    <xf numFmtId="3" fontId="17" fillId="46" borderId="13" xfId="135" applyNumberFormat="1" applyFont="1" applyFill="1" applyBorder="1" applyAlignment="1">
      <alignment vertical="center"/>
    </xf>
    <xf numFmtId="3" fontId="18" fillId="0" borderId="13" xfId="0" applyNumberFormat="1" applyFont="1" applyBorder="1" applyAlignment="1">
      <alignment vertical="center"/>
    </xf>
    <xf numFmtId="3" fontId="18" fillId="0" borderId="14" xfId="0" applyNumberFormat="1" applyFont="1" applyBorder="1" applyAlignment="1">
      <alignment vertical="center"/>
    </xf>
    <xf numFmtId="0" fontId="13" fillId="0" borderId="0" xfId="0" applyFont="1"/>
    <xf numFmtId="0" fontId="14" fillId="0" borderId="0" xfId="0" applyFont="1"/>
    <xf numFmtId="3" fontId="13" fillId="0" borderId="0" xfId="0" applyNumberFormat="1" applyFont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0" fontId="12" fillId="0" borderId="0" xfId="127" applyAlignment="1">
      <alignment vertical="center"/>
    </xf>
    <xf numFmtId="0" fontId="12" fillId="0" borderId="0" xfId="127" applyAlignment="1">
      <alignment vertical="top"/>
    </xf>
    <xf numFmtId="3" fontId="12" fillId="0" borderId="0" xfId="127" applyNumberFormat="1" applyAlignment="1">
      <alignment vertical="center"/>
    </xf>
    <xf numFmtId="3" fontId="21" fillId="0" borderId="0" xfId="135" applyNumberFormat="1" applyFont="1" applyAlignment="1">
      <alignment vertical="center"/>
    </xf>
    <xf numFmtId="3" fontId="13" fillId="0" borderId="0" xfId="135" applyNumberFormat="1" applyFont="1" applyAlignment="1">
      <alignment vertical="center"/>
    </xf>
    <xf numFmtId="3" fontId="17" fillId="46" borderId="15" xfId="0" applyNumberFormat="1" applyFont="1" applyFill="1" applyBorder="1" applyAlignment="1">
      <alignment horizontal="center" vertical="center" wrapText="1"/>
    </xf>
    <xf numFmtId="3" fontId="17" fillId="46" borderId="16" xfId="0" applyNumberFormat="1" applyFont="1" applyFill="1" applyBorder="1" applyAlignment="1">
      <alignment horizontal="center" vertical="center" wrapText="1"/>
    </xf>
    <xf numFmtId="3" fontId="17" fillId="46" borderId="17" xfId="0" applyNumberFormat="1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/>
    </xf>
    <xf numFmtId="3" fontId="17" fillId="46" borderId="19" xfId="0" applyNumberFormat="1" applyFont="1" applyFill="1" applyBorder="1" applyAlignment="1">
      <alignment vertical="center"/>
    </xf>
    <xf numFmtId="3" fontId="17" fillId="46" borderId="20" xfId="0" applyNumberFormat="1" applyFont="1" applyFill="1" applyBorder="1" applyAlignment="1">
      <alignment horizontal="left" vertical="center" wrapText="1"/>
    </xf>
    <xf numFmtId="0" fontId="18" fillId="0" borderId="13" xfId="127" applyFont="1" applyBorder="1" applyAlignment="1">
      <alignment vertical="center"/>
    </xf>
    <xf numFmtId="0" fontId="18" fillId="0" borderId="13" xfId="127" applyFont="1" applyBorder="1" applyAlignment="1">
      <alignment horizontal="center" vertical="center"/>
    </xf>
    <xf numFmtId="3" fontId="18" fillId="0" borderId="13" xfId="127" applyNumberFormat="1" applyFont="1" applyBorder="1" applyAlignment="1">
      <alignment vertical="center"/>
    </xf>
    <xf numFmtId="0" fontId="17" fillId="46" borderId="13" xfId="127" applyFont="1" applyFill="1" applyBorder="1" applyAlignment="1">
      <alignment horizontal="center" vertical="center"/>
    </xf>
    <xf numFmtId="0" fontId="17" fillId="46" borderId="13" xfId="127" applyFont="1" applyFill="1" applyBorder="1" applyAlignment="1">
      <alignment vertical="center"/>
    </xf>
    <xf numFmtId="0" fontId="15" fillId="0" borderId="13" xfId="127" applyFont="1" applyBorder="1" applyAlignment="1">
      <alignment horizontal="center" vertical="center"/>
    </xf>
    <xf numFmtId="3" fontId="18" fillId="0" borderId="13" xfId="135" applyNumberFormat="1" applyFont="1" applyBorder="1" applyAlignment="1">
      <alignment horizontal="left" vertical="center" wrapText="1"/>
    </xf>
    <xf numFmtId="3" fontId="18" fillId="0" borderId="13" xfId="135" applyNumberFormat="1" applyFont="1" applyBorder="1" applyAlignment="1">
      <alignment horizontal="left" vertical="center"/>
    </xf>
    <xf numFmtId="3" fontId="18" fillId="46" borderId="13" xfId="135" applyNumberFormat="1" applyFont="1" applyFill="1" applyBorder="1" applyAlignment="1">
      <alignment horizontal="center" vertical="center"/>
    </xf>
    <xf numFmtId="3" fontId="15" fillId="0" borderId="0" xfId="0" applyNumberFormat="1" applyFont="1" applyAlignment="1">
      <alignment vertical="center"/>
    </xf>
    <xf numFmtId="0" fontId="15" fillId="0" borderId="0" xfId="0" applyFont="1"/>
    <xf numFmtId="3" fontId="17" fillId="46" borderId="13" xfId="127" applyNumberFormat="1" applyFont="1" applyFill="1" applyBorder="1" applyAlignment="1">
      <alignment vertical="center"/>
    </xf>
    <xf numFmtId="3" fontId="18" fillId="0" borderId="13" xfId="0" applyNumberFormat="1" applyFont="1" applyBorder="1" applyAlignment="1">
      <alignment horizontal="center" vertical="center"/>
    </xf>
    <xf numFmtId="3" fontId="17" fillId="46" borderId="13" xfId="0" applyNumberFormat="1" applyFont="1" applyFill="1" applyBorder="1" applyAlignment="1">
      <alignment vertical="center"/>
    </xf>
    <xf numFmtId="0" fontId="17" fillId="46" borderId="13" xfId="127" applyFont="1" applyFill="1" applyBorder="1" applyAlignment="1">
      <alignment vertical="center" wrapText="1"/>
    </xf>
    <xf numFmtId="3" fontId="17" fillId="0" borderId="13" xfId="135" applyNumberFormat="1" applyFont="1" applyBorder="1" applyAlignment="1">
      <alignment horizontal="center" vertical="center"/>
    </xf>
    <xf numFmtId="0" fontId="17" fillId="46" borderId="13" xfId="127" applyFont="1" applyFill="1" applyBorder="1" applyAlignment="1">
      <alignment horizontal="center" vertical="center" wrapText="1"/>
    </xf>
    <xf numFmtId="3" fontId="17" fillId="46" borderId="13" xfId="135" applyNumberFormat="1" applyFont="1" applyFill="1" applyBorder="1" applyAlignment="1">
      <alignment horizontal="center" vertical="center" wrapText="1"/>
    </xf>
    <xf numFmtId="0" fontId="62" fillId="46" borderId="13" xfId="0" applyFont="1" applyFill="1" applyBorder="1" applyAlignment="1">
      <alignment horizontal="center" vertical="center" wrapText="1"/>
    </xf>
    <xf numFmtId="0" fontId="17" fillId="46" borderId="13" xfId="127" applyFont="1" applyFill="1" applyBorder="1" applyAlignment="1">
      <alignment horizontal="center" vertical="top" wrapText="1"/>
    </xf>
    <xf numFmtId="0" fontId="18" fillId="0" borderId="13" xfId="133" applyFont="1" applyBorder="1" applyAlignment="1">
      <alignment vertical="center" wrapText="1"/>
    </xf>
    <xf numFmtId="0" fontId="18" fillId="0" borderId="13" xfId="127" applyFont="1" applyBorder="1" applyAlignment="1">
      <alignment vertical="center" wrapText="1"/>
    </xf>
    <xf numFmtId="0" fontId="62" fillId="46" borderId="14" xfId="0" applyFont="1" applyFill="1" applyBorder="1" applyAlignment="1">
      <alignment horizontal="center" vertical="center" wrapText="1"/>
    </xf>
    <xf numFmtId="0" fontId="18" fillId="0" borderId="19" xfId="127" applyFont="1" applyBorder="1" applyAlignment="1">
      <alignment vertical="center"/>
    </xf>
    <xf numFmtId="0" fontId="80" fillId="0" borderId="0" xfId="128" applyAlignment="1">
      <alignment vertical="center"/>
    </xf>
    <xf numFmtId="0" fontId="80" fillId="0" borderId="0" xfId="128" applyAlignment="1">
      <alignment vertical="top"/>
    </xf>
    <xf numFmtId="3" fontId="80" fillId="0" borderId="0" xfId="128" applyNumberFormat="1" applyAlignment="1">
      <alignment vertical="center"/>
    </xf>
    <xf numFmtId="3" fontId="13" fillId="0" borderId="0" xfId="0" applyNumberFormat="1" applyFont="1"/>
    <xf numFmtId="0" fontId="17" fillId="46" borderId="13" xfId="128" applyFont="1" applyFill="1" applyBorder="1" applyAlignment="1">
      <alignment horizontal="center" vertical="center" wrapText="1"/>
    </xf>
    <xf numFmtId="0" fontId="23" fillId="0" borderId="13" xfId="131" applyFont="1" applyBorder="1" applyAlignment="1">
      <alignment horizontal="left" vertical="center" wrapText="1"/>
    </xf>
    <xf numFmtId="3" fontId="18" fillId="0" borderId="13" xfId="128" applyNumberFormat="1" applyFont="1" applyBorder="1" applyAlignment="1">
      <alignment vertical="center"/>
    </xf>
    <xf numFmtId="0" fontId="18" fillId="0" borderId="13" xfId="132" applyFont="1" applyBorder="1" applyAlignment="1">
      <alignment vertical="center" wrapText="1"/>
    </xf>
    <xf numFmtId="0" fontId="18" fillId="0" borderId="13" xfId="132" applyFont="1" applyBorder="1" applyAlignment="1">
      <alignment vertical="center"/>
    </xf>
    <xf numFmtId="0" fontId="18" fillId="0" borderId="13" xfId="134" applyFont="1" applyBorder="1" applyAlignment="1">
      <alignment vertical="center"/>
    </xf>
    <xf numFmtId="0" fontId="16" fillId="46" borderId="13" xfId="128" applyFont="1" applyFill="1" applyBorder="1" applyAlignment="1">
      <alignment vertical="center" wrapText="1"/>
    </xf>
    <xf numFmtId="3" fontId="16" fillId="46" borderId="13" xfId="128" applyNumberFormat="1" applyFont="1" applyFill="1" applyBorder="1" applyAlignment="1">
      <alignment vertical="center"/>
    </xf>
    <xf numFmtId="3" fontId="81" fillId="0" borderId="0" xfId="128" applyNumberFormat="1" applyFont="1" applyAlignment="1">
      <alignment vertical="center"/>
    </xf>
    <xf numFmtId="0" fontId="18" fillId="0" borderId="13" xfId="131" applyFont="1" applyBorder="1" applyAlignment="1">
      <alignment horizontal="center" vertical="center" wrapText="1"/>
    </xf>
    <xf numFmtId="0" fontId="18" fillId="0" borderId="13" xfId="131" applyFont="1" applyBorder="1" applyAlignment="1">
      <alignment horizontal="left" vertical="center" wrapText="1"/>
    </xf>
    <xf numFmtId="3" fontId="18" fillId="0" borderId="13" xfId="135" applyNumberFormat="1" applyFont="1" applyBorder="1" applyAlignment="1">
      <alignment horizontal="right" vertical="center" wrapText="1"/>
    </xf>
    <xf numFmtId="0" fontId="17" fillId="46" borderId="13" xfId="128" applyFont="1" applyFill="1" applyBorder="1" applyAlignment="1">
      <alignment horizontal="center" vertical="center"/>
    </xf>
    <xf numFmtId="0" fontId="17" fillId="46" borderId="13" xfId="128" applyFont="1" applyFill="1" applyBorder="1" applyAlignment="1">
      <alignment vertical="center" wrapText="1"/>
    </xf>
    <xf numFmtId="0" fontId="18" fillId="9" borderId="30" xfId="150" applyFont="1" applyFill="1" applyBorder="1" applyAlignment="1">
      <alignment vertical="center"/>
    </xf>
    <xf numFmtId="0" fontId="13" fillId="0" borderId="0" xfId="150" applyFont="1" applyAlignment="1">
      <alignment vertical="center"/>
    </xf>
    <xf numFmtId="0" fontId="12" fillId="0" borderId="0" xfId="153"/>
    <xf numFmtId="0" fontId="16" fillId="46" borderId="31" xfId="127" applyFont="1" applyFill="1" applyBorder="1" applyAlignment="1">
      <alignment horizontal="center" vertical="top" wrapText="1"/>
    </xf>
    <xf numFmtId="0" fontId="16" fillId="46" borderId="31" xfId="127" applyFont="1" applyFill="1" applyBorder="1" applyAlignment="1">
      <alignment horizontal="center" vertical="center" wrapText="1"/>
    </xf>
    <xf numFmtId="0" fontId="12" fillId="0" borderId="0" xfId="153" applyAlignment="1">
      <alignment vertical="center"/>
    </xf>
    <xf numFmtId="0" fontId="15" fillId="0" borderId="19" xfId="133" applyFont="1" applyBorder="1" applyAlignment="1">
      <alignment horizontal="center" vertical="center"/>
    </xf>
    <xf numFmtId="0" fontId="15" fillId="0" borderId="31" xfId="133" applyFont="1" applyBorder="1" applyAlignment="1">
      <alignment horizontal="center" vertical="center"/>
    </xf>
    <xf numFmtId="0" fontId="16" fillId="0" borderId="31" xfId="133" applyFont="1" applyBorder="1" applyAlignment="1">
      <alignment horizontal="center" vertical="center"/>
    </xf>
    <xf numFmtId="3" fontId="15" fillId="0" borderId="31" xfId="0" applyNumberFormat="1" applyFont="1" applyBorder="1" applyAlignment="1">
      <alignment horizontal="center" vertical="center"/>
    </xf>
    <xf numFmtId="0" fontId="85" fillId="0" borderId="0" xfId="153" applyFont="1" applyAlignment="1">
      <alignment vertical="center"/>
    </xf>
    <xf numFmtId="0" fontId="16" fillId="46" borderId="31" xfId="133" applyFont="1" applyFill="1" applyBorder="1" applyAlignment="1">
      <alignment horizontal="center" vertical="center"/>
    </xf>
    <xf numFmtId="0" fontId="15" fillId="0" borderId="31" xfId="0" applyFont="1" applyBorder="1" applyAlignment="1">
      <alignment vertical="center"/>
    </xf>
    <xf numFmtId="0" fontId="15" fillId="0" borderId="33" xfId="133" applyFont="1" applyBorder="1" applyAlignment="1">
      <alignment horizontal="center" vertical="center"/>
    </xf>
    <xf numFmtId="3" fontId="18" fillId="0" borderId="33" xfId="0" applyNumberFormat="1" applyFont="1" applyBorder="1" applyAlignment="1">
      <alignment vertical="center"/>
    </xf>
    <xf numFmtId="3" fontId="15" fillId="0" borderId="34" xfId="0" applyNumberFormat="1" applyFont="1" applyBorder="1" applyAlignment="1">
      <alignment horizontal="left" vertical="center" wrapText="1"/>
    </xf>
    <xf numFmtId="3" fontId="15" fillId="0" borderId="34" xfId="0" applyNumberFormat="1" applyFont="1" applyBorder="1" applyAlignment="1">
      <alignment vertical="center" wrapText="1"/>
    </xf>
    <xf numFmtId="0" fontId="16" fillId="46" borderId="33" xfId="133" applyFont="1" applyFill="1" applyBorder="1" applyAlignment="1">
      <alignment horizontal="center" vertical="center"/>
    </xf>
    <xf numFmtId="0" fontId="16" fillId="0" borderId="33" xfId="133" applyFont="1" applyBorder="1" applyAlignment="1">
      <alignment horizontal="center" vertical="center"/>
    </xf>
    <xf numFmtId="0" fontId="15" fillId="0" borderId="33" xfId="0" applyFont="1" applyBorder="1" applyAlignment="1">
      <alignment vertical="center"/>
    </xf>
    <xf numFmtId="0" fontId="15" fillId="0" borderId="34" xfId="133" applyFont="1" applyBorder="1" applyAlignment="1">
      <alignment vertical="center"/>
    </xf>
    <xf numFmtId="0" fontId="15" fillId="0" borderId="36" xfId="133" applyFont="1" applyBorder="1" applyAlignment="1">
      <alignment horizontal="center" vertical="center"/>
    </xf>
    <xf numFmtId="0" fontId="15" fillId="46" borderId="33" xfId="133" applyFont="1" applyFill="1" applyBorder="1" applyAlignment="1">
      <alignment horizontal="center" vertical="center"/>
    </xf>
    <xf numFmtId="0" fontId="16" fillId="46" borderId="34" xfId="127" applyFont="1" applyFill="1" applyBorder="1" applyAlignment="1">
      <alignment vertical="center" wrapText="1"/>
    </xf>
    <xf numFmtId="3" fontId="17" fillId="46" borderId="38" xfId="135" applyNumberFormat="1" applyFont="1" applyFill="1" applyBorder="1" applyAlignment="1">
      <alignment horizontal="center" vertical="center" wrapText="1"/>
    </xf>
    <xf numFmtId="3" fontId="17" fillId="46" borderId="19" xfId="135" applyNumberFormat="1" applyFont="1" applyFill="1" applyBorder="1" applyAlignment="1">
      <alignment horizontal="center" vertical="center" wrapText="1"/>
    </xf>
    <xf numFmtId="3" fontId="17" fillId="46" borderId="25" xfId="135" applyNumberFormat="1" applyFont="1" applyFill="1" applyBorder="1" applyAlignment="1">
      <alignment horizontal="center" vertical="center" wrapText="1"/>
    </xf>
    <xf numFmtId="3" fontId="18" fillId="0" borderId="19" xfId="135" applyNumberFormat="1" applyFont="1" applyBorder="1" applyAlignment="1">
      <alignment horizontal="center" vertical="center" wrapText="1"/>
    </xf>
    <xf numFmtId="3" fontId="18" fillId="0" borderId="33" xfId="135" applyNumberFormat="1" applyFont="1" applyBorder="1" applyAlignment="1">
      <alignment horizontal="center" vertical="center" wrapText="1"/>
    </xf>
    <xf numFmtId="3" fontId="18" fillId="0" borderId="39" xfId="135" applyNumberFormat="1" applyFont="1" applyBorder="1" applyAlignment="1">
      <alignment horizontal="center" vertical="center" wrapText="1"/>
    </xf>
    <xf numFmtId="3" fontId="18" fillId="0" borderId="19" xfId="0" applyNumberFormat="1" applyFont="1" applyBorder="1" applyAlignment="1">
      <alignment vertical="center"/>
    </xf>
    <xf numFmtId="3" fontId="18" fillId="0" borderId="19" xfId="0" applyNumberFormat="1" applyFont="1" applyBorder="1" applyAlignment="1">
      <alignment horizontal="center" vertical="center"/>
    </xf>
    <xf numFmtId="3" fontId="17" fillId="0" borderId="33" xfId="135" applyNumberFormat="1" applyFont="1" applyBorder="1" applyAlignment="1">
      <alignment horizontal="center" vertical="center" wrapText="1"/>
    </xf>
    <xf numFmtId="3" fontId="17" fillId="0" borderId="19" xfId="135" applyNumberFormat="1" applyFont="1" applyBorder="1" applyAlignment="1">
      <alignment horizontal="center" vertical="center" wrapText="1"/>
    </xf>
    <xf numFmtId="3" fontId="18" fillId="0" borderId="33" xfId="0" applyNumberFormat="1" applyFont="1" applyBorder="1" applyAlignment="1">
      <alignment horizontal="center" vertical="center"/>
    </xf>
    <xf numFmtId="3" fontId="18" fillId="0" borderId="33" xfId="135" applyNumberFormat="1" applyFont="1" applyBorder="1" applyAlignment="1">
      <alignment horizontal="center" vertical="center"/>
    </xf>
    <xf numFmtId="0" fontId="18" fillId="0" borderId="34" xfId="127" applyFont="1" applyBorder="1" applyAlignment="1">
      <alignment vertical="center"/>
    </xf>
    <xf numFmtId="3" fontId="17" fillId="0" borderId="33" xfId="135" applyNumberFormat="1" applyFont="1" applyBorder="1" applyAlignment="1">
      <alignment horizontal="left" vertical="center"/>
    </xf>
    <xf numFmtId="3" fontId="17" fillId="0" borderId="33" xfId="135" applyNumberFormat="1" applyFont="1" applyBorder="1" applyAlignment="1">
      <alignment horizontal="center" vertical="center"/>
    </xf>
    <xf numFmtId="3" fontId="18" fillId="0" borderId="33" xfId="135" applyNumberFormat="1" applyFont="1" applyBorder="1" applyAlignment="1">
      <alignment horizontal="right" vertical="center"/>
    </xf>
    <xf numFmtId="3" fontId="18" fillId="0" borderId="34" xfId="135" applyNumberFormat="1" applyFont="1" applyBorder="1" applyAlignment="1">
      <alignment horizontal="center" vertical="center"/>
    </xf>
    <xf numFmtId="3" fontId="18" fillId="0" borderId="34" xfId="135" applyNumberFormat="1" applyFont="1" applyBorder="1" applyAlignment="1">
      <alignment horizontal="left" vertical="center"/>
    </xf>
    <xf numFmtId="0" fontId="18" fillId="0" borderId="33" xfId="0" applyFont="1" applyBorder="1" applyAlignment="1">
      <alignment horizontal="right" vertical="center"/>
    </xf>
    <xf numFmtId="0" fontId="18" fillId="0" borderId="33" xfId="0" applyFont="1" applyBorder="1" applyAlignment="1">
      <alignment horizontal="center" vertical="center"/>
    </xf>
    <xf numFmtId="3" fontId="18" fillId="0" borderId="34" xfId="135" applyNumberFormat="1" applyFont="1" applyBorder="1" applyAlignment="1">
      <alignment vertical="center"/>
    </xf>
    <xf numFmtId="0" fontId="18" fillId="0" borderId="33" xfId="0" applyFont="1" applyBorder="1" applyAlignment="1">
      <alignment vertical="center"/>
    </xf>
    <xf numFmtId="3" fontId="18" fillId="0" borderId="33" xfId="135" applyNumberFormat="1" applyFont="1" applyBorder="1" applyAlignment="1">
      <alignment vertical="center"/>
    </xf>
    <xf numFmtId="3" fontId="18" fillId="0" borderId="34" xfId="0" applyNumberFormat="1" applyFont="1" applyBorder="1" applyAlignment="1">
      <alignment horizontal="left" vertical="center"/>
    </xf>
    <xf numFmtId="3" fontId="18" fillId="0" borderId="34" xfId="0" applyNumberFormat="1" applyFont="1" applyBorder="1" applyAlignment="1">
      <alignment vertical="center"/>
    </xf>
    <xf numFmtId="3" fontId="19" fillId="0" borderId="33" xfId="0" applyNumberFormat="1" applyFont="1" applyBorder="1" applyAlignment="1">
      <alignment horizontal="center" vertical="center"/>
    </xf>
    <xf numFmtId="3" fontId="18" fillId="0" borderId="34" xfId="0" applyNumberFormat="1" applyFont="1" applyBorder="1" applyAlignment="1">
      <alignment horizontal="center" vertical="center"/>
    </xf>
    <xf numFmtId="0" fontId="18" fillId="0" borderId="34" xfId="133" applyFont="1" applyBorder="1" applyAlignment="1">
      <alignment vertical="center"/>
    </xf>
    <xf numFmtId="3" fontId="18" fillId="51" borderId="34" xfId="0" applyNumberFormat="1" applyFont="1" applyFill="1" applyBorder="1" applyAlignment="1">
      <alignment vertical="center"/>
    </xf>
    <xf numFmtId="3" fontId="18" fillId="51" borderId="34" xfId="0" applyNumberFormat="1" applyFont="1" applyFill="1" applyBorder="1" applyAlignment="1">
      <alignment horizontal="left" vertical="center"/>
    </xf>
    <xf numFmtId="3" fontId="18" fillId="0" borderId="33" xfId="0" applyNumberFormat="1" applyFont="1" applyBorder="1" applyAlignment="1">
      <alignment horizontal="right" vertical="center"/>
    </xf>
    <xf numFmtId="3" fontId="18" fillId="0" borderId="34" xfId="0" applyNumberFormat="1" applyFont="1" applyBorder="1" applyAlignment="1">
      <alignment vertical="center" wrapText="1"/>
    </xf>
    <xf numFmtId="3" fontId="17" fillId="46" borderId="33" xfId="0" applyNumberFormat="1" applyFont="1" applyFill="1" applyBorder="1" applyAlignment="1">
      <alignment horizontal="center" vertical="center"/>
    </xf>
    <xf numFmtId="3" fontId="17" fillId="46" borderId="34" xfId="0" applyNumberFormat="1" applyFont="1" applyFill="1" applyBorder="1" applyAlignment="1">
      <alignment horizontal="center" vertical="center"/>
    </xf>
    <xf numFmtId="3" fontId="17" fillId="46" borderId="34" xfId="0" applyNumberFormat="1" applyFont="1" applyFill="1" applyBorder="1" applyAlignment="1">
      <alignment vertical="center"/>
    </xf>
    <xf numFmtId="3" fontId="17" fillId="46" borderId="37" xfId="0" applyNumberFormat="1" applyFont="1" applyFill="1" applyBorder="1" applyAlignment="1">
      <alignment vertical="center"/>
    </xf>
    <xf numFmtId="3" fontId="17" fillId="46" borderId="33" xfId="0" applyNumberFormat="1" applyFont="1" applyFill="1" applyBorder="1" applyAlignment="1">
      <alignment vertical="center"/>
    </xf>
    <xf numFmtId="3" fontId="17" fillId="0" borderId="33" xfId="0" applyNumberFormat="1" applyFont="1" applyBorder="1" applyAlignment="1">
      <alignment horizontal="center" vertical="center"/>
    </xf>
    <xf numFmtId="3" fontId="18" fillId="0" borderId="37" xfId="0" applyNumberFormat="1" applyFont="1" applyBorder="1" applyAlignment="1">
      <alignment vertical="center"/>
    </xf>
    <xf numFmtId="3" fontId="17" fillId="0" borderId="37" xfId="0" applyNumberFormat="1" applyFont="1" applyBorder="1" applyAlignment="1">
      <alignment vertical="center"/>
    </xf>
    <xf numFmtId="3" fontId="17" fillId="0" borderId="33" xfId="0" applyNumberFormat="1" applyFont="1" applyBorder="1" applyAlignment="1">
      <alignment vertical="center"/>
    </xf>
    <xf numFmtId="0" fontId="19" fillId="0" borderId="34" xfId="127" applyFont="1" applyBorder="1" applyAlignment="1">
      <alignment vertical="center"/>
    </xf>
    <xf numFmtId="0" fontId="18" fillId="0" borderId="37" xfId="0" applyFont="1" applyBorder="1" applyAlignment="1">
      <alignment vertical="center"/>
    </xf>
    <xf numFmtId="3" fontId="18" fillId="0" borderId="34" xfId="0" applyNumberFormat="1" applyFont="1" applyBorder="1" applyAlignment="1">
      <alignment horizontal="left" vertical="center" wrapText="1"/>
    </xf>
    <xf numFmtId="3" fontId="19" fillId="0" borderId="34" xfId="0" applyNumberFormat="1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18" fillId="0" borderId="33" xfId="0" applyFont="1" applyBorder="1" applyAlignment="1">
      <alignment vertical="center" wrapText="1"/>
    </xf>
    <xf numFmtId="3" fontId="18" fillId="0" borderId="33" xfId="0" applyNumberFormat="1" applyFont="1" applyBorder="1" applyAlignment="1">
      <alignment vertical="center" wrapText="1"/>
    </xf>
    <xf numFmtId="0" fontId="18" fillId="0" borderId="33" xfId="0" applyFont="1" applyBorder="1" applyAlignment="1">
      <alignment horizontal="right" vertical="center" wrapText="1"/>
    </xf>
    <xf numFmtId="3" fontId="17" fillId="46" borderId="37" xfId="0" applyNumberFormat="1" applyFont="1" applyFill="1" applyBorder="1" applyAlignment="1">
      <alignment horizontal="right" vertical="center"/>
    </xf>
    <xf numFmtId="3" fontId="17" fillId="0" borderId="34" xfId="0" applyNumberFormat="1" applyFont="1" applyBorder="1" applyAlignment="1">
      <alignment horizontal="center" vertical="center"/>
    </xf>
    <xf numFmtId="3" fontId="19" fillId="0" borderId="34" xfId="0" applyNumberFormat="1" applyFont="1" applyBorder="1" applyAlignment="1">
      <alignment vertical="center"/>
    </xf>
    <xf numFmtId="3" fontId="17" fillId="0" borderId="37" xfId="0" applyNumberFormat="1" applyFont="1" applyBorder="1" applyAlignment="1">
      <alignment horizontal="right" vertical="center"/>
    </xf>
    <xf numFmtId="3" fontId="17" fillId="0" borderId="33" xfId="0" applyNumberFormat="1" applyFont="1" applyBorder="1" applyAlignment="1">
      <alignment horizontal="right" vertical="center"/>
    </xf>
    <xf numFmtId="3" fontId="17" fillId="0" borderId="34" xfId="0" applyNumberFormat="1" applyFont="1" applyBorder="1" applyAlignment="1">
      <alignment vertical="center"/>
    </xf>
    <xf numFmtId="3" fontId="18" fillId="0" borderId="37" xfId="0" applyNumberFormat="1" applyFont="1" applyBorder="1" applyAlignment="1">
      <alignment horizontal="right" vertical="center"/>
    </xf>
    <xf numFmtId="3" fontId="18" fillId="46" borderId="37" xfId="0" applyNumberFormat="1" applyFont="1" applyFill="1" applyBorder="1" applyAlignment="1">
      <alignment vertical="center"/>
    </xf>
    <xf numFmtId="3" fontId="18" fillId="46" borderId="33" xfId="0" applyNumberFormat="1" applyFont="1" applyFill="1" applyBorder="1" applyAlignment="1">
      <alignment vertical="center"/>
    </xf>
    <xf numFmtId="3" fontId="18" fillId="46" borderId="33" xfId="135" applyNumberFormat="1" applyFont="1" applyFill="1" applyBorder="1" applyAlignment="1">
      <alignment horizontal="right" vertical="center"/>
    </xf>
    <xf numFmtId="3" fontId="17" fillId="46" borderId="26" xfId="0" applyNumberFormat="1" applyFont="1" applyFill="1" applyBorder="1" applyAlignment="1">
      <alignment vertical="center"/>
    </xf>
    <xf numFmtId="3" fontId="18" fillId="0" borderId="27" xfId="0" applyNumberFormat="1" applyFont="1" applyBorder="1" applyAlignment="1">
      <alignment vertical="center"/>
    </xf>
    <xf numFmtId="3" fontId="18" fillId="46" borderId="33" xfId="0" applyNumberFormat="1" applyFont="1" applyFill="1" applyBorder="1" applyAlignment="1">
      <alignment horizontal="center" vertical="center"/>
    </xf>
    <xf numFmtId="3" fontId="18" fillId="46" borderId="34" xfId="0" applyNumberFormat="1" applyFont="1" applyFill="1" applyBorder="1" applyAlignment="1">
      <alignment horizontal="center" vertical="center"/>
    </xf>
    <xf numFmtId="3" fontId="18" fillId="0" borderId="36" xfId="0" applyNumberFormat="1" applyFont="1" applyBorder="1" applyAlignment="1">
      <alignment horizontal="center" vertical="center"/>
    </xf>
    <xf numFmtId="0" fontId="18" fillId="0" borderId="37" xfId="165" applyFont="1" applyBorder="1" applyAlignment="1">
      <alignment vertical="center" wrapText="1"/>
    </xf>
    <xf numFmtId="3" fontId="18" fillId="0" borderId="33" xfId="165" applyNumberFormat="1" applyFont="1" applyBorder="1" applyAlignment="1">
      <alignment vertical="center" wrapText="1"/>
    </xf>
    <xf numFmtId="3" fontId="18" fillId="51" borderId="33" xfId="0" applyNumberFormat="1" applyFont="1" applyFill="1" applyBorder="1" applyAlignment="1">
      <alignment vertical="center"/>
    </xf>
    <xf numFmtId="3" fontId="18" fillId="0" borderId="19" xfId="135" applyNumberFormat="1" applyFont="1" applyBorder="1" applyAlignment="1">
      <alignment horizontal="right" vertical="center"/>
    </xf>
    <xf numFmtId="3" fontId="18" fillId="0" borderId="42" xfId="0" applyNumberFormat="1" applyFont="1" applyBorder="1" applyAlignment="1">
      <alignment vertical="center"/>
    </xf>
    <xf numFmtId="1" fontId="19" fillId="0" borderId="33" xfId="0" applyNumberFormat="1" applyFont="1" applyBorder="1" applyAlignment="1">
      <alignment vertical="center"/>
    </xf>
    <xf numFmtId="49" fontId="18" fillId="0" borderId="33" xfId="0" applyNumberFormat="1" applyFont="1" applyBorder="1" applyAlignment="1">
      <alignment horizontal="right" vertical="center"/>
    </xf>
    <xf numFmtId="3" fontId="17" fillId="51" borderId="33" xfId="0" applyNumberFormat="1" applyFont="1" applyFill="1" applyBorder="1" applyAlignment="1">
      <alignment horizontal="center" vertical="center"/>
    </xf>
    <xf numFmtId="3" fontId="17" fillId="51" borderId="34" xfId="0" applyNumberFormat="1" applyFont="1" applyFill="1" applyBorder="1" applyAlignment="1">
      <alignment horizontal="center" vertical="center"/>
    </xf>
    <xf numFmtId="3" fontId="17" fillId="51" borderId="37" xfId="0" applyNumberFormat="1" applyFont="1" applyFill="1" applyBorder="1" applyAlignment="1">
      <alignment vertical="center"/>
    </xf>
    <xf numFmtId="3" fontId="17" fillId="51" borderId="33" xfId="0" applyNumberFormat="1" applyFont="1" applyFill="1" applyBorder="1" applyAlignment="1">
      <alignment vertical="center"/>
    </xf>
    <xf numFmtId="3" fontId="18" fillId="51" borderId="33" xfId="0" applyNumberFormat="1" applyFont="1" applyFill="1" applyBorder="1" applyAlignment="1">
      <alignment horizontal="right" vertical="center"/>
    </xf>
    <xf numFmtId="3" fontId="17" fillId="51" borderId="37" xfId="0" applyNumberFormat="1" applyFont="1" applyFill="1" applyBorder="1" applyAlignment="1">
      <alignment horizontal="center" vertical="center"/>
    </xf>
    <xf numFmtId="3" fontId="17" fillId="46" borderId="33" xfId="0" applyNumberFormat="1" applyFont="1" applyFill="1" applyBorder="1" applyAlignment="1">
      <alignment horizontal="right" vertical="center"/>
    </xf>
    <xf numFmtId="3" fontId="18" fillId="51" borderId="33" xfId="135" applyNumberFormat="1" applyFont="1" applyFill="1" applyBorder="1" applyAlignment="1">
      <alignment horizontal="right" vertical="top" wrapText="1"/>
    </xf>
    <xf numFmtId="3" fontId="18" fillId="51" borderId="33" xfId="135" applyNumberFormat="1" applyFont="1" applyFill="1" applyBorder="1" applyAlignment="1">
      <alignment vertical="top" wrapText="1"/>
    </xf>
    <xf numFmtId="3" fontId="17" fillId="46" borderId="37" xfId="0" applyNumberFormat="1" applyFont="1" applyFill="1" applyBorder="1" applyAlignment="1">
      <alignment horizontal="center" vertical="center"/>
    </xf>
    <xf numFmtId="3" fontId="17" fillId="46" borderId="33" xfId="135" applyNumberFormat="1" applyFont="1" applyFill="1" applyBorder="1" applyAlignment="1">
      <alignment horizontal="right" vertical="center"/>
    </xf>
    <xf numFmtId="3" fontId="17" fillId="46" borderId="36" xfId="0" applyNumberFormat="1" applyFont="1" applyFill="1" applyBorder="1" applyAlignment="1">
      <alignment vertical="center"/>
    </xf>
    <xf numFmtId="3" fontId="18" fillId="0" borderId="37" xfId="0" applyNumberFormat="1" applyFont="1" applyBorder="1" applyAlignment="1">
      <alignment horizontal="center" vertical="center"/>
    </xf>
    <xf numFmtId="3" fontId="18" fillId="0" borderId="33" xfId="132" applyNumberFormat="1" applyFont="1" applyBorder="1" applyAlignment="1">
      <alignment horizontal="right" vertical="center"/>
    </xf>
    <xf numFmtId="3" fontId="17" fillId="46" borderId="26" xfId="0" applyNumberFormat="1" applyFont="1" applyFill="1" applyBorder="1" applyAlignment="1">
      <alignment horizontal="center" vertical="center"/>
    </xf>
    <xf numFmtId="3" fontId="90" fillId="0" borderId="0" xfId="0" applyNumberFormat="1" applyFont="1" applyAlignment="1">
      <alignment vertical="center"/>
    </xf>
    <xf numFmtId="3" fontId="91" fillId="0" borderId="0" xfId="0" applyNumberFormat="1" applyFont="1" applyAlignment="1">
      <alignment vertical="center"/>
    </xf>
    <xf numFmtId="3" fontId="15" fillId="0" borderId="33" xfId="133" applyNumberFormat="1" applyFont="1" applyBorder="1" applyAlignment="1">
      <alignment vertical="center"/>
    </xf>
    <xf numFmtId="3" fontId="18" fillId="0" borderId="46" xfId="0" applyNumberFormat="1" applyFont="1" applyBorder="1" applyAlignment="1">
      <alignment horizontal="center" vertical="center"/>
    </xf>
    <xf numFmtId="3" fontId="17" fillId="46" borderId="49" xfId="135" applyNumberFormat="1" applyFont="1" applyFill="1" applyBorder="1" applyAlignment="1">
      <alignment horizontal="center" vertical="center" wrapText="1"/>
    </xf>
    <xf numFmtId="0" fontId="12" fillId="0" borderId="0" xfId="153" applyAlignment="1">
      <alignment horizontal="center"/>
    </xf>
    <xf numFmtId="0" fontId="16" fillId="0" borderId="25" xfId="133" applyFont="1" applyBorder="1" applyAlignment="1">
      <alignment vertical="center"/>
    </xf>
    <xf numFmtId="0" fontId="16" fillId="0" borderId="19" xfId="133" applyFont="1" applyBorder="1" applyAlignment="1">
      <alignment horizontal="center" vertical="center"/>
    </xf>
    <xf numFmtId="0" fontId="15" fillId="0" borderId="19" xfId="133" applyFont="1" applyBorder="1" applyAlignment="1">
      <alignment vertical="center"/>
    </xf>
    <xf numFmtId="0" fontId="16" fillId="0" borderId="32" xfId="133" applyFont="1" applyBorder="1" applyAlignment="1">
      <alignment vertical="center"/>
    </xf>
    <xf numFmtId="0" fontId="15" fillId="0" borderId="31" xfId="133" applyFont="1" applyBorder="1" applyAlignment="1">
      <alignment vertical="center"/>
    </xf>
    <xf numFmtId="0" fontId="15" fillId="0" borderId="32" xfId="127" applyFont="1" applyBorder="1" applyAlignment="1">
      <alignment vertical="center"/>
    </xf>
    <xf numFmtId="0" fontId="15" fillId="0" borderId="31" xfId="127" applyFont="1" applyBorder="1" applyAlignment="1">
      <alignment horizontal="center" vertical="center"/>
    </xf>
    <xf numFmtId="3" fontId="16" fillId="0" borderId="31" xfId="0" applyNumberFormat="1" applyFont="1" applyBorder="1" applyAlignment="1">
      <alignment vertical="center"/>
    </xf>
    <xf numFmtId="3" fontId="15" fillId="0" borderId="31" xfId="133" applyNumberFormat="1" applyFont="1" applyBorder="1" applyAlignment="1">
      <alignment vertical="center"/>
    </xf>
    <xf numFmtId="0" fontId="15" fillId="0" borderId="32" xfId="133" applyFont="1" applyBorder="1" applyAlignment="1">
      <alignment vertical="center" wrapText="1"/>
    </xf>
    <xf numFmtId="0" fontId="15" fillId="0" borderId="31" xfId="133" applyFont="1" applyBorder="1" applyAlignment="1">
      <alignment horizontal="center" vertical="center" wrapText="1"/>
    </xf>
    <xf numFmtId="0" fontId="15" fillId="0" borderId="32" xfId="133" applyFont="1" applyBorder="1" applyAlignment="1">
      <alignment vertical="center"/>
    </xf>
    <xf numFmtId="166" fontId="15" fillId="0" borderId="31" xfId="84" applyNumberFormat="1" applyFont="1" applyBorder="1" applyAlignment="1">
      <alignment horizontal="center" vertical="center"/>
    </xf>
    <xf numFmtId="3" fontId="16" fillId="46" borderId="32" xfId="0" applyNumberFormat="1" applyFont="1" applyFill="1" applyBorder="1" applyAlignment="1">
      <alignment vertical="center"/>
    </xf>
    <xf numFmtId="3" fontId="16" fillId="46" borderId="31" xfId="133" applyNumberFormat="1" applyFont="1" applyFill="1" applyBorder="1" applyAlignment="1">
      <alignment vertical="center"/>
    </xf>
    <xf numFmtId="3" fontId="16" fillId="0" borderId="31" xfId="133" applyNumberFormat="1" applyFont="1" applyBorder="1" applyAlignment="1">
      <alignment vertical="center"/>
    </xf>
    <xf numFmtId="0" fontId="15" fillId="0" borderId="32" xfId="155" applyFont="1" applyBorder="1" applyAlignment="1">
      <alignment vertical="center" wrapText="1"/>
    </xf>
    <xf numFmtId="0" fontId="92" fillId="0" borderId="31" xfId="133" applyFont="1" applyBorder="1" applyAlignment="1">
      <alignment vertical="center" wrapText="1"/>
    </xf>
    <xf numFmtId="3" fontId="16" fillId="46" borderId="31" xfId="0" applyNumberFormat="1" applyFont="1" applyFill="1" applyBorder="1" applyAlignment="1">
      <alignment horizontal="center" vertical="center"/>
    </xf>
    <xf numFmtId="3" fontId="16" fillId="0" borderId="31" xfId="0" applyNumberFormat="1" applyFont="1" applyBorder="1" applyAlignment="1">
      <alignment horizontal="center" vertical="center"/>
    </xf>
    <xf numFmtId="3" fontId="16" fillId="0" borderId="32" xfId="0" applyNumberFormat="1" applyFont="1" applyBorder="1" applyAlignment="1">
      <alignment vertical="center"/>
    </xf>
    <xf numFmtId="3" fontId="15" fillId="0" borderId="32" xfId="0" applyNumberFormat="1" applyFont="1" applyBorder="1" applyAlignment="1">
      <alignment vertical="center" wrapText="1"/>
    </xf>
    <xf numFmtId="0" fontId="15" fillId="0" borderId="46" xfId="157" applyFont="1" applyBorder="1" applyAlignment="1">
      <alignment vertical="center" wrapText="1"/>
    </xf>
    <xf numFmtId="3" fontId="15" fillId="0" borderId="33" xfId="0" applyNumberFormat="1" applyFont="1" applyBorder="1" applyAlignment="1">
      <alignment horizontal="center" vertical="center"/>
    </xf>
    <xf numFmtId="3" fontId="15" fillId="0" borderId="33" xfId="133" applyNumberFormat="1" applyFont="1" applyBorder="1" applyAlignment="1">
      <alignment vertical="center" wrapText="1"/>
    </xf>
    <xf numFmtId="0" fontId="16" fillId="46" borderId="34" xfId="133" applyFont="1" applyFill="1" applyBorder="1" applyAlignment="1">
      <alignment vertical="center"/>
    </xf>
    <xf numFmtId="3" fontId="16" fillId="46" borderId="33" xfId="133" applyNumberFormat="1" applyFont="1" applyFill="1" applyBorder="1" applyAlignment="1">
      <alignment vertical="center"/>
    </xf>
    <xf numFmtId="0" fontId="16" fillId="0" borderId="34" xfId="133" applyFont="1" applyBorder="1" applyAlignment="1">
      <alignment vertical="center"/>
    </xf>
    <xf numFmtId="3" fontId="15" fillId="0" borderId="33" xfId="0" applyNumberFormat="1" applyFont="1" applyBorder="1" applyAlignment="1">
      <alignment horizontal="center" vertical="center" wrapText="1"/>
    </xf>
    <xf numFmtId="3" fontId="15" fillId="0" borderId="33" xfId="133" applyNumberFormat="1" applyFont="1" applyBorder="1" applyAlignment="1">
      <alignment horizontal="center" vertical="center"/>
    </xf>
    <xf numFmtId="0" fontId="15" fillId="0" borderId="34" xfId="133" applyFont="1" applyBorder="1" applyAlignment="1">
      <alignment vertical="center" wrapText="1"/>
    </xf>
    <xf numFmtId="0" fontId="15" fillId="0" borderId="33" xfId="133" applyFont="1" applyBorder="1" applyAlignment="1">
      <alignment horizontal="center" vertical="center" wrapText="1"/>
    </xf>
    <xf numFmtId="0" fontId="15" fillId="0" borderId="34" xfId="153" applyFont="1" applyBorder="1" applyAlignment="1">
      <alignment vertical="center"/>
    </xf>
    <xf numFmtId="3" fontId="15" fillId="0" borderId="33" xfId="153" applyNumberFormat="1" applyFont="1" applyBorder="1" applyAlignment="1">
      <alignment horizontal="center" vertical="center"/>
    </xf>
    <xf numFmtId="0" fontId="15" fillId="0" borderId="33" xfId="133" applyFont="1" applyBorder="1" applyAlignment="1">
      <alignment vertical="center" wrapText="1"/>
    </xf>
    <xf numFmtId="0" fontId="15" fillId="0" borderId="25" xfId="133" applyFont="1" applyBorder="1" applyAlignment="1">
      <alignment vertical="center"/>
    </xf>
    <xf numFmtId="0" fontId="15" fillId="0" borderId="25" xfId="133" applyFont="1" applyBorder="1" applyAlignment="1">
      <alignment vertical="center" wrapText="1"/>
    </xf>
    <xf numFmtId="0" fontId="15" fillId="0" borderId="34" xfId="153" applyFont="1" applyBorder="1" applyAlignment="1">
      <alignment vertical="center" wrapText="1"/>
    </xf>
    <xf numFmtId="0" fontId="15" fillId="0" borderId="33" xfId="153" applyFont="1" applyBorder="1" applyAlignment="1">
      <alignment horizontal="center" vertical="center" wrapText="1"/>
    </xf>
    <xf numFmtId="3" fontId="15" fillId="0" borderId="33" xfId="133" applyNumberFormat="1" applyFont="1" applyBorder="1" applyAlignment="1">
      <alignment horizontal="center" vertical="center" wrapText="1"/>
    </xf>
    <xf numFmtId="3" fontId="16" fillId="0" borderId="33" xfId="133" applyNumberFormat="1" applyFont="1" applyBorder="1" applyAlignment="1">
      <alignment vertical="center"/>
    </xf>
    <xf numFmtId="3" fontId="16" fillId="46" borderId="33" xfId="133" applyNumberFormat="1" applyFont="1" applyFill="1" applyBorder="1" applyAlignment="1">
      <alignment vertical="center" wrapText="1"/>
    </xf>
    <xf numFmtId="0" fontId="16" fillId="46" borderId="33" xfId="127" applyFont="1" applyFill="1" applyBorder="1" applyAlignment="1">
      <alignment horizontal="center" vertical="center" wrapText="1"/>
    </xf>
    <xf numFmtId="0" fontId="15" fillId="0" borderId="47" xfId="127" applyFont="1" applyBorder="1" applyAlignment="1">
      <alignment vertical="center"/>
    </xf>
    <xf numFmtId="0" fontId="15" fillId="0" borderId="33" xfId="127" applyFont="1" applyBorder="1" applyAlignment="1">
      <alignment horizontal="center" vertical="center"/>
    </xf>
    <xf numFmtId="0" fontId="16" fillId="46" borderId="33" xfId="133" applyFont="1" applyFill="1" applyBorder="1" applyAlignment="1">
      <alignment vertical="center"/>
    </xf>
    <xf numFmtId="3" fontId="17" fillId="0" borderId="45" xfId="135" applyNumberFormat="1" applyFont="1" applyBorder="1" applyAlignment="1">
      <alignment vertical="center"/>
    </xf>
    <xf numFmtId="3" fontId="18" fillId="0" borderId="46" xfId="135" applyNumberFormat="1" applyFont="1" applyBorder="1" applyAlignment="1">
      <alignment vertical="center"/>
    </xf>
    <xf numFmtId="0" fontId="18" fillId="0" borderId="35" xfId="0" applyFont="1" applyBorder="1" applyAlignment="1">
      <alignment vertical="center"/>
    </xf>
    <xf numFmtId="3" fontId="19" fillId="0" borderId="45" xfId="0" applyNumberFormat="1" applyFont="1" applyBorder="1" applyAlignment="1">
      <alignment horizontal="center" vertical="center"/>
    </xf>
    <xf numFmtId="3" fontId="18" fillId="0" borderId="47" xfId="0" applyNumberFormat="1" applyFont="1" applyBorder="1" applyAlignment="1">
      <alignment horizontal="center" vertical="center"/>
    </xf>
    <xf numFmtId="3" fontId="18" fillId="0" borderId="47" xfId="0" applyNumberFormat="1" applyFont="1" applyBorder="1" applyAlignment="1">
      <alignment vertical="center"/>
    </xf>
    <xf numFmtId="3" fontId="18" fillId="0" borderId="46" xfId="0" applyNumberFormat="1" applyFont="1" applyBorder="1" applyAlignment="1">
      <alignment vertical="center"/>
    </xf>
    <xf numFmtId="3" fontId="17" fillId="0" borderId="46" xfId="0" applyNumberFormat="1" applyFont="1" applyBorder="1" applyAlignment="1">
      <alignment horizontal="center" vertical="center"/>
    </xf>
    <xf numFmtId="0" fontId="18" fillId="0" borderId="46" xfId="157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3" fontId="17" fillId="46" borderId="34" xfId="0" applyNumberFormat="1" applyFont="1" applyFill="1" applyBorder="1" applyAlignment="1">
      <alignment horizontal="left" vertical="center"/>
    </xf>
    <xf numFmtId="3" fontId="17" fillId="48" borderId="19" xfId="0" applyNumberFormat="1" applyFont="1" applyFill="1" applyBorder="1" applyAlignment="1">
      <alignment horizontal="center" vertical="center"/>
    </xf>
    <xf numFmtId="3" fontId="17" fillId="0" borderId="0" xfId="0" applyNumberFormat="1" applyFont="1" applyAlignment="1">
      <alignment horizontal="center" vertical="center"/>
    </xf>
    <xf numFmtId="3" fontId="18" fillId="0" borderId="43" xfId="0" applyNumberFormat="1" applyFont="1" applyBorder="1" applyAlignment="1">
      <alignment horizontal="left" vertical="center" wrapText="1"/>
    </xf>
    <xf numFmtId="3" fontId="18" fillId="49" borderId="33" xfId="0" applyNumberFormat="1" applyFont="1" applyFill="1" applyBorder="1" applyAlignment="1">
      <alignment horizontal="center" vertical="center"/>
    </xf>
    <xf numFmtId="3" fontId="18" fillId="49" borderId="34" xfId="0" applyNumberFormat="1" applyFont="1" applyFill="1" applyBorder="1" applyAlignment="1">
      <alignment horizontal="center" vertical="center"/>
    </xf>
    <xf numFmtId="3" fontId="17" fillId="49" borderId="25" xfId="0" applyNumberFormat="1" applyFont="1" applyFill="1" applyBorder="1" applyAlignment="1">
      <alignment vertical="center"/>
    </xf>
    <xf numFmtId="3" fontId="18" fillId="49" borderId="26" xfId="0" applyNumberFormat="1" applyFont="1" applyFill="1" applyBorder="1" applyAlignment="1">
      <alignment vertical="center"/>
    </xf>
    <xf numFmtId="3" fontId="18" fillId="49" borderId="33" xfId="0" applyNumberFormat="1" applyFont="1" applyFill="1" applyBorder="1" applyAlignment="1">
      <alignment vertical="center"/>
    </xf>
    <xf numFmtId="3" fontId="17" fillId="49" borderId="33" xfId="135" applyNumberFormat="1" applyFont="1" applyFill="1" applyBorder="1" applyAlignment="1">
      <alignment horizontal="right" vertical="center"/>
    </xf>
    <xf numFmtId="3" fontId="17" fillId="49" borderId="34" xfId="0" applyNumberFormat="1" applyFont="1" applyFill="1" applyBorder="1" applyAlignment="1">
      <alignment horizontal="center" vertical="center"/>
    </xf>
    <xf numFmtId="0" fontId="18" fillId="0" borderId="51" xfId="165" applyFont="1" applyBorder="1" applyAlignment="1">
      <alignment vertical="center" wrapText="1"/>
    </xf>
    <xf numFmtId="3" fontId="17" fillId="0" borderId="33" xfId="135" applyNumberFormat="1" applyFont="1" applyBorder="1" applyAlignment="1">
      <alignment horizontal="center" vertical="top" wrapText="1"/>
    </xf>
    <xf numFmtId="3" fontId="17" fillId="51" borderId="34" xfId="0" applyNumberFormat="1" applyFont="1" applyFill="1" applyBorder="1" applyAlignment="1">
      <alignment vertical="center"/>
    </xf>
    <xf numFmtId="3" fontId="18" fillId="0" borderId="46" xfId="0" applyNumberFormat="1" applyFont="1" applyBorder="1" applyAlignment="1">
      <alignment vertical="center" wrapText="1"/>
    </xf>
    <xf numFmtId="3" fontId="18" fillId="0" borderId="25" xfId="0" applyNumberFormat="1" applyFont="1" applyBorder="1" applyAlignment="1">
      <alignment horizontal="left" vertical="center"/>
    </xf>
    <xf numFmtId="0" fontId="18" fillId="0" borderId="34" xfId="0" applyFont="1" applyBorder="1" applyAlignment="1">
      <alignment horizontal="left" vertical="center"/>
    </xf>
    <xf numFmtId="3" fontId="17" fillId="51" borderId="45" xfId="0" applyNumberFormat="1" applyFont="1" applyFill="1" applyBorder="1" applyAlignment="1">
      <alignment horizontal="center" vertical="center"/>
    </xf>
    <xf numFmtId="3" fontId="17" fillId="51" borderId="33" xfId="135" applyNumberFormat="1" applyFont="1" applyFill="1" applyBorder="1" applyAlignment="1">
      <alignment horizontal="center" vertical="top" wrapText="1"/>
    </xf>
    <xf numFmtId="3" fontId="18" fillId="0" borderId="44" xfId="0" applyNumberFormat="1" applyFont="1" applyBorder="1" applyAlignment="1">
      <alignment vertical="center" wrapText="1"/>
    </xf>
    <xf numFmtId="0" fontId="18" fillId="0" borderId="46" xfId="166" applyFont="1" applyBorder="1" applyAlignment="1">
      <alignment vertical="center"/>
    </xf>
    <xf numFmtId="0" fontId="18" fillId="0" borderId="33" xfId="166" applyFont="1" applyBorder="1" applyAlignment="1">
      <alignment vertical="center" wrapText="1"/>
    </xf>
    <xf numFmtId="0" fontId="17" fillId="46" borderId="34" xfId="127" applyFont="1" applyFill="1" applyBorder="1" applyAlignment="1">
      <alignment vertical="center" wrapText="1"/>
    </xf>
    <xf numFmtId="0" fontId="18" fillId="46" borderId="41" xfId="0" applyFont="1" applyFill="1" applyBorder="1" applyAlignment="1">
      <alignment vertical="center"/>
    </xf>
    <xf numFmtId="0" fontId="18" fillId="46" borderId="41" xfId="0" applyFont="1" applyFill="1" applyBorder="1" applyAlignment="1">
      <alignment horizontal="center" vertical="center"/>
    </xf>
    <xf numFmtId="3" fontId="25" fillId="0" borderId="0" xfId="0" applyNumberFormat="1" applyFont="1" applyAlignment="1">
      <alignment vertical="center"/>
    </xf>
    <xf numFmtId="0" fontId="9" fillId="46" borderId="31" xfId="0" applyFont="1" applyFill="1" applyBorder="1" applyAlignment="1">
      <alignment horizontal="center" vertical="center" wrapText="1"/>
    </xf>
    <xf numFmtId="3" fontId="83" fillId="0" borderId="31" xfId="133" applyNumberFormat="1" applyFont="1" applyBorder="1" applyAlignment="1">
      <alignment vertical="center"/>
    </xf>
    <xf numFmtId="3" fontId="16" fillId="46" borderId="33" xfId="0" applyNumberFormat="1" applyFont="1" applyFill="1" applyBorder="1" applyAlignment="1">
      <alignment horizontal="center" vertical="center"/>
    </xf>
    <xf numFmtId="3" fontId="83" fillId="0" borderId="33" xfId="133" applyNumberFormat="1" applyFont="1" applyBorder="1" applyAlignment="1">
      <alignment vertical="center"/>
    </xf>
    <xf numFmtId="3" fontId="15" fillId="0" borderId="33" xfId="0" applyNumberFormat="1" applyFont="1" applyBorder="1" applyAlignment="1">
      <alignment vertical="center"/>
    </xf>
    <xf numFmtId="3" fontId="83" fillId="0" borderId="33" xfId="133" applyNumberFormat="1" applyFont="1" applyBorder="1" applyAlignment="1">
      <alignment vertical="center" wrapText="1"/>
    </xf>
    <xf numFmtId="3" fontId="17" fillId="46" borderId="32" xfId="0" applyNumberFormat="1" applyFont="1" applyFill="1" applyBorder="1" applyAlignment="1">
      <alignment horizontal="center" vertical="center"/>
    </xf>
    <xf numFmtId="3" fontId="17" fillId="46" borderId="32" xfId="0" applyNumberFormat="1" applyFont="1" applyFill="1" applyBorder="1" applyAlignment="1">
      <alignment horizontal="left" vertical="center"/>
    </xf>
    <xf numFmtId="3" fontId="17" fillId="46" borderId="52" xfId="0" applyNumberFormat="1" applyFont="1" applyFill="1" applyBorder="1" applyAlignment="1">
      <alignment horizontal="left" vertical="center"/>
    </xf>
    <xf numFmtId="3" fontId="17" fillId="46" borderId="52" xfId="0" applyNumberFormat="1" applyFont="1" applyFill="1" applyBorder="1" applyAlignment="1">
      <alignment vertical="center"/>
    </xf>
    <xf numFmtId="3" fontId="19" fillId="0" borderId="32" xfId="0" applyNumberFormat="1" applyFont="1" applyBorder="1" applyAlignment="1">
      <alignment horizontal="left" vertical="center"/>
    </xf>
    <xf numFmtId="3" fontId="17" fillId="0" borderId="52" xfId="0" applyNumberFormat="1" applyFont="1" applyBorder="1" applyAlignment="1">
      <alignment horizontal="left" vertical="center"/>
    </xf>
    <xf numFmtId="3" fontId="17" fillId="0" borderId="52" xfId="0" applyNumberFormat="1" applyFont="1" applyBorder="1" applyAlignment="1">
      <alignment vertical="center"/>
    </xf>
    <xf numFmtId="3" fontId="18" fillId="0" borderId="32" xfId="0" applyNumberFormat="1" applyFont="1" applyBorder="1" applyAlignment="1">
      <alignment horizontal="center" vertical="center"/>
    </xf>
    <xf numFmtId="3" fontId="18" fillId="0" borderId="52" xfId="0" applyNumberFormat="1" applyFont="1" applyBorder="1" applyAlignment="1">
      <alignment vertical="center"/>
    </xf>
    <xf numFmtId="3" fontId="18" fillId="0" borderId="32" xfId="0" applyNumberFormat="1" applyFont="1" applyBorder="1" applyAlignment="1">
      <alignment vertical="center"/>
    </xf>
    <xf numFmtId="3" fontId="17" fillId="46" borderId="32" xfId="0" applyNumberFormat="1" applyFont="1" applyFill="1" applyBorder="1" applyAlignment="1">
      <alignment vertical="center"/>
    </xf>
    <xf numFmtId="3" fontId="17" fillId="0" borderId="32" xfId="0" applyNumberFormat="1" applyFont="1" applyBorder="1" applyAlignment="1">
      <alignment horizontal="center" vertical="center"/>
    </xf>
    <xf numFmtId="3" fontId="17" fillId="0" borderId="32" xfId="0" applyNumberFormat="1" applyFont="1" applyBorder="1" applyAlignment="1">
      <alignment vertical="center"/>
    </xf>
    <xf numFmtId="3" fontId="18" fillId="0" borderId="53" xfId="0" applyNumberFormat="1" applyFont="1" applyBorder="1" applyAlignment="1">
      <alignment horizontal="center" vertical="center"/>
    </xf>
    <xf numFmtId="3" fontId="18" fillId="0" borderId="55" xfId="0" applyNumberFormat="1" applyFont="1" applyBorder="1" applyAlignment="1">
      <alignment horizontal="center" vertical="center"/>
    </xf>
    <xf numFmtId="3" fontId="18" fillId="0" borderId="53" xfId="0" applyNumberFormat="1" applyFont="1" applyBorder="1" applyAlignment="1">
      <alignment vertical="center"/>
    </xf>
    <xf numFmtId="3" fontId="18" fillId="0" borderId="53" xfId="0" applyNumberFormat="1" applyFont="1" applyBorder="1" applyAlignment="1">
      <alignment horizontal="right" vertical="center"/>
    </xf>
    <xf numFmtId="0" fontId="15" fillId="0" borderId="53" xfId="133" applyFont="1" applyBorder="1" applyAlignment="1">
      <alignment horizontal="center" vertical="center"/>
    </xf>
    <xf numFmtId="3" fontId="15" fillId="0" borderId="53" xfId="133" applyNumberFormat="1" applyFont="1" applyBorder="1" applyAlignment="1">
      <alignment vertical="center" wrapText="1"/>
    </xf>
    <xf numFmtId="3" fontId="18" fillId="0" borderId="56" xfId="0" applyNumberFormat="1" applyFont="1" applyBorder="1" applyAlignment="1">
      <alignment vertical="center"/>
    </xf>
    <xf numFmtId="0" fontId="15" fillId="0" borderId="47" xfId="153" applyFont="1" applyBorder="1" applyAlignment="1">
      <alignment vertical="center" wrapText="1"/>
    </xf>
    <xf numFmtId="0" fontId="24" fillId="0" borderId="47" xfId="153" applyFont="1" applyBorder="1" applyAlignment="1">
      <alignment vertical="center"/>
    </xf>
    <xf numFmtId="0" fontId="16" fillId="46" borderId="32" xfId="133" applyFont="1" applyFill="1" applyBorder="1" applyAlignment="1">
      <alignment vertical="center"/>
    </xf>
    <xf numFmtId="3" fontId="18" fillId="0" borderId="53" xfId="135" applyNumberFormat="1" applyFont="1" applyBorder="1" applyAlignment="1">
      <alignment horizontal="right" vertical="center"/>
    </xf>
    <xf numFmtId="3" fontId="17" fillId="0" borderId="53" xfId="0" applyNumberFormat="1" applyFont="1" applyBorder="1" applyAlignment="1">
      <alignment vertical="center"/>
    </xf>
    <xf numFmtId="0" fontId="15" fillId="0" borderId="0" xfId="153" applyFont="1" applyAlignment="1">
      <alignment vertical="center"/>
    </xf>
    <xf numFmtId="3" fontId="18" fillId="0" borderId="54" xfId="0" applyNumberFormat="1" applyFont="1" applyBorder="1" applyAlignment="1">
      <alignment horizontal="center" vertical="center"/>
    </xf>
    <xf numFmtId="3" fontId="18" fillId="0" borderId="57" xfId="0" applyNumberFormat="1" applyFont="1" applyBorder="1" applyAlignment="1">
      <alignment vertical="center"/>
    </xf>
    <xf numFmtId="3" fontId="18" fillId="0" borderId="57" xfId="0" applyNumberFormat="1" applyFont="1" applyBorder="1" applyAlignment="1">
      <alignment horizontal="center" vertical="center"/>
    </xf>
    <xf numFmtId="3" fontId="18" fillId="0" borderId="57" xfId="135" applyNumberFormat="1" applyFont="1" applyBorder="1" applyAlignment="1">
      <alignment horizontal="right" vertical="center"/>
    </xf>
    <xf numFmtId="3" fontId="18" fillId="0" borderId="34" xfId="135" applyNumberFormat="1" applyFont="1" applyBorder="1" applyAlignment="1">
      <alignment vertical="center" wrapText="1"/>
    </xf>
    <xf numFmtId="3" fontId="18" fillId="0" borderId="50" xfId="135" applyNumberFormat="1" applyFont="1" applyBorder="1" applyAlignment="1">
      <alignment vertical="center"/>
    </xf>
    <xf numFmtId="0" fontId="88" fillId="0" borderId="35" xfId="159" applyFont="1" applyBorder="1" applyAlignment="1">
      <alignment horizontal="left" vertical="center" wrapText="1"/>
    </xf>
    <xf numFmtId="3" fontId="18" fillId="0" borderId="40" xfId="160" applyNumberFormat="1" applyFont="1" applyBorder="1" applyAlignment="1">
      <alignment vertical="center" wrapText="1"/>
    </xf>
    <xf numFmtId="3" fontId="18" fillId="0" borderId="34" xfId="160" applyNumberFormat="1" applyFont="1" applyBorder="1" applyAlignment="1">
      <alignment vertical="center" wrapText="1"/>
    </xf>
    <xf numFmtId="3" fontId="18" fillId="0" borderId="28" xfId="160" applyNumberFormat="1" applyFont="1" applyBorder="1" applyAlignment="1">
      <alignment vertical="center" wrapText="1"/>
    </xf>
    <xf numFmtId="3" fontId="18" fillId="0" borderId="60" xfId="0" applyNumberFormat="1" applyFont="1" applyBorder="1" applyAlignment="1">
      <alignment vertical="center"/>
    </xf>
    <xf numFmtId="3" fontId="18" fillId="51" borderId="32" xfId="135" applyNumberFormat="1" applyFont="1" applyFill="1" applyBorder="1" applyAlignment="1">
      <alignment horizontal="left" vertical="center"/>
    </xf>
    <xf numFmtId="0" fontId="16" fillId="46" borderId="61" xfId="128" applyFont="1" applyFill="1" applyBorder="1" applyAlignment="1">
      <alignment horizontal="center" vertical="center"/>
    </xf>
    <xf numFmtId="0" fontId="15" fillId="0" borderId="61" xfId="128" applyFont="1" applyBorder="1" applyAlignment="1">
      <alignment vertical="center"/>
    </xf>
    <xf numFmtId="0" fontId="18" fillId="0" borderId="61" xfId="131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7" fillId="0" borderId="61" xfId="128" applyFont="1" applyBorder="1" applyAlignment="1">
      <alignment horizontal="center" vertical="center" wrapText="1"/>
    </xf>
    <xf numFmtId="0" fontId="62" fillId="0" borderId="61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15" fillId="49" borderId="61" xfId="128" applyFont="1" applyFill="1" applyBorder="1" applyAlignment="1">
      <alignment vertical="center"/>
    </xf>
    <xf numFmtId="0" fontId="17" fillId="46" borderId="61" xfId="128" applyFont="1" applyFill="1" applyBorder="1" applyAlignment="1">
      <alignment horizontal="center" vertical="center"/>
    </xf>
    <xf numFmtId="3" fontId="17" fillId="0" borderId="61" xfId="135" applyNumberFormat="1" applyFont="1" applyBorder="1" applyAlignment="1">
      <alignment horizontal="center" vertical="center" wrapText="1"/>
    </xf>
    <xf numFmtId="0" fontId="0" fillId="0" borderId="61" xfId="0" applyBorder="1" applyAlignment="1">
      <alignment horizontal="center"/>
    </xf>
    <xf numFmtId="0" fontId="15" fillId="0" borderId="61" xfId="0" applyFont="1" applyBorder="1" applyAlignment="1">
      <alignment horizontal="center" wrapText="1"/>
    </xf>
    <xf numFmtId="3" fontId="18" fillId="0" borderId="61" xfId="135" applyNumberFormat="1" applyFont="1" applyBorder="1" applyAlignment="1">
      <alignment horizontal="center" vertical="center" wrapText="1"/>
    </xf>
    <xf numFmtId="0" fontId="94" fillId="0" borderId="61" xfId="0" applyFont="1" applyBorder="1" applyAlignment="1">
      <alignment horizontal="left" vertical="center"/>
    </xf>
    <xf numFmtId="3" fontId="13" fillId="0" borderId="57" xfId="0" applyNumberFormat="1" applyFont="1" applyBorder="1" applyAlignment="1">
      <alignment vertical="center"/>
    </xf>
    <xf numFmtId="3" fontId="13" fillId="49" borderId="57" xfId="0" applyNumberFormat="1" applyFont="1" applyFill="1" applyBorder="1" applyAlignment="1">
      <alignment vertical="center"/>
    </xf>
    <xf numFmtId="0" fontId="94" fillId="0" borderId="57" xfId="0" applyFont="1" applyBorder="1" applyAlignment="1">
      <alignment horizontal="left" vertical="center"/>
    </xf>
    <xf numFmtId="3" fontId="23" fillId="0" borderId="57" xfId="131" applyNumberFormat="1" applyFont="1" applyBorder="1" applyAlignment="1">
      <alignment horizontal="right" vertical="center" wrapText="1"/>
    </xf>
    <xf numFmtId="3" fontId="18" fillId="0" borderId="57" xfId="132" applyNumberFormat="1" applyFont="1" applyBorder="1" applyAlignment="1">
      <alignment horizontal="right" vertical="center"/>
    </xf>
    <xf numFmtId="3" fontId="18" fillId="0" borderId="57" xfId="131" applyNumberFormat="1" applyFont="1" applyBorder="1" applyAlignment="1">
      <alignment horizontal="right" vertical="center" wrapText="1"/>
    </xf>
    <xf numFmtId="0" fontId="18" fillId="0" borderId="13" xfId="133" applyFont="1" applyBorder="1" applyAlignment="1">
      <alignment vertical="center"/>
    </xf>
    <xf numFmtId="0" fontId="15" fillId="0" borderId="61" xfId="133" applyFont="1" applyBorder="1" applyAlignment="1">
      <alignment horizontal="center" vertical="center"/>
    </xf>
    <xf numFmtId="3" fontId="15" fillId="0" borderId="61" xfId="133" applyNumberFormat="1" applyFont="1" applyBorder="1" applyAlignment="1">
      <alignment vertical="center" wrapText="1"/>
    </xf>
    <xf numFmtId="3" fontId="83" fillId="0" borderId="61" xfId="133" applyNumberFormat="1" applyFont="1" applyBorder="1" applyAlignment="1">
      <alignment vertical="center" wrapText="1"/>
    </xf>
    <xf numFmtId="3" fontId="16" fillId="0" borderId="62" xfId="0" applyNumberFormat="1" applyFont="1" applyBorder="1" applyAlignment="1">
      <alignment vertical="center" wrapText="1"/>
    </xf>
    <xf numFmtId="3" fontId="16" fillId="46" borderId="18" xfId="0" applyNumberFormat="1" applyFont="1" applyFill="1" applyBorder="1" applyAlignment="1">
      <alignment horizontal="center" vertical="center" wrapText="1"/>
    </xf>
    <xf numFmtId="3" fontId="17" fillId="0" borderId="58" xfId="0" applyNumberFormat="1" applyFont="1" applyBorder="1" applyAlignment="1">
      <alignment vertical="center"/>
    </xf>
    <xf numFmtId="3" fontId="15" fillId="0" borderId="65" xfId="0" applyNumberFormat="1" applyFont="1" applyBorder="1" applyAlignment="1">
      <alignment horizontal="center" vertical="center"/>
    </xf>
    <xf numFmtId="3" fontId="15" fillId="0" borderId="65" xfId="133" applyNumberFormat="1" applyFont="1" applyBorder="1" applyAlignment="1">
      <alignment vertical="center" wrapText="1"/>
    </xf>
    <xf numFmtId="3" fontId="15" fillId="0" borderId="65" xfId="133" applyNumberFormat="1" applyFont="1" applyBorder="1" applyAlignment="1">
      <alignment vertical="center"/>
    </xf>
    <xf numFmtId="0" fontId="15" fillId="0" borderId="65" xfId="133" applyFont="1" applyBorder="1" applyAlignment="1">
      <alignment horizontal="center" vertical="center"/>
    </xf>
    <xf numFmtId="3" fontId="18" fillId="0" borderId="65" xfId="0" applyNumberFormat="1" applyFont="1" applyBorder="1" applyAlignment="1">
      <alignment horizontal="center" vertical="center"/>
    </xf>
    <xf numFmtId="0" fontId="15" fillId="0" borderId="65" xfId="129" applyFont="1" applyBorder="1" applyAlignment="1">
      <alignment horizontal="center" vertical="center" wrapText="1"/>
    </xf>
    <xf numFmtId="3" fontId="15" fillId="0" borderId="65" xfId="129" applyNumberFormat="1" applyFont="1" applyBorder="1" applyAlignment="1">
      <alignment horizontal="center" vertical="center" wrapText="1"/>
    </xf>
    <xf numFmtId="3" fontId="18" fillId="0" borderId="65" xfId="129" applyNumberFormat="1" applyFont="1" applyBorder="1" applyAlignment="1">
      <alignment horizontal="center" vertical="center" wrapText="1"/>
    </xf>
    <xf numFmtId="3" fontId="15" fillId="0" borderId="65" xfId="133" applyNumberFormat="1" applyFont="1" applyBorder="1" applyAlignment="1">
      <alignment horizontal="center" vertical="center" wrapText="1"/>
    </xf>
    <xf numFmtId="3" fontId="83" fillId="0" borderId="65" xfId="133" applyNumberFormat="1" applyFont="1" applyBorder="1" applyAlignment="1">
      <alignment vertical="center"/>
    </xf>
    <xf numFmtId="3" fontId="15" fillId="0" borderId="66" xfId="0" applyNumberFormat="1" applyFont="1" applyBorder="1" applyAlignment="1">
      <alignment vertical="center" wrapText="1"/>
    </xf>
    <xf numFmtId="3" fontId="15" fillId="0" borderId="65" xfId="0" applyNumberFormat="1" applyFont="1" applyBorder="1" applyAlignment="1">
      <alignment horizontal="center" vertical="center" wrapText="1"/>
    </xf>
    <xf numFmtId="3" fontId="83" fillId="0" borderId="65" xfId="133" applyNumberFormat="1" applyFont="1" applyBorder="1" applyAlignment="1">
      <alignment vertical="center" wrapText="1"/>
    </xf>
    <xf numFmtId="0" fontId="15" fillId="0" borderId="66" xfId="133" applyFont="1" applyBorder="1" applyAlignment="1">
      <alignment vertical="center" wrapText="1"/>
    </xf>
    <xf numFmtId="3" fontId="18" fillId="0" borderId="66" xfId="0" applyNumberFormat="1" applyFont="1" applyBorder="1" applyAlignment="1">
      <alignment vertical="center"/>
    </xf>
    <xf numFmtId="3" fontId="18" fillId="0" borderId="65" xfId="135" applyNumberFormat="1" applyFont="1" applyBorder="1" applyAlignment="1">
      <alignment horizontal="center" vertical="center"/>
    </xf>
    <xf numFmtId="3" fontId="18" fillId="0" borderId="66" xfId="135" applyNumberFormat="1" applyFont="1" applyBorder="1" applyAlignment="1">
      <alignment horizontal="center" vertical="center"/>
    </xf>
    <xf numFmtId="3" fontId="18" fillId="0" borderId="66" xfId="135" applyNumberFormat="1" applyFont="1" applyBorder="1" applyAlignment="1">
      <alignment vertical="center" wrapText="1"/>
    </xf>
    <xf numFmtId="0" fontId="18" fillId="0" borderId="65" xfId="0" applyFont="1" applyBorder="1" applyAlignment="1">
      <alignment vertical="center"/>
    </xf>
    <xf numFmtId="3" fontId="18" fillId="0" borderId="65" xfId="135" applyNumberFormat="1" applyFont="1" applyBorder="1" applyAlignment="1">
      <alignment vertical="center"/>
    </xf>
    <xf numFmtId="3" fontId="18" fillId="0" borderId="65" xfId="135" applyNumberFormat="1" applyFont="1" applyBorder="1" applyAlignment="1">
      <alignment horizontal="right" vertical="center"/>
    </xf>
    <xf numFmtId="3" fontId="13" fillId="0" borderId="65" xfId="0" applyNumberFormat="1" applyFont="1" applyBorder="1" applyAlignment="1">
      <alignment vertical="center"/>
    </xf>
    <xf numFmtId="3" fontId="18" fillId="0" borderId="65" xfId="0" applyNumberFormat="1" applyFont="1" applyBorder="1" applyAlignment="1">
      <alignment vertical="center"/>
    </xf>
    <xf numFmtId="3" fontId="17" fillId="0" borderId="65" xfId="0" applyNumberFormat="1" applyFont="1" applyBorder="1" applyAlignment="1">
      <alignment horizontal="center" vertical="center"/>
    </xf>
    <xf numFmtId="3" fontId="17" fillId="0" borderId="66" xfId="0" applyNumberFormat="1" applyFont="1" applyBorder="1" applyAlignment="1">
      <alignment horizontal="center" vertical="center"/>
    </xf>
    <xf numFmtId="3" fontId="17" fillId="0" borderId="65" xfId="0" applyNumberFormat="1" applyFont="1" applyBorder="1" applyAlignment="1">
      <alignment vertical="center"/>
    </xf>
    <xf numFmtId="3" fontId="18" fillId="0" borderId="66" xfId="0" applyNumberFormat="1" applyFont="1" applyBorder="1" applyAlignment="1">
      <alignment horizontal="center" vertical="center"/>
    </xf>
    <xf numFmtId="0" fontId="18" fillId="0" borderId="66" xfId="0" applyFont="1" applyBorder="1" applyAlignment="1">
      <alignment horizontal="left" vertical="center" wrapText="1"/>
    </xf>
    <xf numFmtId="3" fontId="18" fillId="0" borderId="66" xfId="0" applyNumberFormat="1" applyFont="1" applyBorder="1" applyAlignment="1">
      <alignment vertical="center" wrapText="1"/>
    </xf>
    <xf numFmtId="3" fontId="18" fillId="0" borderId="66" xfId="156" applyNumberFormat="1" applyFont="1" applyBorder="1" applyAlignment="1">
      <alignment vertical="center" wrapText="1"/>
    </xf>
    <xf numFmtId="0" fontId="18" fillId="0" borderId="65" xfId="0" applyFont="1" applyBorder="1" applyAlignment="1">
      <alignment vertical="center" wrapText="1"/>
    </xf>
    <xf numFmtId="3" fontId="18" fillId="0" borderId="65" xfId="0" applyNumberFormat="1" applyFont="1" applyBorder="1" applyAlignment="1">
      <alignment vertical="center" wrapText="1"/>
    </xf>
    <xf numFmtId="49" fontId="18" fillId="0" borderId="66" xfId="162" applyNumberFormat="1" applyFont="1" applyBorder="1" applyAlignment="1">
      <alignment horizontal="left" vertical="center" wrapText="1"/>
    </xf>
    <xf numFmtId="3" fontId="18" fillId="48" borderId="65" xfId="0" applyNumberFormat="1" applyFont="1" applyFill="1" applyBorder="1" applyAlignment="1">
      <alignment horizontal="center" vertical="center"/>
    </xf>
    <xf numFmtId="3" fontId="17" fillId="48" borderId="65" xfId="0" applyNumberFormat="1" applyFont="1" applyFill="1" applyBorder="1" applyAlignment="1">
      <alignment horizontal="center" vertical="center"/>
    </xf>
    <xf numFmtId="0" fontId="18" fillId="0" borderId="66" xfId="130" applyFont="1" applyBorder="1" applyAlignment="1">
      <alignment horizontal="left" vertical="center" wrapText="1"/>
    </xf>
    <xf numFmtId="0" fontId="18" fillId="0" borderId="66" xfId="0" applyFont="1" applyBorder="1" applyAlignment="1">
      <alignment vertical="center" wrapText="1"/>
    </xf>
    <xf numFmtId="0" fontId="17" fillId="0" borderId="66" xfId="158" applyFont="1" applyBorder="1" applyAlignment="1">
      <alignment horizontal="center" vertical="top"/>
    </xf>
    <xf numFmtId="3" fontId="18" fillId="0" borderId="66" xfId="0" applyNumberFormat="1" applyFont="1" applyBorder="1" applyAlignment="1">
      <alignment horizontal="left" vertical="center"/>
    </xf>
    <xf numFmtId="0" fontId="18" fillId="0" borderId="66" xfId="158" applyFont="1" applyBorder="1" applyAlignment="1">
      <alignment horizontal="left" vertical="center"/>
    </xf>
    <xf numFmtId="0" fontId="17" fillId="0" borderId="66" xfId="158" applyFont="1" applyBorder="1" applyAlignment="1">
      <alignment horizontal="center" vertical="center"/>
    </xf>
    <xf numFmtId="0" fontId="17" fillId="48" borderId="65" xfId="158" applyFont="1" applyFill="1" applyBorder="1" applyAlignment="1">
      <alignment horizontal="center" vertical="top" wrapText="1"/>
    </xf>
    <xf numFmtId="0" fontId="18" fillId="0" borderId="70" xfId="0" applyFont="1" applyBorder="1" applyAlignment="1">
      <alignment horizontal="left" vertical="center" wrapText="1"/>
    </xf>
    <xf numFmtId="3" fontId="18" fillId="0" borderId="70" xfId="0" applyNumberFormat="1" applyFont="1" applyBorder="1" applyAlignment="1">
      <alignment horizontal="left" vertical="center" wrapText="1"/>
    </xf>
    <xf numFmtId="0" fontId="18" fillId="0" borderId="66" xfId="158" applyFont="1" applyBorder="1" applyAlignment="1">
      <alignment horizontal="center" vertical="center"/>
    </xf>
    <xf numFmtId="0" fontId="18" fillId="0" borderId="66" xfId="161" applyFont="1" applyBorder="1" applyAlignment="1">
      <alignment vertical="center"/>
    </xf>
    <xf numFmtId="0" fontId="18" fillId="0" borderId="66" xfId="164" applyFont="1" applyBorder="1" applyAlignment="1">
      <alignment vertical="center" wrapText="1"/>
    </xf>
    <xf numFmtId="0" fontId="17" fillId="48" borderId="66" xfId="158" applyFont="1" applyFill="1" applyBorder="1" applyAlignment="1">
      <alignment horizontal="center" vertical="top" wrapText="1"/>
    </xf>
    <xf numFmtId="0" fontId="18" fillId="48" borderId="66" xfId="158" applyFont="1" applyFill="1" applyBorder="1" applyAlignment="1">
      <alignment horizontal="center" vertical="top" wrapText="1"/>
    </xf>
    <xf numFmtId="0" fontId="18" fillId="48" borderId="66" xfId="158" applyFont="1" applyFill="1" applyBorder="1" applyAlignment="1">
      <alignment horizontal="center" vertical="center" wrapText="1"/>
    </xf>
    <xf numFmtId="0" fontId="17" fillId="48" borderId="66" xfId="158" applyFont="1" applyFill="1" applyBorder="1" applyAlignment="1">
      <alignment horizontal="center" vertical="center" wrapText="1"/>
    </xf>
    <xf numFmtId="0" fontId="18" fillId="0" borderId="66" xfId="158" applyFont="1" applyBorder="1" applyAlignment="1">
      <alignment vertical="center"/>
    </xf>
    <xf numFmtId="0" fontId="18" fillId="0" borderId="66" xfId="158" applyFont="1" applyBorder="1" applyAlignment="1">
      <alignment vertical="center" wrapText="1"/>
    </xf>
    <xf numFmtId="0" fontId="18" fillId="0" borderId="67" xfId="158" applyFont="1" applyBorder="1" applyAlignment="1">
      <alignment vertical="center"/>
    </xf>
    <xf numFmtId="3" fontId="18" fillId="0" borderId="67" xfId="0" applyNumberFormat="1" applyFont="1" applyBorder="1" applyAlignment="1">
      <alignment vertical="center"/>
    </xf>
    <xf numFmtId="0" fontId="18" fillId="0" borderId="67" xfId="157" applyFont="1" applyBorder="1" applyAlignment="1">
      <alignment vertical="center" wrapText="1"/>
    </xf>
    <xf numFmtId="0" fontId="18" fillId="0" borderId="67" xfId="0" applyFont="1" applyBorder="1" applyAlignment="1">
      <alignment vertical="center" wrapText="1"/>
    </xf>
    <xf numFmtId="3" fontId="17" fillId="0" borderId="66" xfId="0" applyNumberFormat="1" applyFont="1" applyBorder="1" applyAlignment="1">
      <alignment vertical="center"/>
    </xf>
    <xf numFmtId="3" fontId="19" fillId="0" borderId="67" xfId="0" applyNumberFormat="1" applyFont="1" applyBorder="1" applyAlignment="1">
      <alignment vertical="center"/>
    </xf>
    <xf numFmtId="3" fontId="18" fillId="0" borderId="66" xfId="0" applyNumberFormat="1" applyFont="1" applyBorder="1" applyAlignment="1">
      <alignment horizontal="left" vertical="center" wrapText="1"/>
    </xf>
    <xf numFmtId="0" fontId="18" fillId="0" borderId="66" xfId="129" applyFont="1" applyBorder="1" applyAlignment="1">
      <alignment vertical="center" wrapText="1"/>
    </xf>
    <xf numFmtId="3" fontId="19" fillId="0" borderId="66" xfId="0" applyNumberFormat="1" applyFont="1" applyBorder="1" applyAlignment="1">
      <alignment horizontal="left" vertical="center" wrapText="1"/>
    </xf>
    <xf numFmtId="0" fontId="19" fillId="0" borderId="66" xfId="129" applyFont="1" applyBorder="1" applyAlignment="1">
      <alignment vertical="center" wrapText="1"/>
    </xf>
    <xf numFmtId="0" fontId="18" fillId="0" borderId="71" xfId="129" applyFont="1" applyBorder="1" applyAlignment="1">
      <alignment vertical="center" wrapText="1"/>
    </xf>
    <xf numFmtId="3" fontId="18" fillId="0" borderId="72" xfId="0" applyNumberFormat="1" applyFont="1" applyBorder="1" applyAlignment="1">
      <alignment vertical="center"/>
    </xf>
    <xf numFmtId="3" fontId="19" fillId="0" borderId="66" xfId="0" applyNumberFormat="1" applyFont="1" applyBorder="1" applyAlignment="1">
      <alignment horizontal="center" vertical="center"/>
    </xf>
    <xf numFmtId="0" fontId="18" fillId="0" borderId="66" xfId="133" applyFont="1" applyBorder="1" applyAlignment="1">
      <alignment vertical="center"/>
    </xf>
    <xf numFmtId="3" fontId="18" fillId="0" borderId="68" xfId="0" applyNumberFormat="1" applyFont="1" applyBorder="1" applyAlignment="1">
      <alignment vertical="center" wrapText="1"/>
    </xf>
    <xf numFmtId="3" fontId="18" fillId="0" borderId="65" xfId="0" applyNumberFormat="1" applyFont="1" applyBorder="1" applyAlignment="1">
      <alignment horizontal="right" vertical="center"/>
    </xf>
    <xf numFmtId="0" fontId="18" fillId="0" borderId="73" xfId="0" applyFont="1" applyBorder="1" applyAlignment="1">
      <alignment vertical="center" wrapText="1"/>
    </xf>
    <xf numFmtId="3" fontId="18" fillId="0" borderId="73" xfId="0" applyNumberFormat="1" applyFont="1" applyBorder="1" applyAlignment="1">
      <alignment vertical="center" wrapText="1"/>
    </xf>
    <xf numFmtId="3" fontId="18" fillId="0" borderId="73" xfId="0" applyNumberFormat="1" applyFont="1" applyBorder="1" applyAlignment="1">
      <alignment horizontal="center" vertical="center"/>
    </xf>
    <xf numFmtId="3" fontId="18" fillId="0" borderId="71" xfId="0" applyNumberFormat="1" applyFont="1" applyBorder="1" applyAlignment="1">
      <alignment horizontal="center" vertical="center"/>
    </xf>
    <xf numFmtId="3" fontId="18" fillId="0" borderId="73" xfId="0" applyNumberFormat="1" applyFont="1" applyBorder="1" applyAlignment="1">
      <alignment horizontal="right" vertical="center"/>
    </xf>
    <xf numFmtId="3" fontId="18" fillId="0" borderId="73" xfId="0" applyNumberFormat="1" applyFont="1" applyBorder="1" applyAlignment="1">
      <alignment vertical="center"/>
    </xf>
    <xf numFmtId="3" fontId="13" fillId="0" borderId="73" xfId="0" applyNumberFormat="1" applyFont="1" applyBorder="1" applyAlignment="1">
      <alignment vertical="center"/>
    </xf>
    <xf numFmtId="3" fontId="15" fillId="0" borderId="73" xfId="150" applyNumberFormat="1" applyFont="1" applyBorder="1" applyAlignment="1">
      <alignment horizontal="right" vertical="center"/>
    </xf>
    <xf numFmtId="0" fontId="15" fillId="0" borderId="65" xfId="84" applyNumberFormat="1" applyFont="1" applyFill="1" applyBorder="1" applyAlignment="1">
      <alignment horizontal="center" vertical="center"/>
    </xf>
    <xf numFmtId="3" fontId="17" fillId="0" borderId="71" xfId="0" applyNumberFormat="1" applyFont="1" applyBorder="1" applyAlignment="1">
      <alignment horizontal="center" vertical="center"/>
    </xf>
    <xf numFmtId="3" fontId="17" fillId="0" borderId="72" xfId="0" applyNumberFormat="1" applyFont="1" applyBorder="1" applyAlignment="1">
      <alignment vertical="center"/>
    </xf>
    <xf numFmtId="3" fontId="17" fillId="0" borderId="72" xfId="0" applyNumberFormat="1" applyFont="1" applyBorder="1" applyAlignment="1">
      <alignment horizontal="right" vertical="center"/>
    </xf>
    <xf numFmtId="3" fontId="18" fillId="0" borderId="72" xfId="0" applyNumberFormat="1" applyFont="1" applyBorder="1" applyAlignment="1">
      <alignment horizontal="right" vertical="center"/>
    </xf>
    <xf numFmtId="3" fontId="17" fillId="0" borderId="65" xfId="0" applyNumberFormat="1" applyFont="1" applyBorder="1" applyAlignment="1">
      <alignment vertical="center" wrapText="1"/>
    </xf>
    <xf numFmtId="3" fontId="17" fillId="46" borderId="65" xfId="0" applyNumberFormat="1" applyFont="1" applyFill="1" applyBorder="1" applyAlignment="1">
      <alignment vertical="center" wrapText="1"/>
    </xf>
    <xf numFmtId="3" fontId="17" fillId="46" borderId="65" xfId="0" applyNumberFormat="1" applyFont="1" applyFill="1" applyBorder="1" applyAlignment="1">
      <alignment vertical="center"/>
    </xf>
    <xf numFmtId="3" fontId="16" fillId="0" borderId="65" xfId="0" applyNumberFormat="1" applyFont="1" applyBorder="1" applyAlignment="1">
      <alignment horizontal="center" vertical="center" wrapText="1"/>
    </xf>
    <xf numFmtId="3" fontId="16" fillId="0" borderId="65" xfId="0" applyNumberFormat="1" applyFont="1" applyBorder="1" applyAlignment="1">
      <alignment vertical="center" wrapText="1"/>
    </xf>
    <xf numFmtId="3" fontId="15" fillId="0" borderId="65" xfId="0" applyNumberFormat="1" applyFont="1" applyBorder="1" applyAlignment="1">
      <alignment vertical="center" wrapText="1"/>
    </xf>
    <xf numFmtId="3" fontId="15" fillId="0" borderId="65" xfId="0" applyNumberFormat="1" applyFont="1" applyBorder="1" applyAlignment="1">
      <alignment horizontal="left" vertical="center" wrapText="1"/>
    </xf>
    <xf numFmtId="3" fontId="15" fillId="0" borderId="65" xfId="0" applyNumberFormat="1" applyFont="1" applyBorder="1" applyAlignment="1">
      <alignment horizontal="right" vertical="center" wrapText="1"/>
    </xf>
    <xf numFmtId="3" fontId="16" fillId="46" borderId="65" xfId="0" applyNumberFormat="1" applyFont="1" applyFill="1" applyBorder="1" applyAlignment="1">
      <alignment horizontal="center" vertical="center" wrapText="1"/>
    </xf>
    <xf numFmtId="3" fontId="16" fillId="46" borderId="65" xfId="0" applyNumberFormat="1" applyFont="1" applyFill="1" applyBorder="1" applyAlignment="1">
      <alignment vertical="center" wrapText="1"/>
    </xf>
    <xf numFmtId="3" fontId="15" fillId="46" borderId="65" xfId="0" applyNumberFormat="1" applyFont="1" applyFill="1" applyBorder="1" applyAlignment="1">
      <alignment horizontal="center" vertical="center" wrapText="1"/>
    </xf>
    <xf numFmtId="3" fontId="15" fillId="0" borderId="69" xfId="0" applyNumberFormat="1" applyFont="1" applyBorder="1" applyAlignment="1">
      <alignment horizontal="right" vertical="center" wrapText="1"/>
    </xf>
    <xf numFmtId="3" fontId="15" fillId="0" borderId="69" xfId="0" applyNumberFormat="1" applyFont="1" applyBorder="1" applyAlignment="1">
      <alignment vertical="center" wrapText="1"/>
    </xf>
    <xf numFmtId="3" fontId="15" fillId="0" borderId="69" xfId="0" applyNumberFormat="1" applyFont="1" applyBorder="1" applyAlignment="1">
      <alignment horizontal="left" vertical="center" wrapText="1"/>
    </xf>
    <xf numFmtId="3" fontId="15" fillId="46" borderId="69" xfId="0" applyNumberFormat="1" applyFont="1" applyFill="1" applyBorder="1" applyAlignment="1">
      <alignment horizontal="center" vertical="center" wrapText="1"/>
    </xf>
    <xf numFmtId="3" fontId="17" fillId="0" borderId="58" xfId="0" applyNumberFormat="1" applyFont="1" applyBorder="1" applyAlignment="1">
      <alignment horizontal="right" vertical="center"/>
    </xf>
    <xf numFmtId="3" fontId="18" fillId="0" borderId="58" xfId="0" applyNumberFormat="1" applyFont="1" applyBorder="1" applyAlignment="1">
      <alignment horizontal="right" vertical="center"/>
    </xf>
    <xf numFmtId="3" fontId="17" fillId="51" borderId="73" xfId="0" applyNumberFormat="1" applyFont="1" applyFill="1" applyBorder="1" applyAlignment="1">
      <alignment horizontal="center" vertical="center"/>
    </xf>
    <xf numFmtId="3" fontId="18" fillId="0" borderId="74" xfId="0" applyNumberFormat="1" applyFont="1" applyBorder="1" applyAlignment="1">
      <alignment horizontal="right" vertical="center"/>
    </xf>
    <xf numFmtId="3" fontId="17" fillId="49" borderId="74" xfId="0" applyNumberFormat="1" applyFont="1" applyFill="1" applyBorder="1" applyAlignment="1">
      <alignment vertical="center"/>
    </xf>
    <xf numFmtId="0" fontId="15" fillId="0" borderId="66" xfId="0" applyFont="1" applyBorder="1" applyAlignment="1">
      <alignment horizontal="left" vertical="center" wrapText="1"/>
    </xf>
    <xf numFmtId="0" fontId="15" fillId="0" borderId="66" xfId="129" applyFont="1" applyBorder="1" applyAlignment="1">
      <alignment vertical="center" wrapText="1"/>
    </xf>
    <xf numFmtId="3" fontId="15" fillId="0" borderId="66" xfId="0" applyNumberFormat="1" applyFont="1" applyBorder="1" applyAlignment="1">
      <alignment horizontal="left" vertical="center" wrapText="1"/>
    </xf>
    <xf numFmtId="0" fontId="15" fillId="0" borderId="71" xfId="129" applyFont="1" applyBorder="1" applyAlignment="1">
      <alignment vertical="center" wrapText="1"/>
    </xf>
    <xf numFmtId="3" fontId="15" fillId="0" borderId="71" xfId="0" applyNumberFormat="1" applyFont="1" applyBorder="1" applyAlignment="1">
      <alignment vertical="center" wrapText="1"/>
    </xf>
    <xf numFmtId="0" fontId="15" fillId="0" borderId="71" xfId="0" applyFont="1" applyBorder="1" applyAlignment="1">
      <alignment horizontal="left" vertical="center" wrapText="1"/>
    </xf>
    <xf numFmtId="0" fontId="15" fillId="0" borderId="66" xfId="133" applyFont="1" applyBorder="1" applyAlignment="1">
      <alignment vertical="center"/>
    </xf>
    <xf numFmtId="0" fontId="18" fillId="0" borderId="65" xfId="0" applyFont="1" applyBorder="1" applyAlignment="1">
      <alignment horizontal="right" wrapText="1"/>
    </xf>
    <xf numFmtId="3" fontId="18" fillId="0" borderId="65" xfId="0" applyNumberFormat="1" applyFont="1" applyBorder="1" applyAlignment="1">
      <alignment wrapText="1"/>
    </xf>
    <xf numFmtId="0" fontId="18" fillId="52" borderId="66" xfId="0" applyFont="1" applyFill="1" applyBorder="1" applyAlignment="1">
      <alignment vertical="center"/>
    </xf>
    <xf numFmtId="0" fontId="18" fillId="52" borderId="66" xfId="0" applyFont="1" applyFill="1" applyBorder="1" applyAlignment="1">
      <alignment horizontal="left" vertical="center"/>
    </xf>
    <xf numFmtId="0" fontId="18" fillId="52" borderId="66" xfId="0" applyFont="1" applyFill="1" applyBorder="1"/>
    <xf numFmtId="0" fontId="97" fillId="0" borderId="64" xfId="0" applyFont="1" applyBorder="1" applyAlignment="1">
      <alignment vertical="center"/>
    </xf>
    <xf numFmtId="49" fontId="18" fillId="0" borderId="66" xfId="0" applyNumberFormat="1" applyFont="1" applyBorder="1" applyAlignment="1">
      <alignment vertical="center"/>
    </xf>
    <xf numFmtId="3" fontId="18" fillId="0" borderId="65" xfId="0" applyNumberFormat="1" applyFont="1" applyBorder="1" applyAlignment="1">
      <alignment horizontal="left" vertical="center"/>
    </xf>
    <xf numFmtId="3" fontId="17" fillId="48" borderId="59" xfId="0" applyNumberFormat="1" applyFont="1" applyFill="1" applyBorder="1" applyAlignment="1">
      <alignment horizontal="center" vertical="center"/>
    </xf>
    <xf numFmtId="0" fontId="17" fillId="0" borderId="66" xfId="130" applyFont="1" applyBorder="1" applyAlignment="1">
      <alignment horizontal="center" vertical="top" wrapText="1"/>
    </xf>
    <xf numFmtId="49" fontId="98" fillId="0" borderId="66" xfId="162" applyNumberFormat="1" applyFont="1" applyBorder="1" applyAlignment="1">
      <alignment horizontal="left" vertical="center" wrapText="1"/>
    </xf>
    <xf numFmtId="3" fontId="17" fillId="0" borderId="75" xfId="0" applyNumberFormat="1" applyFont="1" applyBorder="1" applyAlignment="1">
      <alignment horizontal="center" vertical="center"/>
    </xf>
    <xf numFmtId="3" fontId="17" fillId="48" borderId="75" xfId="0" applyNumberFormat="1" applyFont="1" applyFill="1" applyBorder="1" applyAlignment="1">
      <alignment horizontal="center" vertical="center"/>
    </xf>
    <xf numFmtId="3" fontId="18" fillId="0" borderId="64" xfId="0" applyNumberFormat="1" applyFont="1" applyBorder="1" applyAlignment="1">
      <alignment horizontal="center" vertical="center"/>
    </xf>
    <xf numFmtId="0" fontId="18" fillId="0" borderId="66" xfId="0" applyFont="1" applyBorder="1" applyAlignment="1">
      <alignment vertical="center"/>
    </xf>
    <xf numFmtId="0" fontId="18" fillId="0" borderId="66" xfId="0" applyFont="1" applyBorder="1" applyAlignment="1">
      <alignment horizontal="left" vertical="center"/>
    </xf>
    <xf numFmtId="0" fontId="17" fillId="48" borderId="65" xfId="158" applyFont="1" applyFill="1" applyBorder="1" applyAlignment="1">
      <alignment horizontal="center" vertical="center" wrapText="1"/>
    </xf>
    <xf numFmtId="0" fontId="17" fillId="0" borderId="65" xfId="158" applyFont="1" applyBorder="1" applyAlignment="1">
      <alignment horizontal="center" vertical="center" wrapText="1"/>
    </xf>
    <xf numFmtId="0" fontId="18" fillId="0" borderId="65" xfId="158" applyFont="1" applyBorder="1" applyAlignment="1">
      <alignment horizontal="center" vertical="center" wrapText="1"/>
    </xf>
    <xf numFmtId="3" fontId="18" fillId="0" borderId="73" xfId="129" applyNumberFormat="1" applyFont="1" applyBorder="1" applyAlignment="1">
      <alignment horizontal="right" vertical="center" wrapText="1"/>
    </xf>
    <xf numFmtId="3" fontId="17" fillId="0" borderId="76" xfId="0" applyNumberFormat="1" applyFont="1" applyBorder="1" applyAlignment="1">
      <alignment vertical="center"/>
    </xf>
    <xf numFmtId="3" fontId="18" fillId="0" borderId="77" xfId="0" applyNumberFormat="1" applyFont="1" applyBorder="1" applyAlignment="1">
      <alignment vertical="center"/>
    </xf>
    <xf numFmtId="3" fontId="17" fillId="0" borderId="78" xfId="0" applyNumberFormat="1" applyFont="1" applyBorder="1" applyAlignment="1">
      <alignment vertical="center"/>
    </xf>
    <xf numFmtId="3" fontId="17" fillId="51" borderId="65" xfId="0" applyNumberFormat="1" applyFont="1" applyFill="1" applyBorder="1" applyAlignment="1">
      <alignment horizontal="center" vertical="center"/>
    </xf>
    <xf numFmtId="3" fontId="17" fillId="51" borderId="66" xfId="0" applyNumberFormat="1" applyFont="1" applyFill="1" applyBorder="1" applyAlignment="1">
      <alignment horizontal="center" vertical="center"/>
    </xf>
    <xf numFmtId="3" fontId="18" fillId="51" borderId="65" xfId="0" applyNumberFormat="1" applyFont="1" applyFill="1" applyBorder="1" applyAlignment="1">
      <alignment horizontal="right" vertical="center"/>
    </xf>
    <xf numFmtId="0" fontId="16" fillId="0" borderId="61" xfId="133" applyFont="1" applyBorder="1" applyAlignment="1">
      <alignment horizontal="center" vertical="center"/>
    </xf>
    <xf numFmtId="3" fontId="15" fillId="0" borderId="61" xfId="133" applyNumberFormat="1" applyFont="1" applyBorder="1" applyAlignment="1">
      <alignment vertical="center"/>
    </xf>
    <xf numFmtId="3" fontId="83" fillId="0" borderId="61" xfId="133" applyNumberFormat="1" applyFont="1" applyBorder="1" applyAlignment="1">
      <alignment vertical="center"/>
    </xf>
    <xf numFmtId="3" fontId="18" fillId="0" borderId="61" xfId="0" applyNumberFormat="1" applyFont="1" applyBorder="1" applyAlignment="1">
      <alignment vertical="center"/>
    </xf>
    <xf numFmtId="3" fontId="18" fillId="0" borderId="61" xfId="0" applyNumberFormat="1" applyFont="1" applyBorder="1" applyAlignment="1">
      <alignment horizontal="center" vertical="center"/>
    </xf>
    <xf numFmtId="3" fontId="18" fillId="0" borderId="60" xfId="0" applyNumberFormat="1" applyFont="1" applyBorder="1" applyAlignment="1">
      <alignment horizontal="center" vertical="center"/>
    </xf>
    <xf numFmtId="3" fontId="13" fillId="0" borderId="61" xfId="0" applyNumberFormat="1" applyFont="1" applyBorder="1" applyAlignment="1">
      <alignment vertical="center"/>
    </xf>
    <xf numFmtId="3" fontId="18" fillId="0" borderId="61" xfId="135" applyNumberFormat="1" applyFont="1" applyBorder="1" applyAlignment="1">
      <alignment horizontal="right" vertical="center"/>
    </xf>
    <xf numFmtId="3" fontId="17" fillId="51" borderId="61" xfId="0" applyNumberFormat="1" applyFont="1" applyFill="1" applyBorder="1" applyAlignment="1">
      <alignment horizontal="center" vertical="center"/>
    </xf>
    <xf numFmtId="3" fontId="17" fillId="51" borderId="80" xfId="0" applyNumberFormat="1" applyFont="1" applyFill="1" applyBorder="1" applyAlignment="1">
      <alignment horizontal="center" vertical="center"/>
    </xf>
    <xf numFmtId="0" fontId="18" fillId="0" borderId="60" xfId="0" applyFont="1" applyBorder="1" applyAlignment="1">
      <alignment horizontal="left" vertical="center"/>
    </xf>
    <xf numFmtId="3" fontId="18" fillId="0" borderId="61" xfId="0" applyNumberFormat="1" applyFont="1" applyBorder="1" applyAlignment="1">
      <alignment horizontal="right" vertical="center"/>
    </xf>
    <xf numFmtId="3" fontId="18" fillId="51" borderId="61" xfId="0" applyNumberFormat="1" applyFont="1" applyFill="1" applyBorder="1" applyAlignment="1">
      <alignment horizontal="right" vertical="center"/>
    </xf>
    <xf numFmtId="0" fontId="18" fillId="0" borderId="73" xfId="150" applyFont="1" applyBorder="1" applyAlignment="1">
      <alignment vertical="center" wrapText="1"/>
    </xf>
    <xf numFmtId="3" fontId="83" fillId="0" borderId="73" xfId="150" applyNumberFormat="1" applyFont="1" applyBorder="1" applyAlignment="1">
      <alignment horizontal="right" vertical="center"/>
    </xf>
    <xf numFmtId="3" fontId="17" fillId="0" borderId="73" xfId="0" applyNumberFormat="1" applyFont="1" applyBorder="1" applyAlignment="1">
      <alignment horizontal="center" vertical="center"/>
    </xf>
    <xf numFmtId="3" fontId="15" fillId="0" borderId="66" xfId="0" applyNumberFormat="1" applyFont="1" applyBorder="1" applyAlignment="1">
      <alignment vertical="center"/>
    </xf>
    <xf numFmtId="0" fontId="15" fillId="0" borderId="66" xfId="0" applyFont="1" applyBorder="1"/>
    <xf numFmtId="0" fontId="15" fillId="0" borderId="65" xfId="0" applyFont="1" applyBorder="1"/>
    <xf numFmtId="0" fontId="82" fillId="49" borderId="0" xfId="173" applyFont="1" applyFill="1" applyAlignment="1">
      <alignment horizontal="center" vertical="center" wrapText="1"/>
    </xf>
    <xf numFmtId="0" fontId="17" fillId="50" borderId="81" xfId="150" applyFont="1" applyFill="1" applyBorder="1" applyAlignment="1">
      <alignment horizontal="center" vertical="top"/>
    </xf>
    <xf numFmtId="3" fontId="17" fillId="50" borderId="69" xfId="150" applyNumberFormat="1" applyFont="1" applyFill="1" applyBorder="1" applyAlignment="1">
      <alignment horizontal="center" vertical="center" wrapText="1"/>
    </xf>
    <xf numFmtId="3" fontId="17" fillId="50" borderId="73" xfId="150" applyNumberFormat="1" applyFont="1" applyFill="1" applyBorder="1" applyAlignment="1">
      <alignment horizontal="center" vertical="center" wrapText="1"/>
    </xf>
    <xf numFmtId="0" fontId="13" fillId="0" borderId="73" xfId="150" applyFont="1" applyBorder="1" applyAlignment="1">
      <alignment vertical="center"/>
    </xf>
    <xf numFmtId="0" fontId="19" fillId="0" borderId="73" xfId="150" applyFont="1" applyBorder="1" applyAlignment="1">
      <alignment horizontal="left" vertical="top"/>
    </xf>
    <xf numFmtId="0" fontId="18" fillId="0" borderId="72" xfId="150" applyFont="1" applyBorder="1" applyAlignment="1">
      <alignment vertical="center"/>
    </xf>
    <xf numFmtId="3" fontId="18" fillId="0" borderId="73" xfId="150" applyNumberFormat="1" applyFont="1" applyBorder="1" applyAlignment="1">
      <alignment vertical="center"/>
    </xf>
    <xf numFmtId="0" fontId="19" fillId="0" borderId="73" xfId="150" applyFont="1" applyBorder="1" applyAlignment="1">
      <alignment vertical="center"/>
    </xf>
    <xf numFmtId="0" fontId="18" fillId="0" borderId="73" xfId="150" applyFont="1" applyBorder="1" applyAlignment="1">
      <alignment vertical="center"/>
    </xf>
    <xf numFmtId="4" fontId="15" fillId="0" borderId="73" xfId="150" applyNumberFormat="1" applyFont="1" applyBorder="1" applyAlignment="1">
      <alignment horizontal="right" vertical="center"/>
    </xf>
    <xf numFmtId="166" fontId="13" fillId="0" borderId="73" xfId="84" applyNumberFormat="1" applyFont="1" applyBorder="1" applyAlignment="1">
      <alignment vertical="center"/>
    </xf>
    <xf numFmtId="165" fontId="15" fillId="0" borderId="73" xfId="150" applyNumberFormat="1" applyFont="1" applyBorder="1" applyAlignment="1">
      <alignment horizontal="right" vertical="center"/>
    </xf>
    <xf numFmtId="3" fontId="15" fillId="0" borderId="73" xfId="150" applyNumberFormat="1" applyFont="1" applyBorder="1" applyAlignment="1">
      <alignment vertical="center"/>
    </xf>
    <xf numFmtId="168" fontId="15" fillId="0" borderId="73" xfId="150" applyNumberFormat="1" applyFont="1" applyBorder="1" applyAlignment="1">
      <alignment horizontal="right" vertical="center"/>
    </xf>
    <xf numFmtId="166" fontId="13" fillId="53" borderId="73" xfId="84" applyNumberFormat="1" applyFont="1" applyFill="1" applyBorder="1" applyAlignment="1">
      <alignment vertical="center"/>
    </xf>
    <xf numFmtId="166" fontId="13" fillId="55" borderId="73" xfId="84" applyNumberFormat="1" applyFont="1" applyFill="1" applyBorder="1" applyAlignment="1">
      <alignment vertical="center"/>
    </xf>
    <xf numFmtId="3" fontId="15" fillId="53" borderId="73" xfId="150" applyNumberFormat="1" applyFont="1" applyFill="1" applyBorder="1" applyAlignment="1">
      <alignment horizontal="right" vertical="center"/>
    </xf>
    <xf numFmtId="3" fontId="15" fillId="55" borderId="73" xfId="150" applyNumberFormat="1" applyFont="1" applyFill="1" applyBorder="1" applyAlignment="1">
      <alignment horizontal="right" vertical="center"/>
    </xf>
    <xf numFmtId="0" fontId="95" fillId="0" borderId="73" xfId="150" applyFont="1" applyBorder="1" applyAlignment="1">
      <alignment vertical="center"/>
    </xf>
    <xf numFmtId="0" fontId="19" fillId="0" borderId="73" xfId="150" applyFont="1" applyBorder="1" applyAlignment="1">
      <alignment vertical="center" wrapText="1"/>
    </xf>
    <xf numFmtId="166" fontId="13" fillId="54" borderId="73" xfId="84" applyNumberFormat="1" applyFont="1" applyFill="1" applyBorder="1" applyAlignment="1">
      <alignment vertical="center"/>
    </xf>
    <xf numFmtId="0" fontId="24" fillId="0" borderId="73" xfId="150" applyFont="1" applyBorder="1" applyAlignment="1">
      <alignment vertical="center"/>
    </xf>
    <xf numFmtId="0" fontId="17" fillId="0" borderId="73" xfId="150" applyFont="1" applyBorder="1" applyAlignment="1">
      <alignment vertical="center" wrapText="1"/>
    </xf>
    <xf numFmtId="166" fontId="13" fillId="56" borderId="73" xfId="84" applyNumberFormat="1" applyFont="1" applyFill="1" applyBorder="1" applyAlignment="1">
      <alignment vertical="center"/>
    </xf>
    <xf numFmtId="166" fontId="13" fillId="57" borderId="73" xfId="84" applyNumberFormat="1" applyFont="1" applyFill="1" applyBorder="1" applyAlignment="1">
      <alignment vertical="center"/>
    </xf>
    <xf numFmtId="0" fontId="17" fillId="49" borderId="73" xfId="150" applyFont="1" applyFill="1" applyBorder="1" applyAlignment="1">
      <alignment vertical="center"/>
    </xf>
    <xf numFmtId="3" fontId="16" fillId="49" borderId="73" xfId="150" applyNumberFormat="1" applyFont="1" applyFill="1" applyBorder="1" applyAlignment="1">
      <alignment horizontal="right" vertical="center"/>
    </xf>
    <xf numFmtId="3" fontId="16" fillId="50" borderId="73" xfId="150" applyNumberFormat="1" applyFont="1" applyFill="1" applyBorder="1" applyAlignment="1">
      <alignment horizontal="right" vertical="center"/>
    </xf>
    <xf numFmtId="0" fontId="15" fillId="0" borderId="71" xfId="154" applyFont="1" applyBorder="1" applyAlignment="1">
      <alignment vertical="center" wrapText="1"/>
    </xf>
    <xf numFmtId="166" fontId="15" fillId="0" borderId="73" xfId="84" applyNumberFormat="1" applyFont="1" applyBorder="1" applyAlignment="1">
      <alignment horizontal="center" vertical="center"/>
    </xf>
    <xf numFmtId="0" fontId="15" fillId="0" borderId="73" xfId="84" applyNumberFormat="1" applyFont="1" applyBorder="1" applyAlignment="1">
      <alignment horizontal="center" vertical="center"/>
    </xf>
    <xf numFmtId="3" fontId="15" fillId="0" borderId="71" xfId="0" applyNumberFormat="1" applyFont="1" applyBorder="1" applyAlignment="1">
      <alignment horizontal="left" vertical="center" wrapText="1"/>
    </xf>
    <xf numFmtId="0" fontId="97" fillId="0" borderId="79" xfId="0" applyFont="1" applyBorder="1" applyAlignment="1">
      <alignment vertical="center" wrapText="1"/>
    </xf>
    <xf numFmtId="0" fontId="15" fillId="0" borderId="71" xfId="133" applyFont="1" applyBorder="1" applyAlignment="1">
      <alignment vertical="center" wrapText="1"/>
    </xf>
    <xf numFmtId="0" fontId="15" fillId="0" borderId="73" xfId="133" applyFont="1" applyBorder="1" applyAlignment="1">
      <alignment horizontal="center" vertical="center"/>
    </xf>
    <xf numFmtId="49" fontId="15" fillId="0" borderId="73" xfId="0" applyNumberFormat="1" applyFont="1" applyBorder="1" applyAlignment="1">
      <alignment horizontal="center" vertical="center" wrapText="1"/>
    </xf>
    <xf numFmtId="3" fontId="15" fillId="0" borderId="73" xfId="133" applyNumberFormat="1" applyFont="1" applyBorder="1" applyAlignment="1">
      <alignment vertical="center"/>
    </xf>
    <xf numFmtId="3" fontId="83" fillId="0" borderId="73" xfId="133" applyNumberFormat="1" applyFont="1" applyBorder="1" applyAlignment="1">
      <alignment vertical="center"/>
    </xf>
    <xf numFmtId="3" fontId="15" fillId="0" borderId="73" xfId="0" applyNumberFormat="1" applyFont="1" applyBorder="1" applyAlignment="1">
      <alignment horizontal="center" vertical="center" wrapText="1"/>
    </xf>
    <xf numFmtId="0" fontId="15" fillId="0" borderId="71" xfId="133" applyFont="1" applyBorder="1" applyAlignment="1">
      <alignment vertical="center"/>
    </xf>
    <xf numFmtId="49" fontId="15" fillId="0" borderId="73" xfId="133" applyNumberFormat="1" applyFont="1" applyBorder="1" applyAlignment="1">
      <alignment horizontal="center" vertical="center"/>
    </xf>
    <xf numFmtId="49" fontId="15" fillId="0" borderId="73" xfId="129" applyNumberFormat="1" applyFont="1" applyBorder="1" applyAlignment="1">
      <alignment horizontal="center" vertical="center" wrapText="1"/>
    </xf>
    <xf numFmtId="0" fontId="15" fillId="0" borderId="73" xfId="133" applyFont="1" applyBorder="1" applyAlignment="1">
      <alignment horizontal="left" vertical="center"/>
    </xf>
    <xf numFmtId="3" fontId="15" fillId="0" borderId="71" xfId="0" applyNumberFormat="1" applyFont="1" applyBorder="1" applyAlignment="1">
      <alignment vertical="center"/>
    </xf>
    <xf numFmtId="3" fontId="15" fillId="0" borderId="71" xfId="0" applyNumberFormat="1" applyFont="1" applyBorder="1" applyAlignment="1">
      <alignment horizontal="left" vertical="center"/>
    </xf>
    <xf numFmtId="49" fontId="15" fillId="0" borderId="73" xfId="133" applyNumberFormat="1" applyFont="1" applyBorder="1" applyAlignment="1">
      <alignment horizontal="center" vertical="center" wrapText="1"/>
    </xf>
    <xf numFmtId="3" fontId="15" fillId="0" borderId="73" xfId="133" applyNumberFormat="1" applyFont="1" applyBorder="1" applyAlignment="1">
      <alignment horizontal="center" vertical="center" wrapText="1"/>
    </xf>
    <xf numFmtId="3" fontId="15" fillId="0" borderId="73" xfId="129" applyNumberFormat="1" applyFont="1" applyBorder="1" applyAlignment="1">
      <alignment horizontal="center" vertical="top" wrapText="1"/>
    </xf>
    <xf numFmtId="3" fontId="15" fillId="0" borderId="82" xfId="156" applyNumberFormat="1" applyFont="1" applyBorder="1" applyAlignment="1">
      <alignment horizontal="left" vertical="center" wrapText="1"/>
    </xf>
    <xf numFmtId="3" fontId="15" fillId="0" borderId="82" xfId="0" applyNumberFormat="1" applyFont="1" applyBorder="1" applyAlignment="1">
      <alignment horizontal="left" vertical="center" wrapText="1"/>
    </xf>
    <xf numFmtId="3" fontId="15" fillId="0" borderId="83" xfId="0" applyNumberFormat="1" applyFont="1" applyBorder="1" applyAlignment="1">
      <alignment horizontal="left" vertical="center" wrapText="1"/>
    </xf>
    <xf numFmtId="3" fontId="15" fillId="0" borderId="52" xfId="0" applyNumberFormat="1" applyFont="1" applyBorder="1" applyAlignment="1">
      <alignment horizontal="center" vertical="center"/>
    </xf>
    <xf numFmtId="3" fontId="18" fillId="0" borderId="71" xfId="0" applyNumberFormat="1" applyFont="1" applyBorder="1" applyAlignment="1">
      <alignment vertical="center"/>
    </xf>
    <xf numFmtId="49" fontId="18" fillId="0" borderId="71" xfId="0" applyNumberFormat="1" applyFont="1" applyBorder="1" applyAlignment="1">
      <alignment vertical="center"/>
    </xf>
    <xf numFmtId="3" fontId="18" fillId="0" borderId="71" xfId="0" applyNumberFormat="1" applyFont="1" applyBorder="1" applyAlignment="1">
      <alignment vertical="center" wrapText="1"/>
    </xf>
    <xf numFmtId="3" fontId="18" fillId="0" borderId="71" xfId="0" applyNumberFormat="1" applyFont="1" applyBorder="1" applyAlignment="1">
      <alignment horizontal="left" vertical="center" wrapText="1"/>
    </xf>
    <xf numFmtId="49" fontId="18" fillId="0" borderId="84" xfId="0" applyNumberFormat="1" applyFont="1" applyBorder="1" applyAlignment="1">
      <alignment horizontal="left" vertical="center" wrapText="1"/>
    </xf>
    <xf numFmtId="49" fontId="18" fillId="0" borderId="85" xfId="0" applyNumberFormat="1" applyFont="1" applyBorder="1" applyAlignment="1">
      <alignment horizontal="left" vertical="center" wrapText="1"/>
    </xf>
    <xf numFmtId="3" fontId="18" fillId="0" borderId="85" xfId="0" applyNumberFormat="1" applyFont="1" applyBorder="1" applyAlignment="1">
      <alignment horizontal="left" vertical="center" wrapText="1"/>
    </xf>
    <xf numFmtId="3" fontId="18" fillId="0" borderId="86" xfId="0" applyNumberFormat="1" applyFont="1" applyBorder="1" applyAlignment="1">
      <alignment horizontal="left" vertical="center" wrapText="1"/>
    </xf>
    <xf numFmtId="0" fontId="18" fillId="0" borderId="72" xfId="0" applyFont="1" applyBorder="1" applyAlignment="1">
      <alignment vertical="center"/>
    </xf>
    <xf numFmtId="0" fontId="18" fillId="0" borderId="73" xfId="0" applyFont="1" applyBorder="1" applyAlignment="1">
      <alignment vertical="center"/>
    </xf>
    <xf numFmtId="0" fontId="18" fillId="0" borderId="72" xfId="0" applyFont="1" applyBorder="1" applyAlignment="1">
      <alignment vertical="center" wrapText="1"/>
    </xf>
    <xf numFmtId="3" fontId="18" fillId="0" borderId="73" xfId="0" applyNumberFormat="1" applyFont="1" applyBorder="1" applyAlignment="1">
      <alignment horizontal="right" vertical="center" wrapText="1"/>
    </xf>
    <xf numFmtId="0" fontId="18" fillId="0" borderId="71" xfId="133" applyFont="1" applyBorder="1" applyAlignment="1">
      <alignment vertical="center" wrapText="1"/>
    </xf>
    <xf numFmtId="3" fontId="18" fillId="0" borderId="72" xfId="0" applyNumberFormat="1" applyFont="1" applyBorder="1" applyAlignment="1">
      <alignment horizontal="right" vertical="center" wrapText="1"/>
    </xf>
    <xf numFmtId="3" fontId="19" fillId="0" borderId="71" xfId="0" applyNumberFormat="1" applyFont="1" applyBorder="1" applyAlignment="1">
      <alignment vertical="center"/>
    </xf>
    <xf numFmtId="0" fontId="19" fillId="0" borderId="72" xfId="0" applyFont="1" applyBorder="1" applyAlignment="1">
      <alignment vertical="center"/>
    </xf>
    <xf numFmtId="0" fontId="19" fillId="0" borderId="73" xfId="0" applyFont="1" applyBorder="1" applyAlignment="1">
      <alignment vertical="center"/>
    </xf>
    <xf numFmtId="3" fontId="18" fillId="0" borderId="71" xfId="135" applyNumberFormat="1" applyFont="1" applyBorder="1" applyAlignment="1">
      <alignment vertical="center"/>
    </xf>
    <xf numFmtId="49" fontId="18" fillId="0" borderId="71" xfId="135" applyNumberFormat="1" applyFont="1" applyBorder="1" applyAlignment="1">
      <alignment vertical="center"/>
    </xf>
    <xf numFmtId="3" fontId="18" fillId="0" borderId="71" xfId="0" applyNumberFormat="1" applyFont="1" applyBorder="1" applyAlignment="1">
      <alignment horizontal="left" vertical="center"/>
    </xf>
    <xf numFmtId="3" fontId="18" fillId="0" borderId="71" xfId="129" applyNumberFormat="1" applyFont="1" applyBorder="1" applyAlignment="1">
      <alignment vertical="center" wrapText="1"/>
    </xf>
    <xf numFmtId="0" fontId="18" fillId="0" borderId="71" xfId="0" applyFont="1" applyBorder="1" applyAlignment="1">
      <alignment horizontal="left" wrapText="1"/>
    </xf>
    <xf numFmtId="0" fontId="18" fillId="0" borderId="73" xfId="0" applyFont="1" applyBorder="1" applyAlignment="1">
      <alignment wrapText="1"/>
    </xf>
    <xf numFmtId="0" fontId="18" fillId="0" borderId="73" xfId="0" applyFont="1" applyBorder="1" applyAlignment="1">
      <alignment horizontal="right" wrapText="1"/>
    </xf>
    <xf numFmtId="3" fontId="18" fillId="0" borderId="73" xfId="0" applyNumberFormat="1" applyFont="1" applyBorder="1" applyAlignment="1">
      <alignment wrapText="1"/>
    </xf>
    <xf numFmtId="3" fontId="18" fillId="0" borderId="85" xfId="0" applyNumberFormat="1" applyFont="1" applyBorder="1" applyAlignment="1">
      <alignment vertical="center"/>
    </xf>
    <xf numFmtId="3" fontId="18" fillId="0" borderId="86" xfId="0" applyNumberFormat="1" applyFont="1" applyBorder="1" applyAlignment="1">
      <alignment vertical="center"/>
    </xf>
    <xf numFmtId="49" fontId="18" fillId="0" borderId="65" xfId="0" applyNumberFormat="1" applyFont="1" applyBorder="1" applyAlignment="1">
      <alignment horizontal="left" vertical="center" wrapText="1"/>
    </xf>
    <xf numFmtId="0" fontId="18" fillId="0" borderId="65" xfId="0" applyFont="1" applyBorder="1" applyAlignment="1">
      <alignment horizontal="right" vertical="center" wrapText="1"/>
    </xf>
    <xf numFmtId="49" fontId="18" fillId="0" borderId="84" xfId="0" applyNumberFormat="1" applyFont="1" applyBorder="1" applyAlignment="1">
      <alignment vertical="center"/>
    </xf>
    <xf numFmtId="49" fontId="18" fillId="0" borderId="85" xfId="0" applyNumberFormat="1" applyFont="1" applyBorder="1" applyAlignment="1">
      <alignment vertical="center"/>
    </xf>
    <xf numFmtId="49" fontId="18" fillId="0" borderId="0" xfId="0" applyNumberFormat="1" applyFont="1" applyAlignment="1">
      <alignment vertical="center"/>
    </xf>
    <xf numFmtId="3" fontId="18" fillId="0" borderId="73" xfId="0" applyNumberFormat="1" applyFont="1" applyBorder="1" applyAlignment="1">
      <alignment horizontal="left" wrapText="1"/>
    </xf>
    <xf numFmtId="0" fontId="18" fillId="0" borderId="71" xfId="0" applyFont="1" applyBorder="1" applyAlignment="1">
      <alignment horizontal="left" vertical="center"/>
    </xf>
    <xf numFmtId="3" fontId="96" fillId="0" borderId="73" xfId="0" applyNumberFormat="1" applyFont="1" applyBorder="1" applyAlignment="1">
      <alignment horizontal="center" vertical="center"/>
    </xf>
    <xf numFmtId="3" fontId="17" fillId="0" borderId="87" xfId="0" applyNumberFormat="1" applyFont="1" applyBorder="1" applyAlignment="1">
      <alignment vertical="center"/>
    </xf>
    <xf numFmtId="0" fontId="18" fillId="0" borderId="71" xfId="0" applyFont="1" applyBorder="1"/>
    <xf numFmtId="0" fontId="18" fillId="52" borderId="71" xfId="0" applyFont="1" applyFill="1" applyBorder="1"/>
    <xf numFmtId="0" fontId="17" fillId="52" borderId="71" xfId="0" applyFont="1" applyFill="1" applyBorder="1" applyAlignment="1">
      <alignment horizontal="center" vertical="center"/>
    </xf>
    <xf numFmtId="0" fontId="18" fillId="0" borderId="71" xfId="0" applyFont="1" applyBorder="1" applyAlignment="1">
      <alignment vertical="center"/>
    </xf>
    <xf numFmtId="0" fontId="18" fillId="52" borderId="71" xfId="0" applyFont="1" applyFill="1" applyBorder="1" applyAlignment="1">
      <alignment vertical="center"/>
    </xf>
    <xf numFmtId="49" fontId="17" fillId="0" borderId="71" xfId="156" applyNumberFormat="1" applyFont="1" applyBorder="1" applyAlignment="1">
      <alignment horizontal="center" vertical="center" wrapText="1"/>
    </xf>
    <xf numFmtId="3" fontId="17" fillId="0" borderId="73" xfId="0" applyNumberFormat="1" applyFont="1" applyBorder="1" applyAlignment="1">
      <alignment vertical="center"/>
    </xf>
    <xf numFmtId="0" fontId="18" fillId="0" borderId="71" xfId="0" applyFont="1" applyBorder="1" applyAlignment="1">
      <alignment horizontal="left" vertical="center" wrapText="1"/>
    </xf>
    <xf numFmtId="3" fontId="18" fillId="0" borderId="73" xfId="0" applyNumberFormat="1" applyFont="1" applyBorder="1" applyAlignment="1">
      <alignment horizontal="left" vertical="center"/>
    </xf>
    <xf numFmtId="3" fontId="18" fillId="0" borderId="84" xfId="0" applyNumberFormat="1" applyFont="1" applyBorder="1" applyAlignment="1">
      <alignment horizontal="left" vertical="center"/>
    </xf>
    <xf numFmtId="3" fontId="18" fillId="0" borderId="0" xfId="0" applyNumberFormat="1" applyFont="1" applyAlignment="1">
      <alignment horizontal="left" vertical="center"/>
    </xf>
    <xf numFmtId="3" fontId="18" fillId="0" borderId="73" xfId="0" applyNumberFormat="1" applyFont="1" applyBorder="1" applyAlignment="1">
      <alignment horizontal="left" vertical="center" wrapText="1"/>
    </xf>
    <xf numFmtId="3" fontId="18" fillId="0" borderId="85" xfId="0" applyNumberFormat="1" applyFont="1" applyBorder="1" applyAlignment="1">
      <alignment horizontal="left" vertical="center"/>
    </xf>
    <xf numFmtId="3" fontId="18" fillId="0" borderId="88" xfId="0" applyNumberFormat="1" applyFont="1" applyBorder="1" applyAlignment="1">
      <alignment horizontal="left" vertical="center" wrapText="1"/>
    </xf>
    <xf numFmtId="0" fontId="18" fillId="0" borderId="89" xfId="0" applyFont="1" applyBorder="1" applyAlignment="1">
      <alignment vertical="center"/>
    </xf>
    <xf numFmtId="3" fontId="18" fillId="0" borderId="90" xfId="0" applyNumberFormat="1" applyFont="1" applyBorder="1" applyAlignment="1">
      <alignment vertical="center" wrapText="1"/>
    </xf>
    <xf numFmtId="0" fontId="18" fillId="0" borderId="89" xfId="0" applyFont="1" applyBorder="1" applyAlignment="1">
      <alignment vertical="center" wrapText="1"/>
    </xf>
    <xf numFmtId="0" fontId="18" fillId="0" borderId="87" xfId="0" applyFont="1" applyBorder="1" applyAlignment="1">
      <alignment vertical="center"/>
    </xf>
    <xf numFmtId="3" fontId="18" fillId="0" borderId="89" xfId="0" applyNumberFormat="1" applyFont="1" applyBorder="1" applyAlignment="1">
      <alignment vertical="center"/>
    </xf>
    <xf numFmtId="3" fontId="17" fillId="0" borderId="91" xfId="0" applyNumberFormat="1" applyFont="1" applyBorder="1" applyAlignment="1">
      <alignment horizontal="center" vertical="center"/>
    </xf>
    <xf numFmtId="0" fontId="17" fillId="0" borderId="86" xfId="161" applyFont="1" applyBorder="1" applyAlignment="1">
      <alignment horizontal="center" vertical="center"/>
    </xf>
    <xf numFmtId="3" fontId="17" fillId="0" borderId="89" xfId="0" applyNumberFormat="1" applyFont="1" applyBorder="1" applyAlignment="1">
      <alignment vertical="center"/>
    </xf>
    <xf numFmtId="0" fontId="17" fillId="0" borderId="92" xfId="158" applyFont="1" applyBorder="1" applyAlignment="1">
      <alignment horizontal="center" vertical="center"/>
    </xf>
    <xf numFmtId="3" fontId="18" fillId="48" borderId="19" xfId="0" applyNumberFormat="1" applyFont="1" applyFill="1" applyBorder="1" applyAlignment="1">
      <alignment horizontal="center" vertical="center"/>
    </xf>
    <xf numFmtId="3" fontId="13" fillId="0" borderId="89" xfId="0" applyNumberFormat="1" applyFont="1" applyBorder="1" applyAlignment="1">
      <alignment vertical="center"/>
    </xf>
    <xf numFmtId="3" fontId="13" fillId="0" borderId="87" xfId="0" applyNumberFormat="1" applyFont="1" applyBorder="1" applyAlignment="1">
      <alignment vertical="center"/>
    </xf>
    <xf numFmtId="0" fontId="18" fillId="0" borderId="64" xfId="0" applyFont="1" applyBorder="1" applyAlignment="1">
      <alignment vertical="center"/>
    </xf>
    <xf numFmtId="3" fontId="18" fillId="0" borderId="87" xfId="0" applyNumberFormat="1" applyFont="1" applyBorder="1" applyAlignment="1">
      <alignment vertical="center"/>
    </xf>
    <xf numFmtId="49" fontId="18" fillId="0" borderId="88" xfId="163" applyNumberFormat="1" applyFont="1" applyBorder="1" applyAlignment="1">
      <alignment horizontal="left" vertical="center" wrapText="1"/>
    </xf>
    <xf numFmtId="3" fontId="18" fillId="0" borderId="66" xfId="163" applyNumberFormat="1" applyFont="1" applyBorder="1" applyAlignment="1">
      <alignment horizontal="left" vertical="center" wrapText="1"/>
    </xf>
    <xf numFmtId="3" fontId="17" fillId="48" borderId="93" xfId="0" applyNumberFormat="1" applyFont="1" applyFill="1" applyBorder="1" applyAlignment="1">
      <alignment horizontal="center" vertical="center"/>
    </xf>
    <xf numFmtId="3" fontId="89" fillId="0" borderId="89" xfId="0" applyNumberFormat="1" applyFont="1" applyBorder="1" applyAlignment="1">
      <alignment vertical="center"/>
    </xf>
    <xf numFmtId="3" fontId="17" fillId="0" borderId="85" xfId="0" applyNumberFormat="1" applyFont="1" applyBorder="1" applyAlignment="1">
      <alignment horizontal="center" vertical="center"/>
    </xf>
    <xf numFmtId="0" fontId="18" fillId="0" borderId="64" xfId="0" applyFont="1" applyBorder="1" applyAlignment="1">
      <alignment vertical="center" wrapText="1"/>
    </xf>
    <xf numFmtId="0" fontId="17" fillId="0" borderId="65" xfId="158" applyFont="1" applyBorder="1" applyAlignment="1">
      <alignment horizontal="center" vertical="center"/>
    </xf>
    <xf numFmtId="0" fontId="17" fillId="0" borderId="66" xfId="161" applyFont="1" applyBorder="1" applyAlignment="1">
      <alignment horizontal="center" vertical="center"/>
    </xf>
    <xf numFmtId="3" fontId="18" fillId="0" borderId="91" xfId="0" applyNumberFormat="1" applyFont="1" applyBorder="1" applyAlignment="1">
      <alignment horizontal="center" vertical="center"/>
    </xf>
    <xf numFmtId="3" fontId="13" fillId="0" borderId="94" xfId="0" applyNumberFormat="1" applyFont="1" applyBorder="1" applyAlignment="1">
      <alignment vertical="center"/>
    </xf>
    <xf numFmtId="0" fontId="18" fillId="0" borderId="66" xfId="0" applyFont="1" applyBorder="1" applyAlignment="1">
      <alignment wrapText="1"/>
    </xf>
    <xf numFmtId="3" fontId="18" fillId="0" borderId="64" xfId="0" applyNumberFormat="1" applyFont="1" applyBorder="1" applyAlignment="1">
      <alignment vertical="center"/>
    </xf>
    <xf numFmtId="3" fontId="18" fillId="0" borderId="64" xfId="0" applyNumberFormat="1" applyFont="1" applyBorder="1" applyAlignment="1">
      <alignment horizontal="left" vertical="center"/>
    </xf>
    <xf numFmtId="3" fontId="13" fillId="0" borderId="67" xfId="0" applyNumberFormat="1" applyFont="1" applyBorder="1" applyAlignment="1">
      <alignment vertical="center"/>
    </xf>
    <xf numFmtId="3" fontId="18" fillId="0" borderId="67" xfId="156" applyNumberFormat="1" applyFont="1" applyBorder="1" applyAlignment="1">
      <alignment vertical="center" wrapText="1"/>
    </xf>
    <xf numFmtId="0" fontId="17" fillId="0" borderId="67" xfId="158" applyFont="1" applyBorder="1" applyAlignment="1">
      <alignment horizontal="center" vertical="center"/>
    </xf>
    <xf numFmtId="0" fontId="15" fillId="52" borderId="66" xfId="0" applyFont="1" applyFill="1" applyBorder="1" applyAlignment="1">
      <alignment horizontal="left" vertical="center"/>
    </xf>
    <xf numFmtId="3" fontId="86" fillId="0" borderId="89" xfId="0" applyNumberFormat="1" applyFont="1" applyBorder="1" applyAlignment="1">
      <alignment vertical="center"/>
    </xf>
    <xf numFmtId="3" fontId="19" fillId="0" borderId="65" xfId="0" applyNumberFormat="1" applyFont="1" applyBorder="1" applyAlignment="1">
      <alignment horizontal="center" vertical="center"/>
    </xf>
    <xf numFmtId="3" fontId="18" fillId="0" borderId="67" xfId="0" applyNumberFormat="1" applyFont="1" applyBorder="1" applyAlignment="1">
      <alignment vertical="center" wrapText="1"/>
    </xf>
    <xf numFmtId="3" fontId="18" fillId="0" borderId="67" xfId="156" applyNumberFormat="1" applyFont="1" applyBorder="1" applyAlignment="1">
      <alignment horizontal="left" vertical="center" wrapText="1"/>
    </xf>
    <xf numFmtId="0" fontId="18" fillId="0" borderId="67" xfId="129" applyFont="1" applyBorder="1" applyAlignment="1">
      <alignment vertical="center" wrapText="1"/>
    </xf>
    <xf numFmtId="3" fontId="18" fillId="0" borderId="95" xfId="0" applyNumberFormat="1" applyFont="1" applyBorder="1" applyAlignment="1">
      <alignment horizontal="left" vertical="center" wrapText="1"/>
    </xf>
    <xf numFmtId="0" fontId="18" fillId="0" borderId="67" xfId="0" applyFont="1" applyBorder="1" applyAlignment="1">
      <alignment horizontal="left" vertical="center" wrapText="1"/>
    </xf>
    <xf numFmtId="3" fontId="19" fillId="0" borderId="84" xfId="0" applyNumberFormat="1" applyFont="1" applyBorder="1" applyAlignment="1">
      <alignment horizontal="center" vertical="center"/>
    </xf>
    <xf numFmtId="3" fontId="18" fillId="0" borderId="85" xfId="0" applyNumberFormat="1" applyFont="1" applyBorder="1" applyAlignment="1">
      <alignment horizontal="center" vertical="center"/>
    </xf>
    <xf numFmtId="3" fontId="19" fillId="0" borderId="85" xfId="0" applyNumberFormat="1" applyFont="1" applyBorder="1" applyAlignment="1">
      <alignment horizontal="center" vertical="center"/>
    </xf>
    <xf numFmtId="3" fontId="18" fillId="0" borderId="89" xfId="0" applyNumberFormat="1" applyFont="1" applyBorder="1" applyAlignment="1">
      <alignment vertical="center" wrapText="1"/>
    </xf>
    <xf numFmtId="0" fontId="19" fillId="0" borderId="92" xfId="129" applyFont="1" applyBorder="1" applyAlignment="1">
      <alignment vertical="center" wrapText="1"/>
    </xf>
    <xf numFmtId="0" fontId="18" fillId="0" borderId="92" xfId="129" applyFont="1" applyBorder="1" applyAlignment="1">
      <alignment vertical="center" wrapText="1"/>
    </xf>
    <xf numFmtId="3" fontId="17" fillId="0" borderId="89" xfId="0" applyNumberFormat="1" applyFont="1" applyBorder="1" applyAlignment="1">
      <alignment horizontal="left" vertical="center"/>
    </xf>
    <xf numFmtId="49" fontId="15" fillId="0" borderId="65" xfId="0" applyNumberFormat="1" applyFont="1" applyBorder="1" applyAlignment="1">
      <alignment horizontal="center" vertical="center" wrapText="1"/>
    </xf>
    <xf numFmtId="0" fontId="15" fillId="0" borderId="71" xfId="0" applyFont="1" applyBorder="1" applyAlignment="1">
      <alignment vertical="center" wrapText="1"/>
    </xf>
    <xf numFmtId="0" fontId="15" fillId="0" borderId="65" xfId="0" applyFont="1" applyBorder="1" applyAlignment="1">
      <alignment horizontal="left" vertical="top" wrapText="1"/>
    </xf>
    <xf numFmtId="0" fontId="15" fillId="0" borderId="0" xfId="133" applyFont="1" applyAlignment="1">
      <alignment vertical="center" wrapText="1"/>
    </xf>
    <xf numFmtId="49" fontId="15" fillId="0" borderId="0" xfId="133" applyNumberFormat="1" applyFont="1" applyAlignment="1">
      <alignment horizontal="center" vertical="center" wrapText="1"/>
    </xf>
    <xf numFmtId="3" fontId="15" fillId="0" borderId="89" xfId="0" applyNumberFormat="1" applyFont="1" applyBorder="1" applyAlignment="1">
      <alignment horizontal="center" vertical="center"/>
    </xf>
    <xf numFmtId="0" fontId="15" fillId="0" borderId="65" xfId="129" applyFont="1" applyBorder="1" applyAlignment="1">
      <alignment vertical="center" wrapText="1"/>
    </xf>
    <xf numFmtId="0" fontId="18" fillId="0" borderId="71" xfId="174" applyFont="1" applyBorder="1" applyAlignment="1">
      <alignment vertical="center" wrapText="1"/>
    </xf>
    <xf numFmtId="3" fontId="18" fillId="0" borderId="65" xfId="174" applyNumberFormat="1" applyFont="1" applyBorder="1" applyAlignment="1">
      <alignment horizontal="center" vertical="center" wrapText="1"/>
    </xf>
    <xf numFmtId="49" fontId="18" fillId="0" borderId="71" xfId="0" applyNumberFormat="1" applyFont="1" applyBorder="1" applyAlignment="1">
      <alignment vertical="center" wrapText="1"/>
    </xf>
    <xf numFmtId="3" fontId="18" fillId="0" borderId="73" xfId="135" applyNumberFormat="1" applyFont="1" applyBorder="1" applyAlignment="1">
      <alignment horizontal="right" vertical="center"/>
    </xf>
    <xf numFmtId="0" fontId="18" fillId="0" borderId="73" xfId="129" applyFont="1" applyBorder="1" applyAlignment="1">
      <alignment vertical="center" wrapText="1"/>
    </xf>
    <xf numFmtId="0" fontId="18" fillId="0" borderId="92" xfId="165" applyFont="1" applyBorder="1" applyAlignment="1">
      <alignment vertical="center" wrapText="1"/>
    </xf>
    <xf numFmtId="0" fontId="18" fillId="0" borderId="89" xfId="165" applyFont="1" applyBorder="1" applyAlignment="1">
      <alignment vertical="center" wrapText="1"/>
    </xf>
    <xf numFmtId="3" fontId="18" fillId="0" borderId="73" xfId="165" applyNumberFormat="1" applyFont="1" applyBorder="1" applyAlignment="1">
      <alignment vertical="center" wrapText="1"/>
    </xf>
    <xf numFmtId="0" fontId="16" fillId="0" borderId="96" xfId="133" applyFont="1" applyBorder="1" applyAlignment="1">
      <alignment horizontal="center" vertical="center"/>
    </xf>
    <xf numFmtId="3" fontId="15" fillId="0" borderId="97" xfId="0" applyNumberFormat="1" applyFont="1" applyBorder="1" applyAlignment="1">
      <alignment horizontal="left" vertical="center" wrapText="1"/>
    </xf>
    <xf numFmtId="3" fontId="15" fillId="0" borderId="96" xfId="133" applyNumberFormat="1" applyFont="1" applyBorder="1" applyAlignment="1">
      <alignment vertical="center"/>
    </xf>
    <xf numFmtId="3" fontId="83" fillId="0" borderId="96" xfId="133" applyNumberFormat="1" applyFont="1" applyBorder="1" applyAlignment="1">
      <alignment vertical="center"/>
    </xf>
    <xf numFmtId="3" fontId="18" fillId="0" borderId="97" xfId="0" applyNumberFormat="1" applyFont="1" applyBorder="1" applyAlignment="1">
      <alignment vertical="center"/>
    </xf>
    <xf numFmtId="0" fontId="15" fillId="0" borderId="96" xfId="84" applyNumberFormat="1" applyFont="1" applyFill="1" applyBorder="1" applyAlignment="1">
      <alignment horizontal="center" vertical="center"/>
    </xf>
    <xf numFmtId="3" fontId="17" fillId="0" borderId="96" xfId="0" applyNumberFormat="1" applyFont="1" applyBorder="1" applyAlignment="1">
      <alignment horizontal="center" vertical="center"/>
    </xf>
    <xf numFmtId="3" fontId="18" fillId="0" borderId="97" xfId="0" applyNumberFormat="1" applyFont="1" applyBorder="1" applyAlignment="1">
      <alignment horizontal="center" vertical="center"/>
    </xf>
    <xf numFmtId="3" fontId="17" fillId="0" borderId="98" xfId="0" applyNumberFormat="1" applyFont="1" applyBorder="1" applyAlignment="1">
      <alignment vertical="center"/>
    </xf>
    <xf numFmtId="3" fontId="18" fillId="0" borderId="96" xfId="0" applyNumberFormat="1" applyFont="1" applyBorder="1" applyAlignment="1">
      <alignment vertical="center"/>
    </xf>
    <xf numFmtId="3" fontId="17" fillId="0" borderId="98" xfId="0" applyNumberFormat="1" applyFont="1" applyBorder="1" applyAlignment="1">
      <alignment horizontal="right" vertical="center"/>
    </xf>
    <xf numFmtId="3" fontId="18" fillId="0" borderId="98" xfId="0" applyNumberFormat="1" applyFont="1" applyBorder="1" applyAlignment="1">
      <alignment horizontal="right" vertical="center"/>
    </xf>
    <xf numFmtId="3" fontId="13" fillId="0" borderId="96" xfId="0" applyNumberFormat="1" applyFont="1" applyBorder="1" applyAlignment="1">
      <alignment vertical="center"/>
    </xf>
    <xf numFmtId="0" fontId="18" fillId="0" borderId="97" xfId="0" applyFont="1" applyBorder="1" applyAlignment="1">
      <alignment vertical="center"/>
    </xf>
    <xf numFmtId="0" fontId="15" fillId="0" borderId="74" xfId="133" applyFont="1" applyBorder="1" applyAlignment="1">
      <alignment horizontal="center" vertical="center"/>
    </xf>
    <xf numFmtId="3" fontId="15" fillId="0" borderId="96" xfId="133" applyNumberFormat="1" applyFont="1" applyBorder="1" applyAlignment="1">
      <alignment horizontal="center" vertical="center"/>
    </xf>
    <xf numFmtId="3" fontId="15" fillId="0" borderId="97" xfId="0" applyNumberFormat="1" applyFont="1" applyBorder="1" applyAlignment="1">
      <alignment vertical="center"/>
    </xf>
    <xf numFmtId="3" fontId="15" fillId="0" borderId="96" xfId="150" applyNumberFormat="1" applyFont="1" applyBorder="1" applyAlignment="1">
      <alignment horizontal="right" vertical="center"/>
    </xf>
    <xf numFmtId="0" fontId="18" fillId="0" borderId="96" xfId="150" applyFont="1" applyBorder="1" applyAlignment="1">
      <alignment vertical="center" wrapText="1"/>
    </xf>
    <xf numFmtId="3" fontId="18" fillId="0" borderId="96" xfId="150" applyNumberFormat="1" applyFont="1" applyBorder="1" applyAlignment="1">
      <alignment vertical="center"/>
    </xf>
    <xf numFmtId="166" fontId="13" fillId="57" borderId="96" xfId="84" applyNumberFormat="1" applyFont="1" applyFill="1" applyBorder="1" applyAlignment="1">
      <alignment vertical="center"/>
    </xf>
    <xf numFmtId="3" fontId="15" fillId="0" borderId="63" xfId="0" applyNumberFormat="1" applyFont="1" applyBorder="1" applyAlignment="1">
      <alignment vertical="center" wrapText="1"/>
    </xf>
    <xf numFmtId="3" fontId="15" fillId="0" borderId="96" xfId="0" applyNumberFormat="1" applyFont="1" applyBorder="1" applyAlignment="1">
      <alignment vertical="center" wrapText="1"/>
    </xf>
    <xf numFmtId="3" fontId="15" fillId="0" borderId="96" xfId="0" applyNumberFormat="1" applyFont="1" applyBorder="1" applyAlignment="1">
      <alignment horizontal="right" vertical="center" wrapText="1"/>
    </xf>
    <xf numFmtId="3" fontId="18" fillId="0" borderId="96" xfId="0" applyNumberFormat="1" applyFont="1" applyBorder="1" applyAlignment="1">
      <alignment vertical="center" wrapText="1"/>
    </xf>
    <xf numFmtId="3" fontId="18" fillId="0" borderId="96" xfId="0" applyNumberFormat="1" applyFont="1" applyBorder="1" applyAlignment="1">
      <alignment horizontal="center" vertical="center"/>
    </xf>
    <xf numFmtId="3" fontId="18" fillId="0" borderId="96" xfId="135" applyNumberFormat="1" applyFont="1" applyBorder="1" applyAlignment="1">
      <alignment horizontal="right" vertical="center"/>
    </xf>
    <xf numFmtId="0" fontId="18" fillId="48" borderId="97" xfId="158" applyFont="1" applyFill="1" applyBorder="1" applyAlignment="1">
      <alignment horizontal="center" vertical="top" wrapText="1"/>
    </xf>
    <xf numFmtId="3" fontId="18" fillId="0" borderId="90" xfId="0" applyNumberFormat="1" applyFont="1" applyBorder="1" applyAlignment="1">
      <alignment horizontal="left" vertical="center"/>
    </xf>
    <xf numFmtId="0" fontId="18" fillId="0" borderId="97" xfId="158" applyFont="1" applyBorder="1" applyAlignment="1">
      <alignment horizontal="left" vertical="center"/>
    </xf>
    <xf numFmtId="3" fontId="18" fillId="0" borderId="98" xfId="0" applyNumberFormat="1" applyFont="1" applyBorder="1" applyAlignment="1">
      <alignment vertical="center"/>
    </xf>
    <xf numFmtId="3" fontId="18" fillId="0" borderId="74" xfId="0" applyNumberFormat="1" applyFont="1" applyBorder="1" applyAlignment="1">
      <alignment horizontal="center" vertical="center"/>
    </xf>
    <xf numFmtId="0" fontId="15" fillId="0" borderId="71" xfId="174" applyFont="1" applyBorder="1" applyAlignment="1">
      <alignment vertical="center" wrapText="1"/>
    </xf>
    <xf numFmtId="3" fontId="15" fillId="0" borderId="65" xfId="174" applyNumberFormat="1" applyFont="1" applyBorder="1" applyAlignment="1">
      <alignment horizontal="center" vertical="center" wrapText="1"/>
    </xf>
    <xf numFmtId="0" fontId="13" fillId="0" borderId="96" xfId="150" applyFont="1" applyBorder="1" applyAlignment="1">
      <alignment vertical="center"/>
    </xf>
    <xf numFmtId="166" fontId="13" fillId="0" borderId="96" xfId="84" applyNumberFormat="1" applyFont="1" applyBorder="1" applyAlignment="1">
      <alignment vertical="center"/>
    </xf>
    <xf numFmtId="0" fontId="18" fillId="0" borderId="0" xfId="150" applyFont="1" applyAlignment="1">
      <alignment vertical="center"/>
    </xf>
    <xf numFmtId="3" fontId="18" fillId="0" borderId="97" xfId="135" applyNumberFormat="1" applyFont="1" applyBorder="1" applyAlignment="1">
      <alignment vertical="center"/>
    </xf>
    <xf numFmtId="0" fontId="15" fillId="0" borderId="96" xfId="133" applyFont="1" applyBorder="1" applyAlignment="1">
      <alignment horizontal="center" vertical="center"/>
    </xf>
    <xf numFmtId="49" fontId="15" fillId="0" borderId="96" xfId="133" applyNumberFormat="1" applyFont="1" applyBorder="1" applyAlignment="1">
      <alignment horizontal="center" vertical="center" wrapText="1"/>
    </xf>
    <xf numFmtId="3" fontId="15" fillId="0" borderId="96" xfId="133" applyNumberFormat="1" applyFont="1" applyBorder="1" applyAlignment="1">
      <alignment vertical="center" wrapText="1"/>
    </xf>
    <xf numFmtId="3" fontId="15" fillId="0" borderId="96" xfId="129" applyNumberFormat="1" applyFont="1" applyBorder="1" applyAlignment="1">
      <alignment horizontal="center" vertical="center" wrapText="1"/>
    </xf>
    <xf numFmtId="0" fontId="15" fillId="0" borderId="99" xfId="129" applyFont="1" applyBorder="1" applyAlignment="1">
      <alignment vertical="center" wrapText="1"/>
    </xf>
    <xf numFmtId="3" fontId="15" fillId="0" borderId="97" xfId="0" applyNumberFormat="1" applyFont="1" applyBorder="1" applyAlignment="1">
      <alignment vertical="center" wrapText="1"/>
    </xf>
    <xf numFmtId="3" fontId="15" fillId="0" borderId="96" xfId="0" applyNumberFormat="1" applyFont="1" applyBorder="1" applyAlignment="1">
      <alignment horizontal="center" vertical="center" wrapText="1"/>
    </xf>
    <xf numFmtId="3" fontId="83" fillId="0" borderId="96" xfId="133" applyNumberFormat="1" applyFont="1" applyBorder="1" applyAlignment="1">
      <alignment vertical="center" wrapText="1"/>
    </xf>
    <xf numFmtId="0" fontId="15" fillId="0" borderId="97" xfId="175" applyFont="1" applyBorder="1" applyAlignment="1">
      <alignment vertical="center"/>
    </xf>
    <xf numFmtId="3" fontId="15" fillId="0" borderId="96" xfId="175" applyNumberFormat="1" applyFont="1" applyBorder="1" applyAlignment="1">
      <alignment horizontal="center" vertical="center"/>
    </xf>
    <xf numFmtId="3" fontId="16" fillId="0" borderId="96" xfId="133" applyNumberFormat="1" applyFont="1" applyBorder="1" applyAlignment="1">
      <alignment vertical="center"/>
    </xf>
    <xf numFmtId="0" fontId="18" fillId="0" borderId="97" xfId="0" applyFont="1" applyBorder="1" applyAlignment="1">
      <alignment horizontal="left" vertical="center"/>
    </xf>
    <xf numFmtId="0" fontId="18" fillId="0" borderId="97" xfId="0" applyFont="1" applyBorder="1" applyAlignment="1">
      <alignment horizontal="left" vertical="center" wrapText="1"/>
    </xf>
    <xf numFmtId="3" fontId="18" fillId="0" borderId="79" xfId="0" applyNumberFormat="1" applyFont="1" applyBorder="1" applyAlignment="1">
      <alignment horizontal="left" vertical="center" wrapText="1"/>
    </xf>
    <xf numFmtId="0" fontId="18" fillId="0" borderId="98" xfId="0" applyFont="1" applyBorder="1" applyAlignment="1">
      <alignment vertical="center" wrapText="1"/>
    </xf>
    <xf numFmtId="0" fontId="18" fillId="0" borderId="96" xfId="0" applyFont="1" applyBorder="1" applyAlignment="1">
      <alignment vertical="center" wrapText="1"/>
    </xf>
    <xf numFmtId="0" fontId="18" fillId="0" borderId="97" xfId="158" applyFont="1" applyBorder="1" applyAlignment="1">
      <alignment horizontal="left" vertical="center" wrapText="1"/>
    </xf>
    <xf numFmtId="3" fontId="17" fillId="48" borderId="79" xfId="0" applyNumberFormat="1" applyFont="1" applyFill="1" applyBorder="1" applyAlignment="1">
      <alignment horizontal="center" vertical="center"/>
    </xf>
    <xf numFmtId="3" fontId="17" fillId="0" borderId="96" xfId="0" applyNumberFormat="1" applyFont="1" applyBorder="1" applyAlignment="1">
      <alignment vertical="center"/>
    </xf>
    <xf numFmtId="3" fontId="18" fillId="48" borderId="79" xfId="0" applyNumberFormat="1" applyFont="1" applyFill="1" applyBorder="1" applyAlignment="1">
      <alignment horizontal="center" vertical="center"/>
    </xf>
    <xf numFmtId="3" fontId="18" fillId="0" borderId="96" xfId="0" applyNumberFormat="1" applyFont="1" applyBorder="1" applyAlignment="1">
      <alignment horizontal="left" vertical="center"/>
    </xf>
    <xf numFmtId="3" fontId="18" fillId="0" borderId="79" xfId="0" applyNumberFormat="1" applyFont="1" applyBorder="1" applyAlignment="1">
      <alignment horizontal="center" vertical="center"/>
    </xf>
    <xf numFmtId="3" fontId="18" fillId="0" borderId="63" xfId="0" applyNumberFormat="1" applyFont="1" applyBorder="1" applyAlignment="1">
      <alignment horizontal="center" vertical="center"/>
    </xf>
    <xf numFmtId="0" fontId="18" fillId="0" borderId="79" xfId="0" applyFont="1" applyBorder="1" applyAlignment="1">
      <alignment horizontal="left" vertical="center" wrapText="1"/>
    </xf>
    <xf numFmtId="3" fontId="13" fillId="0" borderId="98" xfId="0" applyNumberFormat="1" applyFont="1" applyBorder="1" applyAlignment="1">
      <alignment vertical="center"/>
    </xf>
    <xf numFmtId="0" fontId="18" fillId="0" borderId="97" xfId="158" applyFont="1" applyBorder="1" applyAlignment="1">
      <alignment horizontal="center" vertical="center" wrapText="1"/>
    </xf>
    <xf numFmtId="0" fontId="18" fillId="0" borderId="99" xfId="0" applyFont="1" applyBorder="1" applyAlignment="1">
      <alignment vertical="center"/>
    </xf>
    <xf numFmtId="0" fontId="18" fillId="0" borderId="99" xfId="0" applyFont="1" applyBorder="1" applyAlignment="1">
      <alignment horizontal="left" vertical="center"/>
    </xf>
    <xf numFmtId="0" fontId="18" fillId="0" borderId="47" xfId="129" applyFont="1" applyBorder="1" applyAlignment="1">
      <alignment vertical="center" wrapText="1"/>
    </xf>
    <xf numFmtId="3" fontId="18" fillId="0" borderId="99" xfId="0" applyNumberFormat="1" applyFont="1" applyBorder="1" applyAlignment="1">
      <alignment vertical="center"/>
    </xf>
    <xf numFmtId="3" fontId="18" fillId="0" borderId="97" xfId="0" applyNumberFormat="1" applyFont="1" applyBorder="1" applyAlignment="1">
      <alignment vertical="center" wrapText="1"/>
    </xf>
    <xf numFmtId="3" fontId="17" fillId="0" borderId="98" xfId="0" applyNumberFormat="1" applyFont="1" applyBorder="1" applyAlignment="1">
      <alignment horizontal="left" vertical="center"/>
    </xf>
    <xf numFmtId="3" fontId="18" fillId="0" borderId="96" xfId="0" applyNumberFormat="1" applyFont="1" applyBorder="1" applyAlignment="1">
      <alignment horizontal="right" vertical="center"/>
    </xf>
    <xf numFmtId="3" fontId="18" fillId="0" borderId="97" xfId="0" applyNumberFormat="1" applyFont="1" applyBorder="1" applyAlignment="1">
      <alignment horizontal="left" vertical="center" wrapText="1"/>
    </xf>
    <xf numFmtId="49" fontId="15" fillId="0" borderId="96" xfId="0" applyNumberFormat="1" applyFont="1" applyBorder="1" applyAlignment="1">
      <alignment horizontal="center" vertical="center" wrapText="1"/>
    </xf>
    <xf numFmtId="3" fontId="18" fillId="0" borderId="97" xfId="0" applyNumberFormat="1" applyFont="1" applyBorder="1" applyAlignment="1">
      <alignment horizontal="left" vertical="center"/>
    </xf>
    <xf numFmtId="3" fontId="18" fillId="0" borderId="79" xfId="0" applyNumberFormat="1" applyFont="1" applyBorder="1" applyAlignment="1">
      <alignment vertical="center" wrapText="1"/>
    </xf>
    <xf numFmtId="0" fontId="16" fillId="0" borderId="65" xfId="133" applyFont="1" applyBorder="1" applyAlignment="1">
      <alignment horizontal="center" vertical="center"/>
    </xf>
    <xf numFmtId="0" fontId="18" fillId="0" borderId="97" xfId="0" applyFont="1" applyBorder="1" applyAlignment="1">
      <alignment vertical="center" wrapText="1"/>
    </xf>
    <xf numFmtId="49" fontId="18" fillId="0" borderId="97" xfId="163" applyNumberFormat="1" applyFont="1" applyBorder="1" applyAlignment="1">
      <alignment horizontal="left" vertical="center" wrapText="1"/>
    </xf>
    <xf numFmtId="0" fontId="18" fillId="0" borderId="97" xfId="0" applyFont="1" applyBorder="1"/>
    <xf numFmtId="3" fontId="18" fillId="0" borderId="99" xfId="0" applyNumberFormat="1" applyFont="1" applyBorder="1" applyAlignment="1">
      <alignment vertical="center" wrapText="1"/>
    </xf>
    <xf numFmtId="0" fontId="18" fillId="0" borderId="99" xfId="129" applyFont="1" applyBorder="1" applyAlignment="1">
      <alignment vertical="center" wrapText="1"/>
    </xf>
    <xf numFmtId="3" fontId="17" fillId="46" borderId="100" xfId="0" applyNumberFormat="1" applyFont="1" applyFill="1" applyBorder="1" applyAlignment="1">
      <alignment horizontal="center" vertical="center" wrapText="1"/>
    </xf>
    <xf numFmtId="3" fontId="17" fillId="0" borderId="89" xfId="0" applyNumberFormat="1" applyFont="1" applyBorder="1" applyAlignment="1">
      <alignment vertical="center" wrapText="1"/>
    </xf>
    <xf numFmtId="3" fontId="18" fillId="0" borderId="74" xfId="0" applyNumberFormat="1" applyFont="1" applyBorder="1" applyAlignment="1">
      <alignment vertical="center" wrapText="1"/>
    </xf>
    <xf numFmtId="3" fontId="18" fillId="0" borderId="74" xfId="0" applyNumberFormat="1" applyFont="1" applyBorder="1" applyAlignment="1">
      <alignment vertical="center"/>
    </xf>
    <xf numFmtId="3" fontId="17" fillId="46" borderId="89" xfId="0" applyNumberFormat="1" applyFont="1" applyFill="1" applyBorder="1" applyAlignment="1">
      <alignment vertical="center" wrapText="1"/>
    </xf>
    <xf numFmtId="3" fontId="17" fillId="46" borderId="33" xfId="0" applyNumberFormat="1" applyFont="1" applyFill="1" applyBorder="1" applyAlignment="1">
      <alignment vertical="center" wrapText="1"/>
    </xf>
    <xf numFmtId="3" fontId="16" fillId="0" borderId="74" xfId="0" applyNumberFormat="1" applyFont="1" applyBorder="1" applyAlignment="1">
      <alignment vertical="center" wrapText="1"/>
    </xf>
    <xf numFmtId="3" fontId="16" fillId="0" borderId="33" xfId="0" applyNumberFormat="1" applyFont="1" applyBorder="1" applyAlignment="1">
      <alignment vertical="center" wrapText="1"/>
    </xf>
    <xf numFmtId="3" fontId="15" fillId="0" borderId="33" xfId="0" applyNumberFormat="1" applyFont="1" applyBorder="1" applyAlignment="1">
      <alignment vertical="center" wrapText="1"/>
    </xf>
    <xf numFmtId="3" fontId="16" fillId="46" borderId="33" xfId="0" applyNumberFormat="1" applyFont="1" applyFill="1" applyBorder="1" applyAlignment="1">
      <alignment vertical="center" wrapText="1"/>
    </xf>
    <xf numFmtId="3" fontId="15" fillId="0" borderId="91" xfId="0" applyNumberFormat="1" applyFont="1" applyBorder="1" applyAlignment="1">
      <alignment vertical="center" wrapText="1"/>
    </xf>
    <xf numFmtId="3" fontId="16" fillId="46" borderId="101" xfId="0" applyNumberFormat="1" applyFont="1" applyFill="1" applyBorder="1" applyAlignment="1">
      <alignment horizontal="center" vertical="center" wrapText="1"/>
    </xf>
    <xf numFmtId="3" fontId="15" fillId="0" borderId="33" xfId="0" applyNumberFormat="1" applyFont="1" applyBorder="1" applyAlignment="1">
      <alignment horizontal="left" vertical="center" wrapText="1"/>
    </xf>
    <xf numFmtId="3" fontId="15" fillId="0" borderId="91" xfId="0" applyNumberFormat="1" applyFont="1" applyBorder="1" applyAlignment="1">
      <alignment horizontal="right" vertical="center" wrapText="1"/>
    </xf>
    <xf numFmtId="3" fontId="15" fillId="0" borderId="33" xfId="0" applyNumberFormat="1" applyFont="1" applyBorder="1" applyAlignment="1">
      <alignment horizontal="right" vertical="center" wrapText="1"/>
    </xf>
    <xf numFmtId="169" fontId="15" fillId="0" borderId="33" xfId="178" applyNumberFormat="1" applyFont="1" applyBorder="1"/>
    <xf numFmtId="0" fontId="94" fillId="0" borderId="96" xfId="0" applyFont="1" applyBorder="1" applyAlignment="1">
      <alignment horizontal="left" vertical="center"/>
    </xf>
    <xf numFmtId="3" fontId="23" fillId="0" borderId="96" xfId="131" applyNumberFormat="1" applyFont="1" applyBorder="1" applyAlignment="1">
      <alignment horizontal="right" vertical="center" wrapText="1"/>
    </xf>
    <xf numFmtId="3" fontId="18" fillId="0" borderId="96" xfId="132" applyNumberFormat="1" applyFont="1" applyBorder="1" applyAlignment="1">
      <alignment horizontal="right" vertical="center"/>
    </xf>
    <xf numFmtId="3" fontId="16" fillId="46" borderId="96" xfId="128" applyNumberFormat="1" applyFont="1" applyFill="1" applyBorder="1" applyAlignment="1">
      <alignment vertical="center" wrapText="1"/>
    </xf>
    <xf numFmtId="3" fontId="17" fillId="46" borderId="96" xfId="128" applyNumberFormat="1" applyFont="1" applyFill="1" applyBorder="1" applyAlignment="1">
      <alignment vertical="center" wrapText="1"/>
    </xf>
    <xf numFmtId="0" fontId="15" fillId="0" borderId="96" xfId="84" applyNumberFormat="1" applyFont="1" applyBorder="1" applyAlignment="1">
      <alignment horizontal="center" vertical="center"/>
    </xf>
    <xf numFmtId="0" fontId="15" fillId="0" borderId="97" xfId="133" applyFont="1" applyBorder="1" applyAlignment="1">
      <alignment vertical="center" wrapText="1"/>
    </xf>
    <xf numFmtId="3" fontId="15" fillId="0" borderId="96" xfId="133" applyNumberFormat="1" applyFont="1" applyBorder="1" applyAlignment="1">
      <alignment horizontal="center" vertical="center" wrapText="1"/>
    </xf>
    <xf numFmtId="0" fontId="15" fillId="0" borderId="79" xfId="133" applyFont="1" applyBorder="1" applyAlignment="1">
      <alignment vertical="center"/>
    </xf>
    <xf numFmtId="0" fontId="17" fillId="0" borderId="97" xfId="161" applyFont="1" applyBorder="1" applyAlignment="1">
      <alignment horizontal="center" vertical="center"/>
    </xf>
    <xf numFmtId="0" fontId="18" fillId="0" borderId="97" xfId="161" applyFont="1" applyBorder="1" applyAlignment="1">
      <alignment horizontal="left" vertical="center"/>
    </xf>
    <xf numFmtId="3" fontId="18" fillId="0" borderId="102" xfId="0" applyNumberFormat="1" applyFont="1" applyBorder="1" applyAlignment="1">
      <alignment horizontal="center" vertical="center"/>
    </xf>
    <xf numFmtId="3" fontId="15" fillId="0" borderId="96" xfId="150" applyNumberFormat="1" applyFont="1" applyBorder="1" applyAlignment="1">
      <alignment vertical="center"/>
    </xf>
    <xf numFmtId="3" fontId="83" fillId="0" borderId="96" xfId="150" applyNumberFormat="1" applyFont="1" applyBorder="1" applyAlignment="1">
      <alignment horizontal="right" vertical="center"/>
    </xf>
    <xf numFmtId="165" fontId="15" fillId="0" borderId="96" xfId="150" applyNumberFormat="1" applyFont="1" applyBorder="1" applyAlignment="1">
      <alignment horizontal="right" vertical="center"/>
    </xf>
    <xf numFmtId="166" fontId="13" fillId="53" borderId="96" xfId="84" applyNumberFormat="1" applyFont="1" applyFill="1" applyBorder="1" applyAlignment="1">
      <alignment vertical="center"/>
    </xf>
    <xf numFmtId="0" fontId="101" fillId="0" borderId="0" xfId="0" applyFont="1"/>
    <xf numFmtId="0" fontId="95" fillId="0" borderId="0" xfId="0" applyFont="1"/>
    <xf numFmtId="3" fontId="95" fillId="0" borderId="0" xfId="0" applyNumberFormat="1" applyFont="1"/>
    <xf numFmtId="3" fontId="15" fillId="0" borderId="65" xfId="84" applyNumberFormat="1" applyFont="1" applyFill="1" applyBorder="1" applyAlignment="1">
      <alignment horizontal="center" vertical="center"/>
    </xf>
    <xf numFmtId="3" fontId="15" fillId="0" borderId="96" xfId="84" applyNumberFormat="1" applyFont="1" applyFill="1" applyBorder="1" applyAlignment="1">
      <alignment horizontal="center" vertical="center"/>
    </xf>
    <xf numFmtId="0" fontId="15" fillId="0" borderId="102" xfId="133" applyFont="1" applyBorder="1" applyAlignment="1">
      <alignment horizontal="center" vertical="center"/>
    </xf>
    <xf numFmtId="3" fontId="15" fillId="0" borderId="74" xfId="133" applyNumberFormat="1" applyFont="1" applyBorder="1" applyAlignment="1">
      <alignment vertical="center" wrapText="1"/>
    </xf>
    <xf numFmtId="0" fontId="15" fillId="0" borderId="96" xfId="129" applyFont="1" applyBorder="1" applyAlignment="1">
      <alignment vertical="center" wrapText="1"/>
    </xf>
    <xf numFmtId="3" fontId="15" fillId="0" borderId="102" xfId="129" applyNumberFormat="1" applyFont="1" applyBorder="1" applyAlignment="1">
      <alignment horizontal="center" vertical="center" wrapText="1"/>
    </xf>
    <xf numFmtId="3" fontId="15" fillId="0" borderId="102" xfId="133" applyNumberFormat="1" applyFont="1" applyBorder="1" applyAlignment="1">
      <alignment vertical="center" wrapText="1"/>
    </xf>
    <xf numFmtId="3" fontId="15" fillId="0" borderId="19" xfId="129" applyNumberFormat="1" applyFont="1" applyBorder="1" applyAlignment="1">
      <alignment horizontal="center" vertical="center" wrapText="1"/>
    </xf>
    <xf numFmtId="3" fontId="15" fillId="0" borderId="19" xfId="133" applyNumberFormat="1" applyFont="1" applyBorder="1" applyAlignment="1">
      <alignment vertical="center" wrapText="1"/>
    </xf>
    <xf numFmtId="0" fontId="18" fillId="0" borderId="97" xfId="174" applyFont="1" applyBorder="1" applyAlignment="1">
      <alignment vertical="center" wrapText="1"/>
    </xf>
    <xf numFmtId="3" fontId="18" fillId="0" borderId="96" xfId="174" applyNumberFormat="1" applyFont="1" applyBorder="1" applyAlignment="1">
      <alignment horizontal="center" vertical="center" wrapText="1"/>
    </xf>
    <xf numFmtId="3" fontId="15" fillId="0" borderId="96" xfId="174" applyNumberFormat="1" applyFont="1" applyBorder="1" applyAlignment="1">
      <alignment horizontal="center" vertical="center" wrapText="1"/>
    </xf>
    <xf numFmtId="3" fontId="13" fillId="0" borderId="33" xfId="0" applyNumberFormat="1" applyFont="1" applyBorder="1" applyAlignment="1">
      <alignment vertical="center"/>
    </xf>
    <xf numFmtId="3" fontId="18" fillId="0" borderId="58" xfId="0" applyNumberFormat="1" applyFont="1" applyBorder="1" applyAlignment="1">
      <alignment vertical="center"/>
    </xf>
    <xf numFmtId="3" fontId="18" fillId="0" borderId="103" xfId="0" applyNumberFormat="1" applyFont="1" applyBorder="1" applyAlignment="1">
      <alignment horizontal="center" vertical="center"/>
    </xf>
    <xf numFmtId="3" fontId="17" fillId="0" borderId="67" xfId="0" applyNumberFormat="1" applyFont="1" applyBorder="1" applyAlignment="1">
      <alignment vertical="center"/>
    </xf>
    <xf numFmtId="0" fontId="18" fillId="0" borderId="96" xfId="150" applyFont="1" applyBorder="1" applyAlignment="1">
      <alignment vertical="center"/>
    </xf>
    <xf numFmtId="3" fontId="17" fillId="50" borderId="33" xfId="150" applyNumberFormat="1" applyFont="1" applyFill="1" applyBorder="1" applyAlignment="1">
      <alignment horizontal="center" vertical="center" wrapText="1"/>
    </xf>
    <xf numFmtId="3" fontId="18" fillId="0" borderId="33" xfId="150" applyNumberFormat="1" applyFont="1" applyBorder="1" applyAlignment="1">
      <alignment vertical="center"/>
    </xf>
    <xf numFmtId="3" fontId="15" fillId="0" borderId="33" xfId="150" applyNumberFormat="1" applyFont="1" applyBorder="1" applyAlignment="1">
      <alignment horizontal="right" vertical="center"/>
    </xf>
    <xf numFmtId="0" fontId="13" fillId="0" borderId="33" xfId="150" applyFont="1" applyBorder="1" applyAlignment="1">
      <alignment vertical="center"/>
    </xf>
    <xf numFmtId="3" fontId="15" fillId="0" borderId="33" xfId="150" applyNumberFormat="1" applyFont="1" applyBorder="1" applyAlignment="1">
      <alignment vertical="center"/>
    </xf>
    <xf numFmtId="3" fontId="83" fillId="0" borderId="33" xfId="150" applyNumberFormat="1" applyFont="1" applyBorder="1" applyAlignment="1">
      <alignment horizontal="right" vertical="center"/>
    </xf>
    <xf numFmtId="3" fontId="18" fillId="0" borderId="96" xfId="129" applyNumberFormat="1" applyFont="1" applyBorder="1" applyAlignment="1">
      <alignment horizontal="center" vertical="center" wrapText="1"/>
    </xf>
    <xf numFmtId="3" fontId="18" fillId="0" borderId="96" xfId="129" applyNumberFormat="1" applyFont="1" applyBorder="1" applyAlignment="1">
      <alignment horizontal="right" vertical="center" wrapText="1"/>
    </xf>
    <xf numFmtId="0" fontId="16" fillId="0" borderId="104" xfId="133" applyFont="1" applyBorder="1" applyAlignment="1">
      <alignment horizontal="center" vertical="center"/>
    </xf>
    <xf numFmtId="3" fontId="15" fillId="0" borderId="104" xfId="133" applyNumberFormat="1" applyFont="1" applyBorder="1" applyAlignment="1">
      <alignment vertical="center"/>
    </xf>
    <xf numFmtId="3" fontId="83" fillId="0" borderId="104" xfId="133" applyNumberFormat="1" applyFont="1" applyBorder="1" applyAlignment="1">
      <alignment vertical="center"/>
    </xf>
    <xf numFmtId="3" fontId="15" fillId="0" borderId="105" xfId="0" applyNumberFormat="1" applyFont="1" applyBorder="1" applyAlignment="1">
      <alignment horizontal="left" vertical="center" wrapText="1"/>
    </xf>
    <xf numFmtId="3" fontId="15" fillId="0" borderId="104" xfId="179" applyNumberFormat="1" applyFont="1" applyFill="1" applyBorder="1" applyAlignment="1">
      <alignment horizontal="center" vertical="center" wrapText="1"/>
    </xf>
    <xf numFmtId="3" fontId="15" fillId="0" borderId="105" xfId="0" applyNumberFormat="1" applyFont="1" applyBorder="1" applyAlignment="1">
      <alignment vertical="center" wrapText="1"/>
    </xf>
    <xf numFmtId="0" fontId="15" fillId="0" borderId="104" xfId="133" applyFont="1" applyBorder="1" applyAlignment="1">
      <alignment horizontal="center" vertical="center"/>
    </xf>
    <xf numFmtId="3" fontId="15" fillId="0" borderId="104" xfId="133" applyNumberFormat="1" applyFont="1" applyBorder="1" applyAlignment="1">
      <alignment horizontal="center" vertical="center"/>
    </xf>
    <xf numFmtId="0" fontId="15" fillId="0" borderId="105" xfId="133" applyFont="1" applyBorder="1" applyAlignment="1">
      <alignment horizontal="center" vertical="center"/>
    </xf>
    <xf numFmtId="3" fontId="15" fillId="0" borderId="104" xfId="0" applyNumberFormat="1" applyFont="1" applyBorder="1" applyAlignment="1">
      <alignment vertical="center"/>
    </xf>
    <xf numFmtId="3" fontId="15" fillId="0" borderId="104" xfId="133" applyNumberFormat="1" applyFont="1" applyBorder="1" applyAlignment="1">
      <alignment vertical="center" wrapText="1"/>
    </xf>
    <xf numFmtId="0" fontId="0" fillId="0" borderId="104" xfId="0" applyBorder="1" applyAlignment="1">
      <alignment wrapText="1"/>
    </xf>
    <xf numFmtId="0" fontId="15" fillId="0" borderId="106" xfId="133" applyFont="1" applyBorder="1" applyAlignment="1">
      <alignment vertical="center"/>
    </xf>
    <xf numFmtId="3" fontId="18" fillId="0" borderId="104" xfId="0" applyNumberFormat="1" applyFont="1" applyBorder="1" applyAlignment="1">
      <alignment horizontal="center" vertical="center"/>
    </xf>
    <xf numFmtId="3" fontId="18" fillId="0" borderId="105" xfId="0" applyNumberFormat="1" applyFont="1" applyBorder="1" applyAlignment="1">
      <alignment horizontal="center" vertical="center"/>
    </xf>
    <xf numFmtId="3" fontId="18" fillId="0" borderId="107" xfId="0" applyNumberFormat="1" applyFont="1" applyBorder="1" applyAlignment="1">
      <alignment vertical="center"/>
    </xf>
    <xf numFmtId="3" fontId="18" fillId="0" borderId="104" xfId="0" applyNumberFormat="1" applyFont="1" applyBorder="1" applyAlignment="1">
      <alignment vertical="center"/>
    </xf>
    <xf numFmtId="3" fontId="13" fillId="0" borderId="104" xfId="0" applyNumberFormat="1" applyFont="1" applyBorder="1" applyAlignment="1">
      <alignment vertical="center"/>
    </xf>
    <xf numFmtId="3" fontId="18" fillId="0" borderId="104" xfId="0" applyNumberFormat="1" applyFont="1" applyBorder="1" applyAlignment="1">
      <alignment horizontal="left" vertical="center" wrapText="1"/>
    </xf>
    <xf numFmtId="3" fontId="17" fillId="0" borderId="104" xfId="0" applyNumberFormat="1" applyFont="1" applyBorder="1" applyAlignment="1">
      <alignment horizontal="center" vertical="center"/>
    </xf>
    <xf numFmtId="0" fontId="18" fillId="0" borderId="105" xfId="0" applyFont="1" applyBorder="1"/>
    <xf numFmtId="3" fontId="18" fillId="0" borderId="107" xfId="0" applyNumberFormat="1" applyFont="1" applyBorder="1" applyAlignment="1">
      <alignment horizontal="right" vertical="center"/>
    </xf>
    <xf numFmtId="3" fontId="17" fillId="0" borderId="107" xfId="0" applyNumberFormat="1" applyFont="1" applyBorder="1" applyAlignment="1">
      <alignment horizontal="right" vertical="center"/>
    </xf>
    <xf numFmtId="3" fontId="18" fillId="0" borderId="104" xfId="163" applyNumberFormat="1" applyFont="1" applyBorder="1" applyAlignment="1">
      <alignment horizontal="left" vertical="center" wrapText="1"/>
    </xf>
    <xf numFmtId="3" fontId="18" fillId="0" borderId="105" xfId="163" applyNumberFormat="1" applyFont="1" applyBorder="1" applyAlignment="1">
      <alignment horizontal="left" vertical="center" wrapText="1"/>
    </xf>
    <xf numFmtId="0" fontId="18" fillId="0" borderId="105" xfId="158" applyFont="1" applyBorder="1" applyAlignment="1">
      <alignment horizontal="center" vertical="center" wrapText="1"/>
    </xf>
    <xf numFmtId="3" fontId="13" fillId="0" borderId="107" xfId="0" applyNumberFormat="1" applyFont="1" applyBorder="1" applyAlignment="1">
      <alignment vertical="center"/>
    </xf>
    <xf numFmtId="3" fontId="18" fillId="0" borderId="104" xfId="135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0" fontId="80" fillId="0" borderId="104" xfId="128" applyBorder="1" applyAlignment="1">
      <alignment vertical="center"/>
    </xf>
    <xf numFmtId="49" fontId="15" fillId="0" borderId="104" xfId="133" applyNumberFormat="1" applyFont="1" applyBorder="1" applyAlignment="1">
      <alignment horizontal="center" vertical="center" wrapText="1"/>
    </xf>
    <xf numFmtId="3" fontId="15" fillId="0" borderId="105" xfId="0" applyNumberFormat="1" applyFont="1" applyBorder="1" applyAlignment="1">
      <alignment horizontal="left" vertical="center"/>
    </xf>
    <xf numFmtId="3" fontId="18" fillId="0" borderId="105" xfId="0" applyNumberFormat="1" applyFont="1" applyBorder="1" applyAlignment="1">
      <alignment vertical="center"/>
    </xf>
    <xf numFmtId="3" fontId="12" fillId="0" borderId="0" xfId="153" applyNumberFormat="1"/>
    <xf numFmtId="3" fontId="16" fillId="0" borderId="104" xfId="133" applyNumberFormat="1" applyFont="1" applyBorder="1" applyAlignment="1">
      <alignment vertical="center"/>
    </xf>
    <xf numFmtId="3" fontId="15" fillId="0" borderId="104" xfId="150" applyNumberFormat="1" applyFont="1" applyBorder="1" applyAlignment="1">
      <alignment horizontal="right" vertical="center"/>
    </xf>
    <xf numFmtId="0" fontId="18" fillId="0" borderId="104" xfId="150" applyFont="1" applyBorder="1" applyAlignment="1">
      <alignment vertical="center" wrapText="1"/>
    </xf>
    <xf numFmtId="3" fontId="18" fillId="0" borderId="96" xfId="132" applyNumberFormat="1" applyFont="1" applyBorder="1" applyAlignment="1">
      <alignment horizontal="right" vertical="center" wrapText="1"/>
    </xf>
    <xf numFmtId="3" fontId="18" fillId="0" borderId="57" xfId="132" applyNumberFormat="1" applyFont="1" applyBorder="1" applyAlignment="1">
      <alignment horizontal="right" vertical="center" wrapText="1"/>
    </xf>
    <xf numFmtId="3" fontId="18" fillId="0" borderId="96" xfId="134" applyNumberFormat="1" applyFont="1" applyBorder="1" applyAlignment="1">
      <alignment horizontal="right" vertical="center"/>
    </xf>
    <xf numFmtId="3" fontId="18" fillId="0" borderId="57" xfId="134" applyNumberFormat="1" applyFont="1" applyBorder="1" applyAlignment="1">
      <alignment horizontal="right" vertical="center"/>
    </xf>
    <xf numFmtId="3" fontId="17" fillId="47" borderId="21" xfId="135" applyNumberFormat="1" applyFont="1" applyFill="1" applyBorder="1" applyAlignment="1">
      <alignment horizontal="center" vertical="center" wrapText="1"/>
    </xf>
    <xf numFmtId="3" fontId="17" fillId="0" borderId="20" xfId="135" applyNumberFormat="1" applyFont="1" applyBorder="1" applyAlignment="1">
      <alignment horizontal="center" vertical="center" wrapText="1"/>
    </xf>
    <xf numFmtId="3" fontId="17" fillId="0" borderId="20" xfId="135" applyNumberFormat="1" applyFont="1" applyBorder="1" applyAlignment="1">
      <alignment horizontal="left" vertical="center" wrapText="1"/>
    </xf>
    <xf numFmtId="3" fontId="18" fillId="0" borderId="33" xfId="135" applyNumberFormat="1" applyFont="1" applyBorder="1" applyAlignment="1">
      <alignment horizontal="right" vertical="center" wrapText="1"/>
    </xf>
    <xf numFmtId="3" fontId="18" fillId="0" borderId="57" xfId="135" applyNumberFormat="1" applyFont="1" applyBorder="1" applyAlignment="1">
      <alignment horizontal="right" vertical="center" wrapText="1"/>
    </xf>
    <xf numFmtId="3" fontId="18" fillId="0" borderId="13" xfId="135" applyNumberFormat="1" applyFont="1" applyBorder="1" applyAlignment="1">
      <alignment vertical="center" wrapText="1"/>
    </xf>
    <xf numFmtId="3" fontId="17" fillId="0" borderId="13" xfId="135" applyNumberFormat="1" applyFont="1" applyBorder="1" applyAlignment="1">
      <alignment horizontal="left" vertical="center" wrapText="1"/>
    </xf>
    <xf numFmtId="3" fontId="17" fillId="0" borderId="33" xfId="135" applyNumberFormat="1" applyFont="1" applyBorder="1" applyAlignment="1">
      <alignment horizontal="right" vertical="center" wrapText="1"/>
    </xf>
    <xf numFmtId="3" fontId="17" fillId="0" borderId="57" xfId="135" applyNumberFormat="1" applyFont="1" applyBorder="1" applyAlignment="1">
      <alignment horizontal="right" vertical="center" wrapText="1"/>
    </xf>
    <xf numFmtId="3" fontId="17" fillId="0" borderId="13" xfId="135" applyNumberFormat="1" applyFont="1" applyBorder="1" applyAlignment="1">
      <alignment horizontal="right" vertical="center"/>
    </xf>
    <xf numFmtId="3" fontId="17" fillId="0" borderId="13" xfId="135" applyNumberFormat="1" applyFont="1" applyBorder="1" applyAlignment="1">
      <alignment vertical="center"/>
    </xf>
    <xf numFmtId="3" fontId="17" fillId="46" borderId="13" xfId="135" applyNumberFormat="1" applyFont="1" applyFill="1" applyBorder="1" applyAlignment="1">
      <alignment horizontal="left" vertical="center" wrapText="1"/>
    </xf>
    <xf numFmtId="3" fontId="17" fillId="46" borderId="33" xfId="135" applyNumberFormat="1" applyFont="1" applyFill="1" applyBorder="1" applyAlignment="1">
      <alignment horizontal="right" vertical="center" wrapText="1"/>
    </xf>
    <xf numFmtId="3" fontId="17" fillId="46" borderId="57" xfId="135" applyNumberFormat="1" applyFont="1" applyFill="1" applyBorder="1" applyAlignment="1">
      <alignment horizontal="right" vertical="center" wrapText="1"/>
    </xf>
    <xf numFmtId="0" fontId="15" fillId="0" borderId="104" xfId="84" applyNumberFormat="1" applyFont="1" applyFill="1" applyBorder="1" applyAlignment="1">
      <alignment horizontal="center" vertical="center"/>
    </xf>
    <xf numFmtId="3" fontId="15" fillId="0" borderId="104" xfId="84" applyNumberFormat="1" applyFont="1" applyFill="1" applyBorder="1" applyAlignment="1">
      <alignment horizontal="center" vertical="center"/>
    </xf>
    <xf numFmtId="49" fontId="15" fillId="0" borderId="104" xfId="133" applyNumberFormat="1" applyFont="1" applyBorder="1" applyAlignment="1">
      <alignment horizontal="center" vertical="center"/>
    </xf>
    <xf numFmtId="0" fontId="15" fillId="0" borderId="105" xfId="133" applyFont="1" applyBorder="1" applyAlignment="1">
      <alignment vertical="center"/>
    </xf>
    <xf numFmtId="3" fontId="15" fillId="0" borderId="104" xfId="0" applyNumberFormat="1" applyFont="1" applyBorder="1" applyAlignment="1">
      <alignment horizontal="center" vertical="center" wrapText="1"/>
    </xf>
    <xf numFmtId="3" fontId="18" fillId="0" borderId="104" xfId="0" applyNumberFormat="1" applyFont="1" applyBorder="1" applyAlignment="1">
      <alignment vertical="center" wrapText="1"/>
    </xf>
    <xf numFmtId="0" fontId="15" fillId="0" borderId="104" xfId="129" applyFont="1" applyBorder="1" applyAlignment="1">
      <alignment vertical="center" wrapText="1"/>
    </xf>
    <xf numFmtId="3" fontId="15" fillId="0" borderId="104" xfId="129" applyNumberFormat="1" applyFont="1" applyBorder="1" applyAlignment="1">
      <alignment horizontal="center" vertical="center" wrapText="1"/>
    </xf>
    <xf numFmtId="0" fontId="15" fillId="0" borderId="0" xfId="129" applyFont="1" applyAlignment="1">
      <alignment vertical="center" wrapText="1"/>
    </xf>
    <xf numFmtId="3" fontId="18" fillId="0" borderId="105" xfId="0" applyNumberFormat="1" applyFont="1" applyBorder="1" applyAlignment="1">
      <alignment horizontal="left" vertical="center" wrapText="1"/>
    </xf>
    <xf numFmtId="0" fontId="0" fillId="0" borderId="99" xfId="0" applyBorder="1" applyAlignment="1">
      <alignment wrapText="1"/>
    </xf>
    <xf numFmtId="0" fontId="18" fillId="0" borderId="105" xfId="0" applyFont="1" applyBorder="1" applyAlignment="1">
      <alignment vertical="center" wrapText="1"/>
    </xf>
    <xf numFmtId="3" fontId="17" fillId="0" borderId="107" xfId="0" applyNumberFormat="1" applyFont="1" applyBorder="1" applyAlignment="1">
      <alignment horizontal="left" vertical="center"/>
    </xf>
    <xf numFmtId="3" fontId="18" fillId="0" borderId="104" xfId="0" applyNumberFormat="1" applyFont="1" applyBorder="1" applyAlignment="1">
      <alignment horizontal="right" vertical="center"/>
    </xf>
    <xf numFmtId="3" fontId="18" fillId="0" borderId="104" xfId="150" applyNumberFormat="1" applyFont="1" applyBorder="1" applyAlignment="1">
      <alignment vertical="center"/>
    </xf>
    <xf numFmtId="166" fontId="13" fillId="56" borderId="104" xfId="84" applyNumberFormat="1" applyFont="1" applyFill="1" applyBorder="1" applyAlignment="1">
      <alignment vertical="center"/>
    </xf>
    <xf numFmtId="3" fontId="17" fillId="50" borderId="104" xfId="150" applyNumberFormat="1" applyFont="1" applyFill="1" applyBorder="1" applyAlignment="1">
      <alignment horizontal="center" vertical="center" wrapText="1"/>
    </xf>
    <xf numFmtId="0" fontId="13" fillId="0" borderId="104" xfId="150" applyFont="1" applyBorder="1" applyAlignment="1">
      <alignment vertical="center"/>
    </xf>
    <xf numFmtId="3" fontId="83" fillId="0" borderId="104" xfId="150" applyNumberFormat="1" applyFont="1" applyBorder="1" applyAlignment="1">
      <alignment horizontal="right" vertical="center"/>
    </xf>
    <xf numFmtId="3" fontId="16" fillId="50" borderId="104" xfId="150" applyNumberFormat="1" applyFont="1" applyFill="1" applyBorder="1" applyAlignment="1">
      <alignment horizontal="right" vertical="center"/>
    </xf>
    <xf numFmtId="3" fontId="16" fillId="0" borderId="102" xfId="0" applyNumberFormat="1" applyFont="1" applyBorder="1" applyAlignment="1">
      <alignment vertical="center" wrapText="1"/>
    </xf>
    <xf numFmtId="3" fontId="16" fillId="0" borderId="104" xfId="0" applyNumberFormat="1" applyFont="1" applyBorder="1" applyAlignment="1">
      <alignment vertical="center" wrapText="1"/>
    </xf>
    <xf numFmtId="3" fontId="16" fillId="58" borderId="18" xfId="0" applyNumberFormat="1" applyFont="1" applyFill="1" applyBorder="1" applyAlignment="1">
      <alignment horizontal="center" vertical="center" wrapText="1"/>
    </xf>
    <xf numFmtId="3" fontId="16" fillId="58" borderId="62" xfId="0" applyNumberFormat="1" applyFont="1" applyFill="1" applyBorder="1" applyAlignment="1">
      <alignment vertical="center" wrapText="1"/>
    </xf>
    <xf numFmtId="3" fontId="16" fillId="58" borderId="102" xfId="0" applyNumberFormat="1" applyFont="1" applyFill="1" applyBorder="1" applyAlignment="1">
      <alignment vertical="center" wrapText="1"/>
    </xf>
    <xf numFmtId="3" fontId="16" fillId="58" borderId="65" xfId="0" applyNumberFormat="1" applyFont="1" applyFill="1" applyBorder="1" applyAlignment="1">
      <alignment vertical="center" wrapText="1"/>
    </xf>
    <xf numFmtId="3" fontId="16" fillId="58" borderId="104" xfId="0" applyNumberFormat="1" applyFont="1" applyFill="1" applyBorder="1" applyAlignment="1">
      <alignment vertical="center" wrapText="1"/>
    </xf>
    <xf numFmtId="3" fontId="15" fillId="58" borderId="66" xfId="0" applyNumberFormat="1" applyFont="1" applyFill="1" applyBorder="1" applyAlignment="1">
      <alignment vertical="center" wrapText="1"/>
    </xf>
    <xf numFmtId="3" fontId="15" fillId="58" borderId="105" xfId="0" applyNumberFormat="1" applyFont="1" applyFill="1" applyBorder="1" applyAlignment="1">
      <alignment vertical="center" wrapText="1"/>
    </xf>
    <xf numFmtId="3" fontId="15" fillId="58" borderId="71" xfId="0" applyNumberFormat="1" applyFont="1" applyFill="1" applyBorder="1" applyAlignment="1">
      <alignment vertical="center" wrapText="1"/>
    </xf>
    <xf numFmtId="3" fontId="15" fillId="58" borderId="65" xfId="0" applyNumberFormat="1" applyFont="1" applyFill="1" applyBorder="1" applyAlignment="1">
      <alignment vertical="center" wrapText="1"/>
    </xf>
    <xf numFmtId="3" fontId="15" fillId="58" borderId="104" xfId="0" applyNumberFormat="1" applyFont="1" applyFill="1" applyBorder="1" applyAlignment="1">
      <alignment vertical="center" wrapText="1"/>
    </xf>
    <xf numFmtId="3" fontId="16" fillId="58" borderId="33" xfId="0" applyNumberFormat="1" applyFont="1" applyFill="1" applyBorder="1" applyAlignment="1">
      <alignment vertical="center" wrapText="1"/>
    </xf>
    <xf numFmtId="0" fontId="18" fillId="58" borderId="65" xfId="0" applyFont="1" applyFill="1" applyBorder="1"/>
    <xf numFmtId="0" fontId="18" fillId="58" borderId="104" xfId="0" applyFont="1" applyFill="1" applyBorder="1"/>
    <xf numFmtId="3" fontId="15" fillId="58" borderId="69" xfId="0" applyNumberFormat="1" applyFont="1" applyFill="1" applyBorder="1" applyAlignment="1">
      <alignment vertical="center" wrapText="1"/>
    </xf>
    <xf numFmtId="3" fontId="15" fillId="58" borderId="63" xfId="0" applyNumberFormat="1" applyFont="1" applyFill="1" applyBorder="1" applyAlignment="1">
      <alignment vertical="center" wrapText="1"/>
    </xf>
    <xf numFmtId="3" fontId="15" fillId="58" borderId="69" xfId="0" applyNumberFormat="1" applyFont="1" applyFill="1" applyBorder="1" applyAlignment="1">
      <alignment horizontal="right" vertical="center" wrapText="1"/>
    </xf>
    <xf numFmtId="3" fontId="15" fillId="58" borderId="63" xfId="0" applyNumberFormat="1" applyFont="1" applyFill="1" applyBorder="1" applyAlignment="1">
      <alignment horizontal="right" vertical="center" wrapText="1"/>
    </xf>
    <xf numFmtId="3" fontId="15" fillId="58" borderId="91" xfId="0" applyNumberFormat="1" applyFont="1" applyFill="1" applyBorder="1" applyAlignment="1">
      <alignment vertical="center" wrapText="1"/>
    </xf>
    <xf numFmtId="3" fontId="16" fillId="49" borderId="105" xfId="0" applyNumberFormat="1" applyFont="1" applyFill="1" applyBorder="1" applyAlignment="1">
      <alignment vertical="center" wrapText="1"/>
    </xf>
    <xf numFmtId="3" fontId="16" fillId="49" borderId="65" xfId="0" applyNumberFormat="1" applyFont="1" applyFill="1" applyBorder="1" applyAlignment="1">
      <alignment vertical="center" wrapText="1"/>
    </xf>
    <xf numFmtId="3" fontId="17" fillId="0" borderId="96" xfId="0" applyNumberFormat="1" applyFont="1" applyBorder="1" applyAlignment="1">
      <alignment vertical="center" wrapText="1"/>
    </xf>
    <xf numFmtId="3" fontId="17" fillId="0" borderId="107" xfId="0" applyNumberFormat="1" applyFont="1" applyBorder="1" applyAlignment="1">
      <alignment vertical="center" wrapText="1"/>
    </xf>
    <xf numFmtId="3" fontId="17" fillId="58" borderId="16" xfId="0" applyNumberFormat="1" applyFont="1" applyFill="1" applyBorder="1" applyAlignment="1">
      <alignment horizontal="center" vertical="center" wrapText="1"/>
    </xf>
    <xf numFmtId="3" fontId="17" fillId="58" borderId="100" xfId="0" applyNumberFormat="1" applyFont="1" applyFill="1" applyBorder="1" applyAlignment="1">
      <alignment horizontal="center" vertical="center" wrapText="1"/>
    </xf>
    <xf numFmtId="3" fontId="17" fillId="58" borderId="58" xfId="0" applyNumberFormat="1" applyFont="1" applyFill="1" applyBorder="1" applyAlignment="1">
      <alignment vertical="center" wrapText="1"/>
    </xf>
    <xf numFmtId="3" fontId="17" fillId="58" borderId="107" xfId="0" applyNumberFormat="1" applyFont="1" applyFill="1" applyBorder="1" applyAlignment="1">
      <alignment vertical="center" wrapText="1"/>
    </xf>
    <xf numFmtId="3" fontId="18" fillId="58" borderId="65" xfId="0" applyNumberFormat="1" applyFont="1" applyFill="1" applyBorder="1" applyAlignment="1">
      <alignment vertical="center" wrapText="1"/>
    </xf>
    <xf numFmtId="3" fontId="18" fillId="58" borderId="96" xfId="0" applyNumberFormat="1" applyFont="1" applyFill="1" applyBorder="1" applyAlignment="1">
      <alignment vertical="center" wrapText="1"/>
    </xf>
    <xf numFmtId="3" fontId="17" fillId="58" borderId="65" xfId="0" applyNumberFormat="1" applyFont="1" applyFill="1" applyBorder="1" applyAlignment="1">
      <alignment vertical="center" wrapText="1"/>
    </xf>
    <xf numFmtId="3" fontId="17" fillId="58" borderId="96" xfId="0" applyNumberFormat="1" applyFont="1" applyFill="1" applyBorder="1" applyAlignment="1">
      <alignment vertical="center" wrapText="1"/>
    </xf>
    <xf numFmtId="3" fontId="18" fillId="58" borderId="65" xfId="0" applyNumberFormat="1" applyFont="1" applyFill="1" applyBorder="1" applyAlignment="1">
      <alignment horizontal="right" vertical="center"/>
    </xf>
    <xf numFmtId="3" fontId="18" fillId="58" borderId="96" xfId="0" applyNumberFormat="1" applyFont="1" applyFill="1" applyBorder="1" applyAlignment="1">
      <alignment horizontal="right" vertical="center"/>
    </xf>
    <xf numFmtId="3" fontId="18" fillId="58" borderId="74" xfId="0" applyNumberFormat="1" applyFont="1" applyFill="1" applyBorder="1" applyAlignment="1">
      <alignment horizontal="right" vertical="center"/>
    </xf>
    <xf numFmtId="3" fontId="18" fillId="58" borderId="102" xfId="0" applyNumberFormat="1" applyFont="1" applyFill="1" applyBorder="1" applyAlignment="1">
      <alignment horizontal="right" vertical="center"/>
    </xf>
    <xf numFmtId="3" fontId="18" fillId="58" borderId="33" xfId="0" applyNumberFormat="1" applyFont="1" applyFill="1" applyBorder="1" applyAlignment="1">
      <alignment vertical="center" wrapText="1"/>
    </xf>
    <xf numFmtId="3" fontId="18" fillId="58" borderId="19" xfId="0" applyNumberFormat="1" applyFont="1" applyFill="1" applyBorder="1" applyAlignment="1">
      <alignment vertical="center" wrapText="1"/>
    </xf>
    <xf numFmtId="3" fontId="18" fillId="58" borderId="102" xfId="0" applyNumberFormat="1" applyFont="1" applyFill="1" applyBorder="1" applyAlignment="1">
      <alignment vertical="center" wrapText="1"/>
    </xf>
    <xf numFmtId="3" fontId="18" fillId="58" borderId="74" xfId="0" applyNumberFormat="1" applyFont="1" applyFill="1" applyBorder="1" applyAlignment="1">
      <alignment vertical="center" wrapText="1"/>
    </xf>
    <xf numFmtId="0" fontId="18" fillId="0" borderId="105" xfId="0" applyFont="1" applyBorder="1" applyAlignment="1">
      <alignment wrapText="1"/>
    </xf>
    <xf numFmtId="3" fontId="17" fillId="46" borderId="104" xfId="135" applyNumberFormat="1" applyFont="1" applyFill="1" applyBorder="1" applyAlignment="1">
      <alignment horizontal="center" vertical="center" wrapText="1"/>
    </xf>
    <xf numFmtId="3" fontId="18" fillId="0" borderId="104" xfId="135" applyNumberFormat="1" applyFont="1" applyBorder="1" applyAlignment="1">
      <alignment horizontal="center" vertical="center" wrapText="1"/>
    </xf>
    <xf numFmtId="3" fontId="17" fillId="0" borderId="104" xfId="135" applyNumberFormat="1" applyFont="1" applyBorder="1" applyAlignment="1">
      <alignment horizontal="center" vertical="center" wrapText="1"/>
    </xf>
    <xf numFmtId="0" fontId="94" fillId="0" borderId="104" xfId="0" applyFont="1" applyBorder="1" applyAlignment="1">
      <alignment horizontal="left" vertical="center"/>
    </xf>
    <xf numFmtId="0" fontId="10" fillId="0" borderId="104" xfId="0" applyFont="1" applyBorder="1" applyAlignment="1">
      <alignment horizontal="center"/>
    </xf>
    <xf numFmtId="0" fontId="18" fillId="0" borderId="104" xfId="131" applyFont="1" applyBorder="1" applyAlignment="1">
      <alignment horizontal="center" vertical="center" wrapText="1"/>
    </xf>
    <xf numFmtId="0" fontId="18" fillId="0" borderId="104" xfId="131" applyFont="1" applyBorder="1" applyAlignment="1">
      <alignment horizontal="left" vertical="center" wrapText="1"/>
    </xf>
    <xf numFmtId="3" fontId="18" fillId="0" borderId="104" xfId="135" applyNumberFormat="1" applyFont="1" applyBorder="1" applyAlignment="1">
      <alignment horizontal="right" vertical="center" wrapText="1"/>
    </xf>
    <xf numFmtId="3" fontId="86" fillId="0" borderId="104" xfId="135" applyNumberFormat="1" applyFont="1" applyBorder="1" applyAlignment="1">
      <alignment horizontal="right" vertical="center" wrapText="1"/>
    </xf>
    <xf numFmtId="3" fontId="18" fillId="0" borderId="104" xfId="128" applyNumberFormat="1" applyFont="1" applyBorder="1" applyAlignment="1">
      <alignment vertical="center"/>
    </xf>
    <xf numFmtId="0" fontId="18" fillId="0" borderId="104" xfId="132" applyFont="1" applyBorder="1" applyAlignment="1">
      <alignment vertical="center" wrapText="1"/>
    </xf>
    <xf numFmtId="0" fontId="18" fillId="0" borderId="104" xfId="132" applyFont="1" applyBorder="1" applyAlignment="1">
      <alignment vertical="center"/>
    </xf>
    <xf numFmtId="0" fontId="18" fillId="0" borderId="104" xfId="134" applyFont="1" applyBorder="1" applyAlignment="1">
      <alignment vertical="center"/>
    </xf>
    <xf numFmtId="0" fontId="17" fillId="46" borderId="104" xfId="128" applyFont="1" applyFill="1" applyBorder="1" applyAlignment="1">
      <alignment horizontal="center" vertical="center"/>
    </xf>
    <xf numFmtId="0" fontId="17" fillId="46" borderId="104" xfId="128" applyFont="1" applyFill="1" applyBorder="1" applyAlignment="1">
      <alignment vertical="center" wrapText="1"/>
    </xf>
    <xf numFmtId="3" fontId="17" fillId="46" borderId="104" xfId="0" applyNumberFormat="1" applyFont="1" applyFill="1" applyBorder="1" applyAlignment="1">
      <alignment vertical="center"/>
    </xf>
    <xf numFmtId="3" fontId="86" fillId="0" borderId="33" xfId="0" applyNumberFormat="1" applyFont="1" applyBorder="1" applyAlignment="1">
      <alignment vertical="center"/>
    </xf>
    <xf numFmtId="3" fontId="86" fillId="0" borderId="96" xfId="0" applyNumberFormat="1" applyFont="1" applyBorder="1" applyAlignment="1">
      <alignment vertical="center"/>
    </xf>
    <xf numFmtId="3" fontId="86" fillId="0" borderId="65" xfId="0" applyNumberFormat="1" applyFont="1" applyBorder="1" applyAlignment="1">
      <alignment vertical="center"/>
    </xf>
    <xf numFmtId="3" fontId="86" fillId="0" borderId="104" xfId="0" applyNumberFormat="1" applyFont="1" applyBorder="1" applyAlignment="1">
      <alignment vertical="center"/>
    </xf>
    <xf numFmtId="3" fontId="86" fillId="0" borderId="33" xfId="135" applyNumberFormat="1" applyFont="1" applyBorder="1" applyAlignment="1">
      <alignment horizontal="right" vertical="center"/>
    </xf>
    <xf numFmtId="3" fontId="86" fillId="0" borderId="53" xfId="135" applyNumberFormat="1" applyFont="1" applyBorder="1" applyAlignment="1">
      <alignment horizontal="right" vertical="center"/>
    </xf>
    <xf numFmtId="3" fontId="86" fillId="0" borderId="96" xfId="135" applyNumberFormat="1" applyFont="1" applyBorder="1" applyAlignment="1">
      <alignment horizontal="right" vertical="center"/>
    </xf>
    <xf numFmtId="3" fontId="86" fillId="0" borderId="104" xfId="135" applyNumberFormat="1" applyFont="1" applyBorder="1" applyAlignment="1">
      <alignment horizontal="right" vertical="center"/>
    </xf>
    <xf numFmtId="3" fontId="86" fillId="0" borderId="53" xfId="0" applyNumberFormat="1" applyFont="1" applyBorder="1" applyAlignment="1">
      <alignment vertical="center"/>
    </xf>
    <xf numFmtId="3" fontId="86" fillId="0" borderId="61" xfId="135" applyNumberFormat="1" applyFont="1" applyBorder="1" applyAlignment="1">
      <alignment horizontal="right" vertical="center"/>
    </xf>
    <xf numFmtId="3" fontId="86" fillId="0" borderId="65" xfId="135" applyNumberFormat="1" applyFont="1" applyBorder="1" applyAlignment="1">
      <alignment horizontal="right" vertical="center"/>
    </xf>
    <xf numFmtId="3" fontId="86" fillId="0" borderId="73" xfId="135" applyNumberFormat="1" applyFont="1" applyBorder="1" applyAlignment="1">
      <alignment horizontal="right" vertical="center"/>
    </xf>
    <xf numFmtId="3" fontId="86" fillId="0" borderId="57" xfId="135" applyNumberFormat="1" applyFont="1" applyBorder="1" applyAlignment="1">
      <alignment horizontal="right" vertical="center"/>
    </xf>
    <xf numFmtId="3" fontId="86" fillId="0" borderId="73" xfId="0" applyNumberFormat="1" applyFont="1" applyBorder="1" applyAlignment="1">
      <alignment vertical="center"/>
    </xf>
    <xf numFmtId="3" fontId="86" fillId="51" borderId="33" xfId="0" applyNumberFormat="1" applyFont="1" applyFill="1" applyBorder="1" applyAlignment="1">
      <alignment horizontal="right" vertical="center"/>
    </xf>
    <xf numFmtId="3" fontId="86" fillId="0" borderId="33" xfId="0" applyNumberFormat="1" applyFont="1" applyBorder="1" applyAlignment="1">
      <alignment horizontal="right" vertical="center"/>
    </xf>
    <xf numFmtId="3" fontId="103" fillId="0" borderId="0" xfId="0" applyNumberFormat="1" applyFont="1"/>
    <xf numFmtId="0" fontId="15" fillId="0" borderId="0" xfId="153" applyFont="1"/>
    <xf numFmtId="0" fontId="104" fillId="0" borderId="0" xfId="153" applyFont="1"/>
    <xf numFmtId="3" fontId="105" fillId="0" borderId="0" xfId="153" applyNumberFormat="1" applyFont="1"/>
    <xf numFmtId="3" fontId="106" fillId="0" borderId="0" xfId="0" applyNumberFormat="1" applyFont="1" applyAlignment="1">
      <alignment vertical="center"/>
    </xf>
    <xf numFmtId="0" fontId="16" fillId="46" borderId="21" xfId="180" applyFont="1" applyFill="1" applyBorder="1" applyAlignment="1">
      <alignment horizontal="center" vertical="center" wrapText="1"/>
    </xf>
    <xf numFmtId="2" fontId="16" fillId="46" borderId="21" xfId="180" applyNumberFormat="1" applyFont="1" applyFill="1" applyBorder="1" applyAlignment="1">
      <alignment horizontal="center" vertical="center" wrapText="1"/>
    </xf>
    <xf numFmtId="0" fontId="1" fillId="0" borderId="0" xfId="184"/>
    <xf numFmtId="0" fontId="107" fillId="49" borderId="38" xfId="184" applyFont="1" applyFill="1" applyBorder="1" applyAlignment="1">
      <alignment vertical="center" wrapText="1"/>
    </xf>
    <xf numFmtId="0" fontId="1" fillId="0" borderId="0" xfId="184" applyBorder="1"/>
    <xf numFmtId="0" fontId="1" fillId="0" borderId="33" xfId="184" applyBorder="1"/>
    <xf numFmtId="0" fontId="15" fillId="0" borderId="113" xfId="180" applyFont="1" applyBorder="1" applyAlignment="1">
      <alignment horizontal="center" vertical="center" wrapText="1"/>
    </xf>
    <xf numFmtId="0" fontId="15" fillId="0" borderId="19" xfId="180" applyFont="1" applyBorder="1" applyAlignment="1">
      <alignment horizontal="center" vertical="center" wrapText="1"/>
    </xf>
    <xf numFmtId="0" fontId="15" fillId="0" borderId="19" xfId="132" applyFont="1" applyBorder="1" applyAlignment="1">
      <alignment vertical="center"/>
    </xf>
    <xf numFmtId="170" fontId="15" fillId="0" borderId="19" xfId="182" applyNumberFormat="1" applyFont="1" applyBorder="1"/>
    <xf numFmtId="170" fontId="1" fillId="0" borderId="19" xfId="184" applyNumberFormat="1" applyBorder="1" applyAlignment="1">
      <alignment vertical="top" wrapText="1"/>
    </xf>
    <xf numFmtId="170" fontId="15" fillId="0" borderId="114" xfId="182" applyNumberFormat="1" applyFont="1" applyBorder="1"/>
    <xf numFmtId="0" fontId="15" fillId="0" borderId="115" xfId="180" applyFont="1" applyBorder="1" applyAlignment="1">
      <alignment horizontal="center" vertical="center" wrapText="1"/>
    </xf>
    <xf numFmtId="0" fontId="15" fillId="0" borderId="33" xfId="180" applyFont="1" applyBorder="1" applyAlignment="1">
      <alignment horizontal="center" vertical="center" wrapText="1"/>
    </xf>
    <xf numFmtId="0" fontId="15" fillId="0" borderId="33" xfId="183" applyFont="1" applyBorder="1" applyAlignment="1">
      <alignment horizontal="left" vertical="center" wrapText="1"/>
    </xf>
    <xf numFmtId="170" fontId="15" fillId="0" borderId="33" xfId="180" applyNumberFormat="1" applyFont="1" applyBorder="1" applyAlignment="1">
      <alignment vertical="center"/>
    </xf>
    <xf numFmtId="170" fontId="83" fillId="0" borderId="33" xfId="180" applyNumberFormat="1" applyFont="1" applyBorder="1" applyAlignment="1">
      <alignment vertical="center"/>
    </xf>
    <xf numFmtId="0" fontId="102" fillId="0" borderId="33" xfId="184" applyFont="1" applyBorder="1" applyAlignment="1">
      <alignment vertical="top" wrapText="1"/>
    </xf>
    <xf numFmtId="170" fontId="15" fillId="0" borderId="116" xfId="182" applyNumberFormat="1" applyFont="1" applyBorder="1"/>
    <xf numFmtId="171" fontId="83" fillId="0" borderId="33" xfId="177" applyNumberFormat="1" applyFont="1" applyFill="1" applyBorder="1" applyAlignment="1">
      <alignment vertical="center"/>
    </xf>
    <xf numFmtId="171" fontId="15" fillId="0" borderId="33" xfId="177" applyNumberFormat="1" applyFont="1" applyFill="1" applyBorder="1" applyAlignment="1">
      <alignment vertical="center"/>
    </xf>
    <xf numFmtId="172" fontId="15" fillId="0" borderId="33" xfId="177" applyNumberFormat="1" applyFont="1" applyFill="1" applyBorder="1" applyAlignment="1">
      <alignment horizontal="right" vertical="center"/>
    </xf>
    <xf numFmtId="0" fontId="15" fillId="0" borderId="33" xfId="132" applyFont="1" applyBorder="1" applyAlignment="1">
      <alignment vertical="center"/>
    </xf>
    <xf numFmtId="0" fontId="15" fillId="0" borderId="33" xfId="180" applyFont="1" applyBorder="1" applyAlignment="1">
      <alignment vertical="center"/>
    </xf>
    <xf numFmtId="165" fontId="83" fillId="0" borderId="33" xfId="180" applyNumberFormat="1" applyFont="1" applyBorder="1" applyAlignment="1">
      <alignment vertical="center"/>
    </xf>
    <xf numFmtId="0" fontId="15" fillId="0" borderId="33" xfId="132" applyFont="1" applyBorder="1" applyAlignment="1">
      <alignment vertical="center" wrapText="1"/>
    </xf>
    <xf numFmtId="0" fontId="83" fillId="0" borderId="33" xfId="180" applyFont="1" applyBorder="1" applyAlignment="1">
      <alignment vertical="center"/>
    </xf>
    <xf numFmtId="171" fontId="83" fillId="0" borderId="33" xfId="178" applyNumberFormat="1" applyFont="1" applyFill="1" applyBorder="1" applyAlignment="1">
      <alignment horizontal="right" vertical="center"/>
    </xf>
    <xf numFmtId="170" fontId="15" fillId="0" borderId="33" xfId="180" applyNumberFormat="1" applyFont="1" applyBorder="1"/>
    <xf numFmtId="170" fontId="83" fillId="0" borderId="33" xfId="180" applyNumberFormat="1" applyFont="1" applyBorder="1"/>
    <xf numFmtId="0" fontId="83" fillId="0" borderId="33" xfId="180" applyFont="1" applyBorder="1"/>
    <xf numFmtId="0" fontId="15" fillId="0" borderId="33" xfId="180" applyFont="1" applyBorder="1" applyAlignment="1">
      <alignment vertical="center" wrapText="1"/>
    </xf>
    <xf numFmtId="165" fontId="83" fillId="0" borderId="33" xfId="180" applyNumberFormat="1" applyFont="1" applyBorder="1"/>
    <xf numFmtId="0" fontId="15" fillId="0" borderId="33" xfId="180" applyFont="1" applyBorder="1"/>
    <xf numFmtId="2" fontId="83" fillId="0" borderId="33" xfId="180" applyNumberFormat="1" applyFont="1" applyBorder="1"/>
    <xf numFmtId="170" fontId="15" fillId="0" borderId="33" xfId="180" applyNumberFormat="1" applyFont="1" applyBorder="1" applyAlignment="1">
      <alignment horizontal="right" vertical="center"/>
    </xf>
    <xf numFmtId="0" fontId="24" fillId="46" borderId="115" xfId="132" applyFont="1" applyFill="1" applyBorder="1" applyAlignment="1">
      <alignment horizontal="center" vertical="center"/>
    </xf>
    <xf numFmtId="0" fontId="24" fillId="46" borderId="33" xfId="132" applyFont="1" applyFill="1" applyBorder="1" applyAlignment="1">
      <alignment horizontal="center" vertical="center"/>
    </xf>
    <xf numFmtId="0" fontId="16" fillId="46" borderId="33" xfId="132" applyFont="1" applyFill="1" applyBorder="1" applyAlignment="1">
      <alignment vertical="center"/>
    </xf>
    <xf numFmtId="170" fontId="16" fillId="46" borderId="33" xfId="180" applyNumberFormat="1" applyFont="1" applyFill="1" applyBorder="1"/>
    <xf numFmtId="170" fontId="16" fillId="46" borderId="116" xfId="180" applyNumberFormat="1" applyFont="1" applyFill="1" applyBorder="1"/>
    <xf numFmtId="0" fontId="24" fillId="46" borderId="117" xfId="182" applyFont="1" applyFill="1" applyBorder="1"/>
    <xf numFmtId="0" fontId="24" fillId="46" borderId="118" xfId="182" applyFont="1" applyFill="1" applyBorder="1"/>
    <xf numFmtId="0" fontId="16" fillId="46" borderId="118" xfId="132" applyFont="1" applyFill="1" applyBorder="1" applyAlignment="1">
      <alignment vertical="center"/>
    </xf>
    <xf numFmtId="170" fontId="16" fillId="46" borderId="118" xfId="182" applyNumberFormat="1" applyFont="1" applyFill="1" applyBorder="1"/>
    <xf numFmtId="170" fontId="16" fillId="46" borderId="119" xfId="182" applyNumberFormat="1" applyFont="1" applyFill="1" applyBorder="1"/>
    <xf numFmtId="0" fontId="82" fillId="49" borderId="71" xfId="173" applyFont="1" applyFill="1" applyBorder="1" applyAlignment="1">
      <alignment horizontal="center" vertical="center" wrapText="1"/>
    </xf>
    <xf numFmtId="0" fontId="82" fillId="49" borderId="72" xfId="173" applyFont="1" applyFill="1" applyBorder="1" applyAlignment="1">
      <alignment horizontal="center" vertical="center" wrapText="1"/>
    </xf>
    <xf numFmtId="0" fontId="17" fillId="49" borderId="73" xfId="150" applyFont="1" applyFill="1" applyBorder="1" applyAlignment="1">
      <alignment horizontal="center" vertical="center" wrapText="1"/>
    </xf>
    <xf numFmtId="0" fontId="82" fillId="49" borderId="69" xfId="173" applyFont="1" applyFill="1" applyBorder="1" applyAlignment="1">
      <alignment horizontal="center" vertical="center" wrapText="1"/>
    </xf>
    <xf numFmtId="0" fontId="9" fillId="46" borderId="29" xfId="0" applyFont="1" applyFill="1" applyBorder="1" applyAlignment="1">
      <alignment horizontal="center" vertical="center"/>
    </xf>
    <xf numFmtId="0" fontId="9" fillId="46" borderId="24" xfId="0" applyFont="1" applyFill="1" applyBorder="1" applyAlignment="1">
      <alignment horizontal="center" vertical="center"/>
    </xf>
    <xf numFmtId="0" fontId="17" fillId="46" borderId="13" xfId="127" applyFont="1" applyFill="1" applyBorder="1" applyAlignment="1">
      <alignment horizontal="center" vertical="center"/>
    </xf>
    <xf numFmtId="0" fontId="17" fillId="46" borderId="14" xfId="127" applyFont="1" applyFill="1" applyBorder="1" applyAlignment="1">
      <alignment horizontal="center" vertical="center"/>
    </xf>
    <xf numFmtId="0" fontId="62" fillId="46" borderId="13" xfId="0" applyFont="1" applyFill="1" applyBorder="1" applyAlignment="1">
      <alignment horizontal="center" vertical="center" wrapText="1"/>
    </xf>
    <xf numFmtId="0" fontId="62" fillId="46" borderId="13" xfId="0" applyFont="1" applyFill="1" applyBorder="1" applyAlignment="1">
      <alignment horizontal="center" vertical="center"/>
    </xf>
    <xf numFmtId="0" fontId="15" fillId="0" borderId="104" xfId="0" applyFont="1" applyBorder="1" applyAlignment="1">
      <alignment horizontal="left" vertical="top" wrapText="1"/>
    </xf>
    <xf numFmtId="0" fontId="9" fillId="46" borderId="31" xfId="0" applyFont="1" applyFill="1" applyBorder="1" applyAlignment="1">
      <alignment horizontal="center" vertical="center"/>
    </xf>
    <xf numFmtId="0" fontId="9" fillId="46" borderId="3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6" fillId="46" borderId="31" xfId="127" applyFont="1" applyFill="1" applyBorder="1" applyAlignment="1">
      <alignment horizontal="center" vertical="center"/>
    </xf>
    <xf numFmtId="0" fontId="16" fillId="46" borderId="31" xfId="153" applyFont="1" applyFill="1" applyBorder="1" applyAlignment="1">
      <alignment horizontal="center"/>
    </xf>
    <xf numFmtId="0" fontId="17" fillId="46" borderId="13" xfId="0" applyFont="1" applyFill="1" applyBorder="1" applyAlignment="1">
      <alignment horizontal="center"/>
    </xf>
    <xf numFmtId="3" fontId="17" fillId="46" borderId="13" xfId="135" applyNumberFormat="1" applyFont="1" applyFill="1" applyBorder="1" applyAlignment="1">
      <alignment horizontal="center" vertical="center" wrapText="1"/>
    </xf>
    <xf numFmtId="0" fontId="17" fillId="46" borderId="45" xfId="0" applyFont="1" applyFill="1" applyBorder="1" applyAlignment="1">
      <alignment horizontal="center" vertical="center"/>
    </xf>
    <xf numFmtId="0" fontId="17" fillId="46" borderId="37" xfId="0" applyFont="1" applyFill="1" applyBorder="1" applyAlignment="1">
      <alignment horizontal="center" vertical="center"/>
    </xf>
    <xf numFmtId="0" fontId="17" fillId="46" borderId="34" xfId="0" applyFont="1" applyFill="1" applyBorder="1" applyAlignment="1">
      <alignment horizontal="center" vertical="center"/>
    </xf>
    <xf numFmtId="0" fontId="17" fillId="46" borderId="36" xfId="0" applyFont="1" applyFill="1" applyBorder="1" applyAlignment="1">
      <alignment horizontal="center" vertical="center" wrapText="1"/>
    </xf>
    <xf numFmtId="0" fontId="17" fillId="46" borderId="19" xfId="0" applyFont="1" applyFill="1" applyBorder="1" applyAlignment="1">
      <alignment horizontal="center" vertical="center" wrapText="1"/>
    </xf>
    <xf numFmtId="3" fontId="20" fillId="46" borderId="36" xfId="135" applyNumberFormat="1" applyFont="1" applyFill="1" applyBorder="1" applyAlignment="1">
      <alignment horizontal="center" vertical="center" wrapText="1"/>
    </xf>
    <xf numFmtId="3" fontId="20" fillId="46" borderId="19" xfId="135" applyNumberFormat="1" applyFont="1" applyFill="1" applyBorder="1" applyAlignment="1">
      <alignment horizontal="center" vertical="center" wrapText="1"/>
    </xf>
    <xf numFmtId="3" fontId="17" fillId="46" borderId="60" xfId="0" applyNumberFormat="1" applyFont="1" applyFill="1" applyBorder="1" applyAlignment="1">
      <alignment horizontal="left" vertical="center"/>
    </xf>
    <xf numFmtId="3" fontId="17" fillId="46" borderId="58" xfId="0" applyNumberFormat="1" applyFont="1" applyFill="1" applyBorder="1" applyAlignment="1">
      <alignment horizontal="left" vertical="center"/>
    </xf>
    <xf numFmtId="3" fontId="17" fillId="0" borderId="60" xfId="0" applyNumberFormat="1" applyFont="1" applyBorder="1" applyAlignment="1">
      <alignment horizontal="left" vertical="center"/>
    </xf>
    <xf numFmtId="3" fontId="17" fillId="0" borderId="58" xfId="0" applyNumberFormat="1" applyFont="1" applyBorder="1" applyAlignment="1">
      <alignment horizontal="left" vertical="center"/>
    </xf>
    <xf numFmtId="3" fontId="20" fillId="46" borderId="29" xfId="135" applyNumberFormat="1" applyFont="1" applyFill="1" applyBorder="1" applyAlignment="1">
      <alignment horizontal="center" vertical="center" wrapText="1"/>
    </xf>
    <xf numFmtId="3" fontId="20" fillId="46" borderId="24" xfId="135" applyNumberFormat="1" applyFont="1" applyFill="1" applyBorder="1" applyAlignment="1">
      <alignment horizontal="center" vertical="center" wrapText="1"/>
    </xf>
    <xf numFmtId="3" fontId="20" fillId="46" borderId="29" xfId="135" applyNumberFormat="1" applyFont="1" applyFill="1" applyBorder="1" applyAlignment="1">
      <alignment horizontal="center" vertical="center"/>
    </xf>
    <xf numFmtId="3" fontId="20" fillId="46" borderId="24" xfId="135" applyNumberFormat="1" applyFont="1" applyFill="1" applyBorder="1" applyAlignment="1">
      <alignment horizontal="center" vertical="center"/>
    </xf>
    <xf numFmtId="3" fontId="20" fillId="46" borderId="48" xfId="135" applyNumberFormat="1" applyFont="1" applyFill="1" applyBorder="1" applyAlignment="1">
      <alignment horizontal="center" vertical="center" textRotation="90" wrapText="1"/>
    </xf>
    <xf numFmtId="3" fontId="20" fillId="46" borderId="23" xfId="135" applyNumberFormat="1" applyFont="1" applyFill="1" applyBorder="1" applyAlignment="1">
      <alignment horizontal="center" vertical="center" textRotation="90" wrapText="1"/>
    </xf>
    <xf numFmtId="0" fontId="16" fillId="49" borderId="61" xfId="128" applyFont="1" applyFill="1" applyBorder="1" applyAlignment="1">
      <alignment vertical="center" wrapText="1"/>
    </xf>
    <xf numFmtId="0" fontId="16" fillId="49" borderId="61" xfId="0" applyFont="1" applyFill="1" applyBorder="1" applyAlignment="1">
      <alignment wrapText="1"/>
    </xf>
    <xf numFmtId="0" fontId="62" fillId="46" borderId="63" xfId="0" applyFont="1" applyFill="1" applyBorder="1" applyAlignment="1">
      <alignment horizontal="center" vertical="center" wrapText="1"/>
    </xf>
    <xf numFmtId="0" fontId="62" fillId="46" borderId="62" xfId="0" applyFont="1" applyFill="1" applyBorder="1" applyAlignment="1">
      <alignment horizontal="center" vertical="center" wrapText="1"/>
    </xf>
    <xf numFmtId="0" fontId="17" fillId="49" borderId="61" xfId="0" applyFont="1" applyFill="1" applyBorder="1" applyAlignment="1">
      <alignment horizontal="center" vertical="center" wrapText="1"/>
    </xf>
    <xf numFmtId="0" fontId="17" fillId="46" borderId="13" xfId="128" applyFont="1" applyFill="1" applyBorder="1" applyAlignment="1">
      <alignment horizontal="center" vertical="center"/>
    </xf>
    <xf numFmtId="0" fontId="62" fillId="46" borderId="7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7" fillId="46" borderId="63" xfId="135" applyNumberFormat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2" fontId="16" fillId="49" borderId="110" xfId="180" applyNumberFormat="1" applyFont="1" applyFill="1" applyBorder="1" applyAlignment="1">
      <alignment horizontal="center" vertical="center" wrapText="1"/>
    </xf>
    <xf numFmtId="2" fontId="16" fillId="49" borderId="112" xfId="180" applyNumberFormat="1" applyFont="1" applyFill="1" applyBorder="1" applyAlignment="1">
      <alignment horizontal="center" vertical="center" wrapText="1"/>
    </xf>
    <xf numFmtId="0" fontId="16" fillId="46" borderId="108" xfId="180" applyFont="1" applyFill="1" applyBorder="1" applyAlignment="1">
      <alignment horizontal="center" vertical="center" wrapText="1"/>
    </xf>
    <xf numFmtId="0" fontId="16" fillId="46" borderId="111" xfId="180" applyFont="1" applyFill="1" applyBorder="1" applyAlignment="1">
      <alignment horizontal="center" vertical="center" wrapText="1"/>
    </xf>
    <xf numFmtId="0" fontId="16" fillId="46" borderId="109" xfId="180" applyFont="1" applyFill="1" applyBorder="1" applyAlignment="1">
      <alignment horizontal="center" vertical="center" wrapText="1"/>
    </xf>
    <xf numFmtId="0" fontId="16" fillId="46" borderId="38" xfId="180" applyFont="1" applyFill="1" applyBorder="1" applyAlignment="1">
      <alignment horizontal="center" vertical="center" wrapText="1"/>
    </xf>
    <xf numFmtId="0" fontId="16" fillId="49" borderId="109" xfId="180" applyFont="1" applyFill="1" applyBorder="1" applyAlignment="1">
      <alignment horizontal="center" vertical="center" wrapText="1"/>
    </xf>
    <xf numFmtId="0" fontId="16" fillId="49" borderId="38" xfId="180" applyFont="1" applyFill="1" applyBorder="1" applyAlignment="1">
      <alignment horizontal="center" vertical="center" wrapText="1"/>
    </xf>
    <xf numFmtId="2" fontId="16" fillId="49" borderId="109" xfId="180" applyNumberFormat="1" applyFont="1" applyFill="1" applyBorder="1" applyAlignment="1">
      <alignment horizontal="center" vertical="center" wrapText="1"/>
    </xf>
    <xf numFmtId="2" fontId="16" fillId="49" borderId="38" xfId="18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horizontal="left" vertical="center"/>
    </xf>
    <xf numFmtId="3" fontId="17" fillId="49" borderId="63" xfId="0" applyNumberFormat="1" applyFont="1" applyFill="1" applyBorder="1" applyAlignment="1">
      <alignment horizontal="center" vertical="center" wrapText="1"/>
    </xf>
    <xf numFmtId="3" fontId="17" fillId="49" borderId="62" xfId="0" applyNumberFormat="1" applyFont="1" applyFill="1" applyBorder="1" applyAlignment="1">
      <alignment horizontal="center" vertical="center" wrapText="1"/>
    </xf>
    <xf numFmtId="0" fontId="9" fillId="46" borderId="22" xfId="0" applyFont="1" applyFill="1" applyBorder="1" applyAlignment="1">
      <alignment horizontal="center" vertical="center" wrapText="1"/>
    </xf>
    <xf numFmtId="0" fontId="9" fillId="46" borderId="19" xfId="0" applyFont="1" applyFill="1" applyBorder="1" applyAlignment="1">
      <alignment horizontal="center" vertical="center" wrapText="1"/>
    </xf>
    <xf numFmtId="3" fontId="17" fillId="46" borderId="104" xfId="135" applyNumberFormat="1" applyFont="1" applyFill="1" applyBorder="1" applyAlignment="1">
      <alignment horizontal="center" vertical="center" wrapText="1"/>
    </xf>
    <xf numFmtId="0" fontId="0" fillId="0" borderId="104" xfId="0" applyBorder="1" applyAlignment="1">
      <alignment horizontal="center" vertical="center" wrapText="1"/>
    </xf>
    <xf numFmtId="0" fontId="17" fillId="46" borderId="104" xfId="0" applyFont="1" applyFill="1" applyBorder="1" applyAlignment="1">
      <alignment horizontal="center"/>
    </xf>
    <xf numFmtId="0" fontId="0" fillId="0" borderId="104" xfId="0" applyBorder="1" applyAlignment="1">
      <alignment horizontal="center"/>
    </xf>
  </cellXfs>
  <cellStyles count="185">
    <cellStyle name="1. jelölőszín" xfId="1"/>
    <cellStyle name="2. jelölőszín" xfId="2"/>
    <cellStyle name="20% - 1. jelölőszín" xfId="3" builtinId="30" customBuiltin="1"/>
    <cellStyle name="20% - 1. jelölőszín 2" xfId="4"/>
    <cellStyle name="20% - 2. jelölőszín" xfId="5" builtinId="34" customBuiltin="1"/>
    <cellStyle name="20% - 2. jelölőszín 2" xfId="6"/>
    <cellStyle name="20% - 3. jelölőszín" xfId="7" builtinId="38" customBuiltin="1"/>
    <cellStyle name="20% - 3. jelölőszín 2" xfId="8"/>
    <cellStyle name="20% - 4. jelölőszín" xfId="9" builtinId="42" customBuiltin="1"/>
    <cellStyle name="20% - 4. jelölőszín 2" xfId="10"/>
    <cellStyle name="20% - 5. jelölőszín" xfId="11" builtinId="46" customBuiltin="1"/>
    <cellStyle name="20% - 5. jelölőszín 2" xfId="12"/>
    <cellStyle name="20% - 6. jelölőszín" xfId="13" builtinId="50" customBuiltin="1"/>
    <cellStyle name="20% - 6. jelölőszín 2" xfId="14"/>
    <cellStyle name="20% - Accent1" xfId="15"/>
    <cellStyle name="20% - Accent2" xfId="16"/>
    <cellStyle name="20% - Accent3" xfId="17"/>
    <cellStyle name="20% - Accent4" xfId="18"/>
    <cellStyle name="20% - Accent5" xfId="19"/>
    <cellStyle name="20% - Accent6" xfId="20"/>
    <cellStyle name="3. jelölőszín" xfId="21"/>
    <cellStyle name="4. jelölőszín" xfId="22"/>
    <cellStyle name="40% - 1. jelölőszín" xfId="23" builtinId="31" customBuiltin="1"/>
    <cellStyle name="40% - 1. jelölőszín 2" xfId="24"/>
    <cellStyle name="40% - 2. jelölőszín" xfId="25" builtinId="35" customBuiltin="1"/>
    <cellStyle name="40% - 2. jelölőszín 2" xfId="26"/>
    <cellStyle name="40% - 3. jelölőszín" xfId="27" builtinId="39" customBuiltin="1"/>
    <cellStyle name="40% - 3. jelölőszín 2" xfId="28"/>
    <cellStyle name="40% - 4. jelölőszín" xfId="29" builtinId="43" customBuiltin="1"/>
    <cellStyle name="40% - 4. jelölőszín 2" xfId="30"/>
    <cellStyle name="40% - 5. jelölőszín" xfId="31" builtinId="47" customBuiltin="1"/>
    <cellStyle name="40% - 5. jelölőszín 2" xfId="32"/>
    <cellStyle name="40% - 6. jelölőszín" xfId="33" builtinId="51" customBuiltin="1"/>
    <cellStyle name="40% - 6. jelölőszín 2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5. jelölőszín" xfId="41"/>
    <cellStyle name="6. jelölőszín" xfId="42"/>
    <cellStyle name="60% - 1. jelölőszín" xfId="43" builtinId="32" customBuiltin="1"/>
    <cellStyle name="60% - 1. jelölőszín 2" xfId="44"/>
    <cellStyle name="60% - 2. jelölőszín" xfId="45" builtinId="36" customBuiltin="1"/>
    <cellStyle name="60% - 2. jelölőszín 2" xfId="46"/>
    <cellStyle name="60% - 3. jelölőszín" xfId="47" builtinId="40" customBuiltin="1"/>
    <cellStyle name="60% - 3. jelölőszín 2" xfId="48"/>
    <cellStyle name="60% - 4. jelölőszín" xfId="49" builtinId="44" customBuiltin="1"/>
    <cellStyle name="60% - 4. jelölőszín 2" xfId="50"/>
    <cellStyle name="60% - 5. jelölőszín" xfId="51" builtinId="48" customBuiltin="1"/>
    <cellStyle name="60% - 5. jelölőszín 2" xfId="52"/>
    <cellStyle name="60% - 6. jelölőszín" xfId="53" builtinId="52" customBuiltin="1"/>
    <cellStyle name="60% - 6. jelölőszín 2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" xfId="61"/>
    <cellStyle name="Accent2" xfId="62"/>
    <cellStyle name="Accent3" xfId="63"/>
    <cellStyle name="Accent4" xfId="64"/>
    <cellStyle name="Accent5" xfId="65"/>
    <cellStyle name="Accent6" xfId="66"/>
    <cellStyle name="Bad" xfId="67"/>
    <cellStyle name="Bevitel" xfId="68" builtinId="20" customBuiltin="1"/>
    <cellStyle name="Bevitel 2" xfId="69"/>
    <cellStyle name="Calculation" xfId="70"/>
    <cellStyle name="Check Cell" xfId="71"/>
    <cellStyle name="Cím" xfId="72" builtinId="15" customBuiltin="1"/>
    <cellStyle name="Címsor 1" xfId="73" builtinId="16" customBuiltin="1"/>
    <cellStyle name="Címsor 1 2" xfId="74"/>
    <cellStyle name="Címsor 2" xfId="75" builtinId="17" customBuiltin="1"/>
    <cellStyle name="Címsor 2 2" xfId="76"/>
    <cellStyle name="Címsor 3" xfId="77" builtinId="18" customBuiltin="1"/>
    <cellStyle name="Címsor 3 2" xfId="78"/>
    <cellStyle name="Címsor 4" xfId="79" builtinId="19" customBuiltin="1"/>
    <cellStyle name="Címsor 4 2" xfId="80"/>
    <cellStyle name="Ellenőrzőcella" xfId="81" builtinId="23" customBuiltin="1"/>
    <cellStyle name="Ellenőrzőcella 2" xfId="82"/>
    <cellStyle name="Explanatory Text" xfId="83"/>
    <cellStyle name="Ezres" xfId="84" builtinId="3"/>
    <cellStyle name="Ezres 2" xfId="85"/>
    <cellStyle name="Ezres 2 2" xfId="179"/>
    <cellStyle name="Ezres 3" xfId="152"/>
    <cellStyle name="Ezres 4" xfId="168"/>
    <cellStyle name="Ezres 5" xfId="170"/>
    <cellStyle name="Ezres 5 2" xfId="172"/>
    <cellStyle name="Ezres 6" xfId="171"/>
    <cellStyle name="Ezres 7" xfId="178"/>
    <cellStyle name="Ezres 8" xfId="177"/>
    <cellStyle name="Figyelmeztetés" xfId="86" builtinId="11" customBuiltin="1"/>
    <cellStyle name="Figyelmeztetés 2" xfId="87"/>
    <cellStyle name="Good" xfId="88"/>
    <cellStyle name="Heading 1" xfId="89"/>
    <cellStyle name="Heading 2" xfId="90"/>
    <cellStyle name="Heading 3" xfId="91"/>
    <cellStyle name="Heading 4" xfId="92"/>
    <cellStyle name="Hivatkozott cella" xfId="93" builtinId="24" customBuiltin="1"/>
    <cellStyle name="Hivatkozott cella 2" xfId="94"/>
    <cellStyle name="Input" xfId="95"/>
    <cellStyle name="Jegyzet" xfId="96" builtinId="10" customBuiltin="1"/>
    <cellStyle name="Jegyzet 2" xfId="97"/>
    <cellStyle name="Jelölőszín (1)" xfId="98"/>
    <cellStyle name="Jelölőszín (1) 2" xfId="99"/>
    <cellStyle name="Jelölőszín (2)" xfId="100"/>
    <cellStyle name="Jelölőszín (2) 2" xfId="101"/>
    <cellStyle name="Jelölőszín (3)" xfId="102"/>
    <cellStyle name="Jelölőszín (3) 2" xfId="103"/>
    <cellStyle name="Jelölőszín (4)" xfId="104"/>
    <cellStyle name="Jelölőszín (4) 2" xfId="105"/>
    <cellStyle name="Jelölőszín (5)" xfId="106"/>
    <cellStyle name="Jelölőszín (5) 2" xfId="107"/>
    <cellStyle name="Jelölőszín (6)" xfId="108"/>
    <cellStyle name="Jelölőszín (6) 2" xfId="109"/>
    <cellStyle name="Jelölőszín 1" xfId="110"/>
    <cellStyle name="Jelölőszín 2" xfId="111"/>
    <cellStyle name="Jelölőszín 3" xfId="112"/>
    <cellStyle name="Jelölőszín 4" xfId="113"/>
    <cellStyle name="Jelölőszín 5" xfId="114"/>
    <cellStyle name="Jelölőszín 6" xfId="115"/>
    <cellStyle name="Jó" xfId="116" builtinId="26" customBuiltin="1"/>
    <cellStyle name="Jó 2" xfId="117"/>
    <cellStyle name="Kimenet" xfId="118" builtinId="21" customBuiltin="1"/>
    <cellStyle name="Kimenet 2" xfId="119"/>
    <cellStyle name="Linked Cell" xfId="120"/>
    <cellStyle name="Magyarázó szöveg" xfId="121" builtinId="53" customBuiltin="1"/>
    <cellStyle name="Magyarázó szöveg 2" xfId="122"/>
    <cellStyle name="Neutral" xfId="123"/>
    <cellStyle name="Normál" xfId="0" builtinId="0"/>
    <cellStyle name="Normál 2" xfId="124"/>
    <cellStyle name="Normál 3" xfId="125"/>
    <cellStyle name="Normál 4" xfId="126"/>
    <cellStyle name="Normál 5" xfId="151"/>
    <cellStyle name="Normál 5 2" xfId="167"/>
    <cellStyle name="Normál 5 3" xfId="169"/>
    <cellStyle name="Normál 5 3 2 2 2" xfId="173"/>
    <cellStyle name="Normál 6" xfId="176"/>
    <cellStyle name="Normál 6 2" xfId="181"/>
    <cellStyle name="Normál 7" xfId="184"/>
    <cellStyle name="Normál_   5    (2)" xfId="127"/>
    <cellStyle name="Normál_   5    (2)_KÖLTSÉGVETÉS 2015 intézmények " xfId="128"/>
    <cellStyle name="Normál_   5-a    (2)" xfId="153"/>
    <cellStyle name="Normál_   7   x" xfId="129"/>
    <cellStyle name="Normál_   7   x_Másolat eredetije2014. műk-beru-felúj. 2" xfId="130"/>
    <cellStyle name="Normál_   7   x_Másolat eredetije2014. műk-beru-felúj._6.a" xfId="158"/>
    <cellStyle name="Normál_  3   _2010.évi állami_állami  tám." xfId="150"/>
    <cellStyle name="Normál_2012. évi beszámoló 5.a 6a" xfId="160"/>
    <cellStyle name="Normál_213_évi_költségvetés_MCS" xfId="156"/>
    <cellStyle name="Normál_3" xfId="159"/>
    <cellStyle name="Normál_Intézmények 2014" xfId="131"/>
    <cellStyle name="Normál_INTKIA96" xfId="132"/>
    <cellStyle name="Normál_Létszám 2014. évi ktgvetés_2014.IV.negyedévi létszám ei. módosítás és 2015_Létszámok 2019. január 1" xfId="182"/>
    <cellStyle name="Normál_Másolat eredetije2014. műk-beru-felúj." xfId="163"/>
    <cellStyle name="Normál_Munka1" xfId="183"/>
    <cellStyle name="Normál_Munka2 (2)" xfId="133"/>
    <cellStyle name="Normál_Munka2 (2) 2" xfId="174"/>
    <cellStyle name="Normál_Munka2 (2) 3" xfId="175"/>
    <cellStyle name="Normál_Munka2 (2)_2014.IV.negyedévi létszám ei. módosítás és 2015" xfId="180"/>
    <cellStyle name="Normál_Munka2 (2)_KÖLTSÉGVETÉS 2015 intézmények " xfId="134"/>
    <cellStyle name="Normál_Munka2 (2)_KÖLTSÉGVETÉS_2015." xfId="155"/>
    <cellStyle name="Normál_Munka3 (2)" xfId="154"/>
    <cellStyle name="Normál_Munka3 (2)_Másolat eredetije2014. műk-beru-felúj." xfId="157"/>
    <cellStyle name="Normál_Munka3 (2)_Másolat eredetije2014. műk-beru-felúj._2016. IV.névi módosítás" xfId="161"/>
    <cellStyle name="Normál_Munka3 (2)_Másolat eredetije2014. műk-beru-felúj._2017.KÖLTSÉGVETÉS" xfId="166"/>
    <cellStyle name="Normál_Munka3 (2)_Másolat eredetije2014. műk-beru-felúj._2018. I.névi ei-módosítás" xfId="164"/>
    <cellStyle name="Normál_Munka3 (2)_Másolat eredetije2014. műk-beru-felúj._6.a" xfId="165"/>
    <cellStyle name="Normál_Műszaki Osztály fejlesztés2016" xfId="162"/>
    <cellStyle name="Normál_ÖKIADELÖ" xfId="135"/>
    <cellStyle name="Normal_tanusitv" xfId="136"/>
    <cellStyle name="Note" xfId="137"/>
    <cellStyle name="Output" xfId="138"/>
    <cellStyle name="Összesen" xfId="139" builtinId="25" customBuiltin="1"/>
    <cellStyle name="Összesen 2" xfId="140"/>
    <cellStyle name="Rossz" xfId="141" builtinId="27" customBuiltin="1"/>
    <cellStyle name="Rossz 2" xfId="142"/>
    <cellStyle name="Semleges" xfId="143" builtinId="28" customBuiltin="1"/>
    <cellStyle name="Semleges 2" xfId="144"/>
    <cellStyle name="Számítás" xfId="145" builtinId="22" customBuiltin="1"/>
    <cellStyle name="Számítás 2" xfId="146"/>
    <cellStyle name="Title" xfId="147"/>
    <cellStyle name="Total" xfId="148"/>
    <cellStyle name="Warning Text" xfId="149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zoomScale="93" zoomScaleNormal="93" workbookViewId="0">
      <selection activeCell="A29" sqref="A29:XFD38"/>
    </sheetView>
  </sheetViews>
  <sheetFormatPr defaultColWidth="9.33203125" defaultRowHeight="12" x14ac:dyDescent="0.2"/>
  <cols>
    <col min="1" max="1" width="45.1640625" style="13" customWidth="1"/>
    <col min="2" max="2" width="12.1640625" style="13" customWidth="1"/>
    <col min="3" max="3" width="13" style="13" customWidth="1"/>
    <col min="4" max="5" width="13.6640625" style="13" hidden="1" customWidth="1"/>
    <col min="6" max="6" width="13.6640625" style="13" customWidth="1"/>
    <col min="7" max="7" width="12.6640625" style="1" customWidth="1"/>
    <col min="8" max="8" width="44.83203125" style="13" customWidth="1"/>
    <col min="9" max="9" width="11.6640625" style="13" customWidth="1"/>
    <col min="10" max="10" width="14.1640625" style="13" customWidth="1"/>
    <col min="11" max="12" width="13.83203125" style="13" hidden="1" customWidth="1"/>
    <col min="13" max="13" width="13.83203125" style="13" customWidth="1"/>
    <col min="14" max="14" width="12.5" style="1" customWidth="1"/>
    <col min="15" max="15" width="9.6640625" style="11" hidden="1" customWidth="1"/>
    <col min="16" max="16384" width="9.33203125" style="11"/>
  </cols>
  <sheetData>
    <row r="1" spans="1:15" ht="39.950000000000003" customHeight="1" thickBot="1" x14ac:dyDescent="0.25">
      <c r="A1" s="20"/>
      <c r="B1" s="735" t="s">
        <v>1071</v>
      </c>
      <c r="C1" s="22" t="s">
        <v>838</v>
      </c>
      <c r="D1" s="894" t="s">
        <v>1202</v>
      </c>
      <c r="E1" s="895" t="s">
        <v>1201</v>
      </c>
      <c r="F1" s="21" t="s">
        <v>734</v>
      </c>
      <c r="G1" s="22" t="s">
        <v>839</v>
      </c>
      <c r="H1" s="20" t="s">
        <v>115</v>
      </c>
      <c r="I1" s="735" t="s">
        <v>1071</v>
      </c>
      <c r="J1" s="22" t="s">
        <v>838</v>
      </c>
      <c r="K1" s="894" t="s">
        <v>1202</v>
      </c>
      <c r="L1" s="895" t="s">
        <v>1203</v>
      </c>
      <c r="M1" s="21" t="s">
        <v>734</v>
      </c>
      <c r="N1" s="22" t="s">
        <v>839</v>
      </c>
    </row>
    <row r="2" spans="1:15" s="12" customFormat="1" ht="12.95" customHeight="1" x14ac:dyDescent="0.2">
      <c r="A2" s="419" t="s">
        <v>152</v>
      </c>
      <c r="B2" s="736"/>
      <c r="C2" s="336"/>
      <c r="D2" s="896"/>
      <c r="E2" s="897"/>
      <c r="F2" s="893"/>
      <c r="G2" s="336"/>
      <c r="H2" s="419" t="s">
        <v>153</v>
      </c>
      <c r="I2" s="419"/>
      <c r="J2" s="362"/>
      <c r="K2" s="900"/>
      <c r="L2" s="901"/>
      <c r="M2" s="892"/>
      <c r="N2" s="362"/>
    </row>
    <row r="3" spans="1:15" ht="24.95" customHeight="1" x14ac:dyDescent="0.2">
      <c r="A3" s="368" t="s">
        <v>62</v>
      </c>
      <c r="B3" s="368">
        <v>8198586</v>
      </c>
      <c r="C3" s="359">
        <v>8103587</v>
      </c>
      <c r="D3" s="898">
        <v>898274</v>
      </c>
      <c r="E3" s="899">
        <f>táj1!E189</f>
        <v>150290</v>
      </c>
      <c r="F3" s="678">
        <f>SUM(D3:E3)</f>
        <v>1048564</v>
      </c>
      <c r="G3" s="359">
        <f>C3+F3</f>
        <v>9152151</v>
      </c>
      <c r="H3" s="368" t="s">
        <v>180</v>
      </c>
      <c r="I3" s="368">
        <v>11142143</v>
      </c>
      <c r="J3" s="359">
        <v>12211496</v>
      </c>
      <c r="K3" s="898">
        <v>571773</v>
      </c>
      <c r="L3" s="899">
        <f>táj4!D22+táj4!E22+táj4!F22+táj4!G22+táj4!H22</f>
        <v>116674</v>
      </c>
      <c r="M3" s="678">
        <f>SUM(K3:L3)</f>
        <v>688447</v>
      </c>
      <c r="N3" s="359">
        <f>J3+M3</f>
        <v>12899943</v>
      </c>
    </row>
    <row r="4" spans="1:15" ht="15" customHeight="1" x14ac:dyDescent="0.2">
      <c r="A4" s="368" t="s">
        <v>64</v>
      </c>
      <c r="B4" s="368">
        <v>9178491</v>
      </c>
      <c r="C4" s="359">
        <v>9347900</v>
      </c>
      <c r="D4" s="898"/>
      <c r="E4" s="899">
        <f>táj1!G189</f>
        <v>408</v>
      </c>
      <c r="F4" s="678">
        <f t="shared" ref="F4:F27" si="0">SUM(D4:E4)</f>
        <v>408</v>
      </c>
      <c r="G4" s="359">
        <f t="shared" ref="G4:G27" si="1">C4+F4</f>
        <v>9348308</v>
      </c>
      <c r="H4" s="368" t="s">
        <v>149</v>
      </c>
      <c r="I4" s="368">
        <v>4570680</v>
      </c>
      <c r="J4" s="359">
        <v>7350700</v>
      </c>
      <c r="K4" s="898">
        <v>314973</v>
      </c>
      <c r="L4" s="899">
        <f>táj2!G651+táj2!H651+táj2!I651+táj2!J651</f>
        <v>-86088</v>
      </c>
      <c r="M4" s="678">
        <f t="shared" ref="M4:M27" si="2">SUM(K4:L4)</f>
        <v>228885</v>
      </c>
      <c r="N4" s="359">
        <f t="shared" ref="N4:N27" si="3">J4+M4</f>
        <v>7579585</v>
      </c>
    </row>
    <row r="5" spans="1:15" ht="22.5" customHeight="1" x14ac:dyDescent="0.2">
      <c r="A5" s="368" t="s">
        <v>65</v>
      </c>
      <c r="B5" s="368">
        <v>5066787</v>
      </c>
      <c r="C5" s="359">
        <v>4395669</v>
      </c>
      <c r="D5" s="898">
        <v>1259678</v>
      </c>
      <c r="E5" s="899">
        <f>táj1!H189-E18</f>
        <v>90475</v>
      </c>
      <c r="F5" s="678">
        <f t="shared" si="0"/>
        <v>1350153</v>
      </c>
      <c r="G5" s="359">
        <f t="shared" si="1"/>
        <v>5745822</v>
      </c>
      <c r="H5" s="368" t="s">
        <v>112</v>
      </c>
      <c r="I5" s="368">
        <v>7015783</v>
      </c>
      <c r="J5" s="359">
        <v>6030945</v>
      </c>
      <c r="K5" s="898">
        <v>879206</v>
      </c>
      <c r="L5" s="899">
        <f>táj2!K651-táj2!K650</f>
        <v>90141</v>
      </c>
      <c r="M5" s="678">
        <f t="shared" si="2"/>
        <v>969347</v>
      </c>
      <c r="N5" s="359">
        <f t="shared" si="3"/>
        <v>7000292</v>
      </c>
    </row>
    <row r="6" spans="1:15" ht="20.100000000000001" customHeight="1" x14ac:dyDescent="0.2">
      <c r="A6" s="368" t="s">
        <v>66</v>
      </c>
      <c r="B6" s="368">
        <v>75182</v>
      </c>
      <c r="C6" s="359"/>
      <c r="D6" s="898">
        <v>48059</v>
      </c>
      <c r="E6" s="899">
        <f>táj1!J189</f>
        <v>22035</v>
      </c>
      <c r="F6" s="678">
        <f t="shared" si="0"/>
        <v>70094</v>
      </c>
      <c r="G6" s="359">
        <f t="shared" si="1"/>
        <v>70094</v>
      </c>
      <c r="H6" s="368" t="s">
        <v>154</v>
      </c>
      <c r="I6" s="368"/>
      <c r="J6" s="359">
        <v>436014</v>
      </c>
      <c r="K6" s="898">
        <v>89077</v>
      </c>
      <c r="L6" s="899">
        <f>táj2!K650</f>
        <v>-54859</v>
      </c>
      <c r="M6" s="678">
        <f t="shared" si="2"/>
        <v>34218</v>
      </c>
      <c r="N6" s="359">
        <f t="shared" si="3"/>
        <v>470232</v>
      </c>
    </row>
    <row r="7" spans="1:15" ht="14.1" customHeight="1" x14ac:dyDescent="0.2">
      <c r="A7" s="419" t="s">
        <v>106</v>
      </c>
      <c r="B7" s="419">
        <f>SUM(B3+B4+B5+B6)</f>
        <v>22519046</v>
      </c>
      <c r="C7" s="419">
        <f>SUM(C3+C4+C5+C6)</f>
        <v>21847156</v>
      </c>
      <c r="D7" s="419">
        <f t="shared" ref="D7:G7" si="4">SUM(D3+D4+D5+D6)</f>
        <v>2206011</v>
      </c>
      <c r="E7" s="419">
        <f t="shared" si="4"/>
        <v>263208</v>
      </c>
      <c r="F7" s="419">
        <f t="shared" si="4"/>
        <v>2469219</v>
      </c>
      <c r="G7" s="419">
        <f t="shared" si="4"/>
        <v>24316375</v>
      </c>
      <c r="H7" s="368" t="s">
        <v>4</v>
      </c>
      <c r="I7" s="368"/>
      <c r="J7" s="359">
        <v>10000</v>
      </c>
      <c r="K7" s="898">
        <v>0</v>
      </c>
      <c r="L7" s="899">
        <f>táj2!K636</f>
        <v>0</v>
      </c>
      <c r="M7" s="678">
        <f t="shared" si="2"/>
        <v>0</v>
      </c>
      <c r="N7" s="359">
        <f t="shared" si="3"/>
        <v>10000</v>
      </c>
    </row>
    <row r="8" spans="1:15" ht="14.1" customHeight="1" x14ac:dyDescent="0.2">
      <c r="A8" s="368" t="s">
        <v>61</v>
      </c>
      <c r="B8" s="419"/>
      <c r="C8" s="419"/>
      <c r="D8" s="900"/>
      <c r="E8" s="901"/>
      <c r="F8" s="678">
        <f t="shared" si="0"/>
        <v>0</v>
      </c>
      <c r="G8" s="359">
        <f t="shared" si="1"/>
        <v>0</v>
      </c>
      <c r="H8" s="419" t="s">
        <v>107</v>
      </c>
      <c r="I8" s="419">
        <f>SUM(I2:I7)</f>
        <v>22728606</v>
      </c>
      <c r="J8" s="419">
        <f>SUM(J2:J7)</f>
        <v>26039155</v>
      </c>
      <c r="K8" s="419">
        <f t="shared" ref="K8:N8" si="5">SUM(K2:K7)</f>
        <v>1855029</v>
      </c>
      <c r="L8" s="419">
        <f t="shared" si="5"/>
        <v>65868</v>
      </c>
      <c r="M8" s="419">
        <f t="shared" si="5"/>
        <v>1920897</v>
      </c>
      <c r="N8" s="419">
        <f t="shared" si="5"/>
        <v>27960052</v>
      </c>
    </row>
    <row r="9" spans="1:15" ht="27.75" customHeight="1" x14ac:dyDescent="0.2">
      <c r="A9" s="368" t="s">
        <v>67</v>
      </c>
      <c r="B9" s="368">
        <v>4122770</v>
      </c>
      <c r="C9" s="405">
        <v>2592710</v>
      </c>
      <c r="D9" s="902">
        <v>-350982</v>
      </c>
      <c r="E9" s="903">
        <v>-197340</v>
      </c>
      <c r="F9" s="678">
        <f t="shared" si="0"/>
        <v>-548322</v>
      </c>
      <c r="G9" s="359">
        <f t="shared" si="1"/>
        <v>2044388</v>
      </c>
      <c r="H9" s="368" t="s">
        <v>701</v>
      </c>
      <c r="I9" s="368">
        <v>198930</v>
      </c>
      <c r="J9" s="368">
        <v>200711</v>
      </c>
      <c r="K9" s="898">
        <v>376316</v>
      </c>
      <c r="L9" s="899">
        <v>0</v>
      </c>
      <c r="M9" s="678">
        <f t="shared" si="2"/>
        <v>376316</v>
      </c>
      <c r="N9" s="359">
        <f t="shared" si="3"/>
        <v>577027</v>
      </c>
    </row>
    <row r="10" spans="1:15" ht="16.149999999999999" customHeight="1" x14ac:dyDescent="0.2">
      <c r="A10" s="368" t="s">
        <v>730</v>
      </c>
      <c r="B10" s="737">
        <v>1686509</v>
      </c>
      <c r="C10" s="437">
        <v>1800000</v>
      </c>
      <c r="D10" s="904"/>
      <c r="E10" s="905"/>
      <c r="F10" s="678">
        <f t="shared" si="0"/>
        <v>0</v>
      </c>
      <c r="G10" s="359">
        <f t="shared" si="1"/>
        <v>1800000</v>
      </c>
      <c r="H10" s="368"/>
      <c r="I10" s="368"/>
      <c r="J10" s="368"/>
      <c r="K10" s="898"/>
      <c r="L10" s="899"/>
      <c r="M10" s="678">
        <f t="shared" si="2"/>
        <v>0</v>
      </c>
      <c r="N10" s="359">
        <f t="shared" si="3"/>
        <v>0</v>
      </c>
    </row>
    <row r="11" spans="1:15" ht="16.149999999999999" customHeight="1" x14ac:dyDescent="0.2">
      <c r="A11" s="678" t="s">
        <v>986</v>
      </c>
      <c r="B11" s="737">
        <v>207278</v>
      </c>
      <c r="C11" s="437"/>
      <c r="D11" s="904">
        <v>376316</v>
      </c>
      <c r="E11" s="905"/>
      <c r="F11" s="678">
        <f t="shared" si="0"/>
        <v>376316</v>
      </c>
      <c r="G11" s="359">
        <f t="shared" si="1"/>
        <v>376316</v>
      </c>
      <c r="H11" s="678"/>
      <c r="I11" s="368"/>
      <c r="J11" s="678"/>
      <c r="K11" s="899"/>
      <c r="L11" s="899"/>
      <c r="M11" s="678">
        <f t="shared" si="2"/>
        <v>0</v>
      </c>
      <c r="N11" s="359">
        <f t="shared" si="3"/>
        <v>0</v>
      </c>
    </row>
    <row r="12" spans="1:15" s="12" customFormat="1" ht="12" customHeight="1" x14ac:dyDescent="0.2">
      <c r="A12" s="25" t="s">
        <v>114</v>
      </c>
      <c r="B12" s="438">
        <f>SUM(B7:B11)</f>
        <v>28535603</v>
      </c>
      <c r="C12" s="438">
        <f>SUM(C7:C11)</f>
        <v>26239866</v>
      </c>
      <c r="D12" s="438">
        <f t="shared" ref="D12:G12" si="6">SUM(D7:D11)</f>
        <v>2231345</v>
      </c>
      <c r="E12" s="438">
        <f t="shared" si="6"/>
        <v>65868</v>
      </c>
      <c r="F12" s="438">
        <f t="shared" si="6"/>
        <v>2297213</v>
      </c>
      <c r="G12" s="438">
        <f t="shared" si="6"/>
        <v>28537079</v>
      </c>
      <c r="H12" s="420" t="s">
        <v>155</v>
      </c>
      <c r="I12" s="420">
        <f>SUM(I8:I11)</f>
        <v>22927536</v>
      </c>
      <c r="J12" s="420">
        <f>SUM(J8:J9)</f>
        <v>26239866</v>
      </c>
      <c r="K12" s="420">
        <f t="shared" ref="K12:N12" si="7">SUM(K8:K9)</f>
        <v>2231345</v>
      </c>
      <c r="L12" s="420">
        <f t="shared" si="7"/>
        <v>65868</v>
      </c>
      <c r="M12" s="420">
        <f t="shared" si="7"/>
        <v>2297213</v>
      </c>
      <c r="N12" s="420">
        <f t="shared" si="7"/>
        <v>28537079</v>
      </c>
      <c r="O12" s="943">
        <f>G12-N12</f>
        <v>0</v>
      </c>
    </row>
    <row r="13" spans="1:15" ht="14.1" customHeight="1" x14ac:dyDescent="0.2">
      <c r="A13" s="419" t="s">
        <v>97</v>
      </c>
      <c r="B13" s="419"/>
      <c r="C13" s="359"/>
      <c r="D13" s="900"/>
      <c r="E13" s="901"/>
      <c r="F13" s="678">
        <f t="shared" si="0"/>
        <v>0</v>
      </c>
      <c r="G13" s="359">
        <f t="shared" si="1"/>
        <v>0</v>
      </c>
      <c r="H13" s="419" t="s">
        <v>96</v>
      </c>
      <c r="I13" s="419"/>
      <c r="J13" s="419"/>
      <c r="K13" s="900"/>
      <c r="L13" s="901"/>
      <c r="M13" s="678">
        <f t="shared" si="2"/>
        <v>0</v>
      </c>
      <c r="N13" s="359">
        <f t="shared" si="3"/>
        <v>0</v>
      </c>
      <c r="O13" s="943">
        <f t="shared" ref="O13:O28" si="8">G13-N13</f>
        <v>0</v>
      </c>
    </row>
    <row r="14" spans="1:15" ht="24" customHeight="1" x14ac:dyDescent="0.2">
      <c r="A14" s="368" t="s">
        <v>63</v>
      </c>
      <c r="B14" s="368">
        <v>2527273</v>
      </c>
      <c r="C14" s="359">
        <v>1665620</v>
      </c>
      <c r="D14" s="898">
        <v>2763326</v>
      </c>
      <c r="E14" s="899">
        <f>táj1!F189</f>
        <v>392129</v>
      </c>
      <c r="F14" s="678">
        <f t="shared" si="0"/>
        <v>3155455</v>
      </c>
      <c r="G14" s="359">
        <f t="shared" si="1"/>
        <v>4821075</v>
      </c>
      <c r="H14" s="368" t="s">
        <v>68</v>
      </c>
      <c r="I14" s="368">
        <v>1556518</v>
      </c>
      <c r="J14" s="368">
        <v>575452</v>
      </c>
      <c r="K14" s="898">
        <v>-374125</v>
      </c>
      <c r="L14" s="899">
        <f>táj2!N653</f>
        <v>394</v>
      </c>
      <c r="M14" s="678">
        <f t="shared" si="2"/>
        <v>-373731</v>
      </c>
      <c r="N14" s="359">
        <f t="shared" si="3"/>
        <v>201721</v>
      </c>
      <c r="O14" s="943"/>
    </row>
    <row r="15" spans="1:15" ht="24" customHeight="1" x14ac:dyDescent="0.2">
      <c r="A15" s="368" t="s">
        <v>700</v>
      </c>
      <c r="B15" s="368">
        <v>536690</v>
      </c>
      <c r="C15" s="359">
        <v>214221</v>
      </c>
      <c r="D15" s="898">
        <v>163146</v>
      </c>
      <c r="E15" s="899">
        <f>táj1!I189</f>
        <v>2413</v>
      </c>
      <c r="F15" s="678">
        <f t="shared" si="0"/>
        <v>165559</v>
      </c>
      <c r="G15" s="359">
        <f t="shared" si="1"/>
        <v>379780</v>
      </c>
      <c r="H15" s="368" t="s">
        <v>9</v>
      </c>
      <c r="I15" s="368"/>
      <c r="J15" s="368"/>
      <c r="K15" s="898">
        <v>0</v>
      </c>
      <c r="L15" s="899">
        <f>táj2!N652</f>
        <v>0</v>
      </c>
      <c r="M15" s="678">
        <f t="shared" si="2"/>
        <v>0</v>
      </c>
      <c r="N15" s="359">
        <f t="shared" si="3"/>
        <v>0</v>
      </c>
      <c r="O15" s="943"/>
    </row>
    <row r="16" spans="1:15" ht="17.45" customHeight="1" x14ac:dyDescent="0.2">
      <c r="A16" s="368" t="s">
        <v>766</v>
      </c>
      <c r="B16" s="368"/>
      <c r="C16" s="359">
        <v>30000</v>
      </c>
      <c r="D16" s="898"/>
      <c r="E16" s="899"/>
      <c r="F16" s="678">
        <f t="shared" si="0"/>
        <v>0</v>
      </c>
      <c r="G16" s="359">
        <f t="shared" si="1"/>
        <v>30000</v>
      </c>
      <c r="H16" s="368" t="s">
        <v>98</v>
      </c>
      <c r="I16" s="368">
        <v>3782739</v>
      </c>
      <c r="J16" s="368">
        <v>7130360</v>
      </c>
      <c r="K16" s="898">
        <v>2042228</v>
      </c>
      <c r="L16" s="899">
        <f>táj2!L653-táj2!L650</f>
        <v>348704</v>
      </c>
      <c r="M16" s="678">
        <f t="shared" si="2"/>
        <v>2390932</v>
      </c>
      <c r="N16" s="359">
        <f t="shared" si="3"/>
        <v>9521292</v>
      </c>
      <c r="O16" s="943"/>
    </row>
    <row r="17" spans="1:15" ht="15" customHeight="1" x14ac:dyDescent="0.2">
      <c r="A17" s="368" t="s">
        <v>840</v>
      </c>
      <c r="B17" s="368">
        <v>67791</v>
      </c>
      <c r="C17" s="405">
        <v>15224</v>
      </c>
      <c r="D17" s="898">
        <v>13964</v>
      </c>
      <c r="E17" s="899">
        <f>táj1!K189</f>
        <v>1211</v>
      </c>
      <c r="F17" s="678">
        <f t="shared" si="0"/>
        <v>15175</v>
      </c>
      <c r="G17" s="359">
        <f t="shared" si="1"/>
        <v>30399</v>
      </c>
      <c r="H17" s="368" t="s">
        <v>9</v>
      </c>
      <c r="I17" s="368">
        <v>233726</v>
      </c>
      <c r="J17" s="359">
        <v>128132</v>
      </c>
      <c r="K17" s="898">
        <v>140976</v>
      </c>
      <c r="L17" s="899">
        <f>táj2!L652</f>
        <v>16574</v>
      </c>
      <c r="M17" s="678">
        <f t="shared" si="2"/>
        <v>157550</v>
      </c>
      <c r="N17" s="359">
        <f t="shared" si="3"/>
        <v>285682</v>
      </c>
      <c r="O17" s="943"/>
    </row>
    <row r="18" spans="1:15" ht="25.15" customHeight="1" x14ac:dyDescent="0.2">
      <c r="A18" s="368" t="s">
        <v>841</v>
      </c>
      <c r="B18" s="368">
        <v>1111531</v>
      </c>
      <c r="C18" s="405">
        <v>757769</v>
      </c>
      <c r="D18" s="898">
        <v>574216</v>
      </c>
      <c r="E18" s="899">
        <v>24217</v>
      </c>
      <c r="F18" s="678">
        <f t="shared" si="0"/>
        <v>598433</v>
      </c>
      <c r="G18" s="359">
        <f t="shared" si="1"/>
        <v>1356202</v>
      </c>
      <c r="H18" s="368" t="s">
        <v>99</v>
      </c>
      <c r="I18" s="368">
        <v>2610578</v>
      </c>
      <c r="J18" s="359">
        <v>2940784</v>
      </c>
      <c r="K18" s="898">
        <v>2232677</v>
      </c>
      <c r="L18" s="899">
        <f>táj2!M653-táj2!M650</f>
        <v>274415</v>
      </c>
      <c r="M18" s="678">
        <f t="shared" si="2"/>
        <v>2507092</v>
      </c>
      <c r="N18" s="359">
        <f t="shared" si="3"/>
        <v>5447876</v>
      </c>
      <c r="O18" s="943"/>
    </row>
    <row r="19" spans="1:15" ht="22.15" customHeight="1" x14ac:dyDescent="0.2">
      <c r="A19" s="419" t="s">
        <v>1224</v>
      </c>
      <c r="B19" s="419">
        <f t="shared" ref="B19" si="9">SUM(B14:B18)</f>
        <v>4243285</v>
      </c>
      <c r="C19" s="419">
        <f>SUM(C14:C18)</f>
        <v>2682834</v>
      </c>
      <c r="D19" s="419">
        <f t="shared" ref="D19:G19" si="10">SUM(D14:D18)</f>
        <v>3514652</v>
      </c>
      <c r="E19" s="419">
        <f t="shared" si="10"/>
        <v>419970</v>
      </c>
      <c r="F19" s="419">
        <f t="shared" si="10"/>
        <v>3934622</v>
      </c>
      <c r="G19" s="419">
        <f t="shared" si="10"/>
        <v>6617456</v>
      </c>
      <c r="H19" s="368" t="s">
        <v>9</v>
      </c>
      <c r="I19" s="368">
        <v>44981</v>
      </c>
      <c r="J19" s="359">
        <v>16955</v>
      </c>
      <c r="K19" s="898">
        <v>73745</v>
      </c>
      <c r="L19" s="899">
        <f>táj2!M652</f>
        <v>4610</v>
      </c>
      <c r="M19" s="678">
        <f t="shared" si="2"/>
        <v>78355</v>
      </c>
      <c r="N19" s="359">
        <f t="shared" si="3"/>
        <v>95310</v>
      </c>
      <c r="O19" s="943"/>
    </row>
    <row r="20" spans="1:15" ht="21.6" customHeight="1" x14ac:dyDescent="0.2">
      <c r="A20" s="368" t="s">
        <v>61</v>
      </c>
      <c r="B20" s="368"/>
      <c r="C20" s="419"/>
      <c r="D20" s="900"/>
      <c r="E20" s="901"/>
      <c r="F20" s="678">
        <f t="shared" si="0"/>
        <v>0</v>
      </c>
      <c r="G20" s="359">
        <f t="shared" si="1"/>
        <v>0</v>
      </c>
      <c r="H20" s="368" t="s">
        <v>100</v>
      </c>
      <c r="I20" s="368"/>
      <c r="J20" s="359">
        <v>420571</v>
      </c>
      <c r="K20" s="898">
        <v>344454</v>
      </c>
      <c r="L20" s="899">
        <f>táj2!M647+táj2!L648</f>
        <v>-6203</v>
      </c>
      <c r="M20" s="678">
        <f t="shared" si="2"/>
        <v>338251</v>
      </c>
      <c r="N20" s="359">
        <f t="shared" si="3"/>
        <v>758822</v>
      </c>
      <c r="O20" s="943"/>
    </row>
    <row r="21" spans="1:15" ht="12.95" customHeight="1" x14ac:dyDescent="0.2">
      <c r="A21" s="368" t="s">
        <v>1225</v>
      </c>
      <c r="B21" s="368"/>
      <c r="C21" s="368"/>
      <c r="D21" s="898"/>
      <c r="E21" s="899"/>
      <c r="F21" s="678">
        <f t="shared" si="0"/>
        <v>0</v>
      </c>
      <c r="G21" s="359">
        <f t="shared" si="1"/>
        <v>0</v>
      </c>
      <c r="H21" s="368" t="s">
        <v>70</v>
      </c>
      <c r="I21" s="368">
        <v>91264</v>
      </c>
      <c r="J21" s="359">
        <v>79109</v>
      </c>
      <c r="K21" s="898">
        <v>0</v>
      </c>
      <c r="L21" s="899">
        <v>0</v>
      </c>
      <c r="M21" s="678">
        <f t="shared" si="2"/>
        <v>0</v>
      </c>
      <c r="N21" s="359">
        <f t="shared" si="3"/>
        <v>79109</v>
      </c>
      <c r="O21" s="943"/>
    </row>
    <row r="22" spans="1:15" ht="24" customHeight="1" x14ac:dyDescent="0.2">
      <c r="A22" s="368" t="s">
        <v>842</v>
      </c>
      <c r="B22" s="368">
        <v>4556250</v>
      </c>
      <c r="C22" s="405">
        <v>4491781</v>
      </c>
      <c r="D22" s="898">
        <v>730582</v>
      </c>
      <c r="E22" s="899">
        <v>197340</v>
      </c>
      <c r="F22" s="678">
        <f t="shared" si="0"/>
        <v>927922</v>
      </c>
      <c r="G22" s="359">
        <f t="shared" si="1"/>
        <v>5419703</v>
      </c>
      <c r="H22" s="419" t="s">
        <v>1223</v>
      </c>
      <c r="I22" s="419">
        <f t="shared" ref="I22" si="11">SUM(I14+I16+I18+I20+I21)</f>
        <v>8041099</v>
      </c>
      <c r="J22" s="362">
        <f>SUM(J14+J16+J18+J20+J21)</f>
        <v>11146276</v>
      </c>
      <c r="K22" s="362">
        <f t="shared" ref="K22:N22" si="12">SUM(K14+K16+K18+K20+K21)</f>
        <v>4245234</v>
      </c>
      <c r="L22" s="362">
        <f t="shared" si="12"/>
        <v>617310</v>
      </c>
      <c r="M22" s="362">
        <f t="shared" si="12"/>
        <v>4862544</v>
      </c>
      <c r="N22" s="362">
        <f t="shared" si="12"/>
        <v>16008820</v>
      </c>
      <c r="O22" s="943"/>
    </row>
    <row r="23" spans="1:15" ht="22.5" customHeight="1" x14ac:dyDescent="0.2">
      <c r="A23" s="368" t="s">
        <v>993</v>
      </c>
      <c r="B23" s="368">
        <v>2746960</v>
      </c>
      <c r="C23" s="368">
        <v>4089513</v>
      </c>
      <c r="D23" s="898"/>
      <c r="E23" s="899"/>
      <c r="F23" s="678">
        <f t="shared" si="0"/>
        <v>0</v>
      </c>
      <c r="G23" s="359">
        <f t="shared" si="1"/>
        <v>4089513</v>
      </c>
      <c r="H23" s="368" t="s">
        <v>69</v>
      </c>
      <c r="I23" s="368"/>
      <c r="J23" s="419"/>
      <c r="K23" s="900"/>
      <c r="L23" s="901"/>
      <c r="M23" s="678">
        <f t="shared" si="2"/>
        <v>0</v>
      </c>
      <c r="N23" s="359">
        <f t="shared" si="3"/>
        <v>0</v>
      </c>
      <c r="O23" s="943"/>
    </row>
    <row r="24" spans="1:15" ht="24.95" customHeight="1" x14ac:dyDescent="0.2">
      <c r="A24" s="368"/>
      <c r="B24" s="368"/>
      <c r="C24" s="368"/>
      <c r="D24" s="906"/>
      <c r="E24" s="899"/>
      <c r="F24" s="678">
        <f t="shared" si="0"/>
        <v>0</v>
      </c>
      <c r="G24" s="359">
        <f t="shared" si="1"/>
        <v>0</v>
      </c>
      <c r="H24" s="368" t="s">
        <v>104</v>
      </c>
      <c r="I24" s="368">
        <v>117851</v>
      </c>
      <c r="J24" s="359">
        <v>117852</v>
      </c>
      <c r="K24" s="900"/>
      <c r="L24" s="901"/>
      <c r="M24" s="678">
        <f t="shared" si="2"/>
        <v>0</v>
      </c>
      <c r="N24" s="359">
        <f t="shared" si="3"/>
        <v>117852</v>
      </c>
      <c r="O24" s="943"/>
    </row>
    <row r="25" spans="1:15" ht="23.1" customHeight="1" x14ac:dyDescent="0.2">
      <c r="A25" s="740" t="s">
        <v>101</v>
      </c>
      <c r="B25" s="128">
        <f t="shared" ref="B25" si="13">SUM(B19:B23)</f>
        <v>11546495</v>
      </c>
      <c r="C25" s="128">
        <f>SUM(C19:C24)</f>
        <v>11264128</v>
      </c>
      <c r="D25" s="128">
        <f t="shared" ref="D25:G25" si="14">SUM(D19:D24)</f>
        <v>4245234</v>
      </c>
      <c r="E25" s="128">
        <f t="shared" si="14"/>
        <v>617310</v>
      </c>
      <c r="F25" s="128">
        <f t="shared" si="14"/>
        <v>4862544</v>
      </c>
      <c r="G25" s="128">
        <f t="shared" si="14"/>
        <v>16126672</v>
      </c>
      <c r="H25" s="739" t="s">
        <v>102</v>
      </c>
      <c r="I25" s="128">
        <f t="shared" ref="I25" si="15">SUM(I22:I24)</f>
        <v>8158950</v>
      </c>
      <c r="J25" s="128">
        <f>SUM(J22:J24)</f>
        <v>11264128</v>
      </c>
      <c r="K25" s="128">
        <f t="shared" ref="K25:N25" si="16">SUM(K22:K24)</f>
        <v>4245234</v>
      </c>
      <c r="L25" s="128">
        <f t="shared" si="16"/>
        <v>617310</v>
      </c>
      <c r="M25" s="128">
        <f t="shared" si="16"/>
        <v>4862544</v>
      </c>
      <c r="N25" s="128">
        <f t="shared" si="16"/>
        <v>16126672</v>
      </c>
      <c r="O25" s="943">
        <f t="shared" si="8"/>
        <v>0</v>
      </c>
    </row>
    <row r="26" spans="1:15" ht="23.1" customHeight="1" x14ac:dyDescent="0.2">
      <c r="A26" s="740" t="s">
        <v>179</v>
      </c>
      <c r="B26" s="128">
        <f>SUM(B12+B25)</f>
        <v>40082098</v>
      </c>
      <c r="C26" s="128">
        <f>SUM(C12+C25)</f>
        <v>37503994</v>
      </c>
      <c r="D26" s="128">
        <f t="shared" ref="D26:G26" si="17">SUM(D12+D25)</f>
        <v>6476579</v>
      </c>
      <c r="E26" s="128">
        <f t="shared" si="17"/>
        <v>683178</v>
      </c>
      <c r="F26" s="128">
        <f t="shared" si="17"/>
        <v>7159757</v>
      </c>
      <c r="G26" s="128">
        <f t="shared" si="17"/>
        <v>44663751</v>
      </c>
      <c r="H26" s="739" t="s">
        <v>179</v>
      </c>
      <c r="I26" s="740">
        <f>SUM(I12+I25)</f>
        <v>31086486</v>
      </c>
      <c r="J26" s="739">
        <f>SUM(J12+J25)</f>
        <v>37503994</v>
      </c>
      <c r="K26" s="739">
        <f t="shared" ref="K26:N26" si="18">SUM(K12+K25)</f>
        <v>6476579</v>
      </c>
      <c r="L26" s="739">
        <f t="shared" si="18"/>
        <v>683178</v>
      </c>
      <c r="M26" s="739">
        <f t="shared" si="18"/>
        <v>7159757</v>
      </c>
      <c r="N26" s="739">
        <f t="shared" si="18"/>
        <v>44663751</v>
      </c>
      <c r="O26" s="943">
        <f t="shared" si="8"/>
        <v>0</v>
      </c>
    </row>
    <row r="27" spans="1:15" ht="23.1" customHeight="1" x14ac:dyDescent="0.2">
      <c r="A27" s="737" t="s">
        <v>992</v>
      </c>
      <c r="B27" s="737">
        <v>1173479</v>
      </c>
      <c r="C27" s="738">
        <v>5000000</v>
      </c>
      <c r="D27" s="907"/>
      <c r="E27" s="908"/>
      <c r="F27" s="678">
        <f t="shared" si="0"/>
        <v>0</v>
      </c>
      <c r="G27" s="359">
        <f t="shared" si="1"/>
        <v>5000000</v>
      </c>
      <c r="H27" s="737" t="s">
        <v>845</v>
      </c>
      <c r="I27" s="737">
        <v>2705000</v>
      </c>
      <c r="J27" s="738">
        <v>5000000</v>
      </c>
      <c r="K27" s="909"/>
      <c r="L27" s="908"/>
      <c r="M27" s="678">
        <f t="shared" si="2"/>
        <v>0</v>
      </c>
      <c r="N27" s="359">
        <f t="shared" si="3"/>
        <v>5000000</v>
      </c>
      <c r="O27" s="943"/>
    </row>
    <row r="28" spans="1:15" ht="20.100000000000001" customHeight="1" x14ac:dyDescent="0.2">
      <c r="A28" s="420" t="s">
        <v>2</v>
      </c>
      <c r="B28" s="420">
        <f>SUM(B26:B27)</f>
        <v>41255577</v>
      </c>
      <c r="C28" s="421">
        <f>SUM(C26:C27)</f>
        <v>42503994</v>
      </c>
      <c r="D28" s="421">
        <f t="shared" ref="D28:G28" si="19">SUM(D26:D27)</f>
        <v>6476579</v>
      </c>
      <c r="E28" s="421">
        <f t="shared" si="19"/>
        <v>683178</v>
      </c>
      <c r="F28" s="421">
        <f t="shared" si="19"/>
        <v>7159757</v>
      </c>
      <c r="G28" s="421">
        <f t="shared" si="19"/>
        <v>49663751</v>
      </c>
      <c r="H28" s="420" t="s">
        <v>2</v>
      </c>
      <c r="I28" s="420">
        <f>SUM(I26:I27)</f>
        <v>33791486</v>
      </c>
      <c r="J28" s="420">
        <f>SUM(J26:J27)</f>
        <v>42503994</v>
      </c>
      <c r="K28" s="420">
        <f t="shared" ref="K28:N28" si="20">SUM(K26:K27)</f>
        <v>6476579</v>
      </c>
      <c r="L28" s="420">
        <f t="shared" si="20"/>
        <v>683178</v>
      </c>
      <c r="M28" s="420">
        <f t="shared" si="20"/>
        <v>7159757</v>
      </c>
      <c r="N28" s="420">
        <f t="shared" si="20"/>
        <v>49663751</v>
      </c>
      <c r="O28" s="943">
        <f t="shared" si="8"/>
        <v>0</v>
      </c>
    </row>
    <row r="29" spans="1:15" hidden="1" x14ac:dyDescent="0.2"/>
    <row r="30" spans="1:15" hidden="1" x14ac:dyDescent="0.2">
      <c r="D30" s="1" t="s">
        <v>1227</v>
      </c>
      <c r="E30" s="1"/>
      <c r="F30" s="1"/>
      <c r="G30" s="1">
        <f>G7</f>
        <v>24316375</v>
      </c>
      <c r="J30" s="1" t="s">
        <v>1233</v>
      </c>
      <c r="L30" s="13">
        <f>L3+L15+L17+L19</f>
        <v>137858</v>
      </c>
    </row>
    <row r="31" spans="1:15" hidden="1" x14ac:dyDescent="0.2">
      <c r="D31" s="1" t="s">
        <v>1228</v>
      </c>
      <c r="E31" s="1"/>
      <c r="F31" s="1"/>
      <c r="G31" s="1">
        <f>N8</f>
        <v>27960052</v>
      </c>
      <c r="L31" s="13">
        <f>táj3!N22</f>
        <v>137858</v>
      </c>
    </row>
    <row r="32" spans="1:15" hidden="1" x14ac:dyDescent="0.2">
      <c r="D32" s="1" t="s">
        <v>1229</v>
      </c>
      <c r="E32" s="1"/>
      <c r="F32" s="1"/>
      <c r="G32" s="1">
        <f>G30-G31</f>
        <v>-3643677</v>
      </c>
      <c r="L32" s="13">
        <f>táj4!M22</f>
        <v>137858</v>
      </c>
    </row>
    <row r="33" spans="4:7" hidden="1" x14ac:dyDescent="0.2">
      <c r="D33" s="1"/>
      <c r="E33" s="1"/>
      <c r="F33" s="1"/>
    </row>
    <row r="34" spans="4:7" hidden="1" x14ac:dyDescent="0.2">
      <c r="D34" s="1" t="s">
        <v>1230</v>
      </c>
      <c r="E34" s="1"/>
      <c r="F34" s="1"/>
      <c r="G34" s="1">
        <f>G19</f>
        <v>6617456</v>
      </c>
    </row>
    <row r="35" spans="4:7" hidden="1" x14ac:dyDescent="0.2">
      <c r="D35" s="1" t="s">
        <v>1231</v>
      </c>
      <c r="E35" s="1"/>
      <c r="F35" s="1"/>
      <c r="G35" s="1">
        <f>N22</f>
        <v>16008820</v>
      </c>
    </row>
    <row r="36" spans="4:7" hidden="1" x14ac:dyDescent="0.2">
      <c r="D36" s="1" t="s">
        <v>1232</v>
      </c>
      <c r="E36" s="1"/>
      <c r="F36" s="1"/>
      <c r="G36" s="1">
        <f>G34-G35</f>
        <v>-9391364</v>
      </c>
    </row>
    <row r="37" spans="4:7" hidden="1" x14ac:dyDescent="0.2">
      <c r="D37" s="1"/>
      <c r="E37" s="1"/>
      <c r="F37" s="1"/>
    </row>
    <row r="38" spans="4:7" hidden="1" x14ac:dyDescent="0.2">
      <c r="D38" s="1" t="s">
        <v>1226</v>
      </c>
      <c r="E38" s="1"/>
      <c r="F38" s="1"/>
      <c r="G38" s="1">
        <f>G32+G36</f>
        <v>-13035041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0" orientation="landscape" r:id="rId1"/>
  <headerFooter alignWithMargins="0">
    <oddHeader>&amp;C&amp;"Times New Roman CE,Félkövér dőlt"ZALAEGERSZEG MEGYEI  JOGÚ  VÁROS  ÖNKORMÁNYZATA
BEVÉTELEINEK  ÉS  KIADÁSAINAK   MÉRLEGE
2025.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13" zoomScaleNormal="100" workbookViewId="0">
      <selection activeCell="E1" sqref="E1:F1048576"/>
    </sheetView>
  </sheetViews>
  <sheetFormatPr defaultColWidth="9.33203125" defaultRowHeight="12" x14ac:dyDescent="0.2"/>
  <cols>
    <col min="1" max="1" width="7.5" style="14" customWidth="1"/>
    <col min="2" max="2" width="57.6640625" style="13" customWidth="1"/>
    <col min="3" max="3" width="12.6640625" style="13" customWidth="1"/>
    <col min="4" max="4" width="13.5" style="13" customWidth="1"/>
    <col min="5" max="6" width="13.1640625" style="13" hidden="1" customWidth="1"/>
    <col min="7" max="7" width="13.1640625" style="13" customWidth="1"/>
    <col min="8" max="8" width="13.83203125" style="13" customWidth="1"/>
    <col min="9" max="9" width="11.5" style="11" bestFit="1" customWidth="1"/>
    <col min="10" max="16384" width="9.33203125" style="11"/>
  </cols>
  <sheetData>
    <row r="1" spans="1:9" ht="55.5" customHeight="1" thickBot="1" x14ac:dyDescent="0.25">
      <c r="A1" s="335" t="s">
        <v>128</v>
      </c>
      <c r="B1" s="746" t="s">
        <v>115</v>
      </c>
      <c r="C1" s="335" t="s">
        <v>1071</v>
      </c>
      <c r="D1" s="335" t="s">
        <v>843</v>
      </c>
      <c r="E1" s="872" t="s">
        <v>1195</v>
      </c>
      <c r="F1" s="872" t="s">
        <v>1196</v>
      </c>
      <c r="G1" s="335" t="s">
        <v>735</v>
      </c>
      <c r="H1" s="335" t="s">
        <v>844</v>
      </c>
    </row>
    <row r="2" spans="1:9" s="12" customFormat="1" ht="14.45" customHeight="1" x14ac:dyDescent="0.2">
      <c r="A2" s="422" t="s">
        <v>23</v>
      </c>
      <c r="B2" s="423" t="s">
        <v>103</v>
      </c>
      <c r="C2" s="741"/>
      <c r="D2" s="334"/>
      <c r="E2" s="873"/>
      <c r="F2" s="874"/>
      <c r="G2" s="870"/>
      <c r="H2" s="334"/>
      <c r="I2" s="767"/>
    </row>
    <row r="3" spans="1:9" ht="14.45" customHeight="1" x14ac:dyDescent="0.2">
      <c r="A3" s="422" t="s">
        <v>24</v>
      </c>
      <c r="B3" s="423" t="s">
        <v>25</v>
      </c>
      <c r="C3" s="742"/>
      <c r="D3" s="423"/>
      <c r="E3" s="875"/>
      <c r="F3" s="876"/>
      <c r="G3" s="871"/>
      <c r="H3" s="424"/>
      <c r="I3" s="768"/>
    </row>
    <row r="4" spans="1:9" ht="27.75" customHeight="1" x14ac:dyDescent="0.2">
      <c r="A4" s="425" t="s">
        <v>26</v>
      </c>
      <c r="B4" s="347" t="s">
        <v>697</v>
      </c>
      <c r="C4" s="743">
        <v>6275117</v>
      </c>
      <c r="D4" s="424">
        <v>6519307</v>
      </c>
      <c r="E4" s="877">
        <v>614586</v>
      </c>
      <c r="F4" s="878">
        <v>41795</v>
      </c>
      <c r="G4" s="800">
        <f>SUM(E4:F4)</f>
        <v>656381</v>
      </c>
      <c r="H4" s="424">
        <f>SUM(D4+G4)</f>
        <v>7175688</v>
      </c>
      <c r="I4" s="768"/>
    </row>
    <row r="5" spans="1:9" ht="16.899999999999999" customHeight="1" x14ac:dyDescent="0.2">
      <c r="A5" s="747" t="s">
        <v>1072</v>
      </c>
      <c r="B5" s="743" t="s">
        <v>1073</v>
      </c>
      <c r="C5" s="743">
        <v>33004</v>
      </c>
      <c r="D5" s="743"/>
      <c r="E5" s="879">
        <v>1454</v>
      </c>
      <c r="F5" s="878">
        <v>0</v>
      </c>
      <c r="G5" s="800">
        <f t="shared" ref="G5:G39" si="0">SUM(E5:F5)</f>
        <v>1454</v>
      </c>
      <c r="H5" s="424">
        <f t="shared" ref="H5:H39" si="1">SUM(D5+G5)</f>
        <v>1454</v>
      </c>
      <c r="I5" s="768"/>
    </row>
    <row r="6" spans="1:9" ht="24.75" customHeight="1" x14ac:dyDescent="0.2">
      <c r="A6" s="425" t="s">
        <v>0</v>
      </c>
      <c r="B6" s="424" t="s">
        <v>1</v>
      </c>
      <c r="C6" s="743">
        <v>19000</v>
      </c>
      <c r="D6" s="424">
        <v>35700</v>
      </c>
      <c r="E6" s="880">
        <v>-9700</v>
      </c>
      <c r="F6" s="881">
        <v>0</v>
      </c>
      <c r="G6" s="800">
        <f t="shared" si="0"/>
        <v>-9700</v>
      </c>
      <c r="H6" s="424">
        <f t="shared" si="1"/>
        <v>26000</v>
      </c>
      <c r="I6" s="768"/>
    </row>
    <row r="7" spans="1:9" ht="30.75" customHeight="1" x14ac:dyDescent="0.2">
      <c r="A7" s="425" t="s">
        <v>110</v>
      </c>
      <c r="B7" s="424" t="s">
        <v>111</v>
      </c>
      <c r="C7" s="743">
        <v>1871465</v>
      </c>
      <c r="D7" s="424">
        <v>1548580</v>
      </c>
      <c r="E7" s="880">
        <v>291934</v>
      </c>
      <c r="F7" s="881">
        <v>108495</v>
      </c>
      <c r="G7" s="800">
        <f t="shared" si="0"/>
        <v>400429</v>
      </c>
      <c r="H7" s="424">
        <f t="shared" si="1"/>
        <v>1949009</v>
      </c>
      <c r="I7" s="768"/>
    </row>
    <row r="8" spans="1:9" s="12" customFormat="1" ht="22.5" customHeight="1" x14ac:dyDescent="0.2">
      <c r="A8" s="427"/>
      <c r="B8" s="428" t="s">
        <v>27</v>
      </c>
      <c r="C8" s="744">
        <f t="shared" ref="C8" si="2">SUM(C4:C7)</f>
        <v>8198586</v>
      </c>
      <c r="D8" s="428">
        <f>SUM(D4:D7)</f>
        <v>8103587</v>
      </c>
      <c r="E8" s="875">
        <f>SUM(E4:E7)</f>
        <v>898274</v>
      </c>
      <c r="F8" s="875">
        <f t="shared" ref="F8:H8" si="3">SUM(F4:F7)</f>
        <v>150290</v>
      </c>
      <c r="G8" s="428">
        <f t="shared" si="3"/>
        <v>1048564</v>
      </c>
      <c r="H8" s="428">
        <f t="shared" si="3"/>
        <v>9152151</v>
      </c>
      <c r="I8" s="767"/>
    </row>
    <row r="9" spans="1:9" ht="14.45" customHeight="1" x14ac:dyDescent="0.2">
      <c r="A9" s="422" t="s">
        <v>28</v>
      </c>
      <c r="B9" s="423" t="s">
        <v>29</v>
      </c>
      <c r="C9" s="742"/>
      <c r="D9" s="424"/>
      <c r="E9" s="875"/>
      <c r="F9" s="876"/>
      <c r="G9" s="800">
        <f t="shared" si="0"/>
        <v>0</v>
      </c>
      <c r="H9" s="424">
        <f t="shared" si="1"/>
        <v>0</v>
      </c>
      <c r="I9" s="768"/>
    </row>
    <row r="10" spans="1:9" ht="14.45" customHeight="1" x14ac:dyDescent="0.2">
      <c r="A10" s="425" t="s">
        <v>30</v>
      </c>
      <c r="B10" s="424" t="s">
        <v>31</v>
      </c>
      <c r="C10" s="743">
        <v>900000</v>
      </c>
      <c r="D10" s="424"/>
      <c r="E10" s="880">
        <v>436899</v>
      </c>
      <c r="F10" s="881">
        <v>0</v>
      </c>
      <c r="G10" s="800">
        <f t="shared" si="0"/>
        <v>436899</v>
      </c>
      <c r="H10" s="424">
        <f t="shared" si="1"/>
        <v>436899</v>
      </c>
      <c r="I10" s="768"/>
    </row>
    <row r="11" spans="1:9" ht="28.5" customHeight="1" x14ac:dyDescent="0.2">
      <c r="A11" s="425" t="s">
        <v>32</v>
      </c>
      <c r="B11" s="424" t="s">
        <v>33</v>
      </c>
      <c r="C11" s="743">
        <v>1627273</v>
      </c>
      <c r="D11" s="424">
        <v>1665620</v>
      </c>
      <c r="E11" s="880">
        <v>2326427</v>
      </c>
      <c r="F11" s="881">
        <v>392129</v>
      </c>
      <c r="G11" s="800">
        <f t="shared" si="0"/>
        <v>2718556</v>
      </c>
      <c r="H11" s="424">
        <f t="shared" si="1"/>
        <v>4384176</v>
      </c>
      <c r="I11" s="768"/>
    </row>
    <row r="12" spans="1:9" s="12" customFormat="1" ht="28.5" customHeight="1" x14ac:dyDescent="0.2">
      <c r="A12" s="427"/>
      <c r="B12" s="428" t="s">
        <v>34</v>
      </c>
      <c r="C12" s="744">
        <f>SUM(C10:C11)</f>
        <v>2527273</v>
      </c>
      <c r="D12" s="428">
        <f>SUM(D10:D11)</f>
        <v>1665620</v>
      </c>
      <c r="E12" s="875">
        <f>SUM(E10:E11)</f>
        <v>2763326</v>
      </c>
      <c r="F12" s="875">
        <f t="shared" ref="F12:H12" si="4">SUM(F10:F11)</f>
        <v>392129</v>
      </c>
      <c r="G12" s="428">
        <f t="shared" si="4"/>
        <v>3155455</v>
      </c>
      <c r="H12" s="428">
        <f t="shared" si="4"/>
        <v>4821075</v>
      </c>
      <c r="I12" s="767"/>
    </row>
    <row r="13" spans="1:9" ht="14.45" customHeight="1" x14ac:dyDescent="0.2">
      <c r="A13" s="422" t="s">
        <v>35</v>
      </c>
      <c r="B13" s="423" t="s">
        <v>14</v>
      </c>
      <c r="C13" s="742"/>
      <c r="D13" s="424"/>
      <c r="E13" s="875"/>
      <c r="F13" s="876"/>
      <c r="G13" s="800">
        <f t="shared" si="0"/>
        <v>0</v>
      </c>
      <c r="H13" s="424">
        <f t="shared" si="1"/>
        <v>0</v>
      </c>
      <c r="I13" s="768"/>
    </row>
    <row r="14" spans="1:9" ht="14.45" customHeight="1" x14ac:dyDescent="0.2">
      <c r="A14" s="747" t="s">
        <v>1074</v>
      </c>
      <c r="B14" s="743" t="s">
        <v>1075</v>
      </c>
      <c r="C14" s="743">
        <v>47</v>
      </c>
      <c r="D14" s="743"/>
      <c r="E14" s="882"/>
      <c r="F14" s="876"/>
      <c r="G14" s="800">
        <f t="shared" si="0"/>
        <v>0</v>
      </c>
      <c r="H14" s="424">
        <f t="shared" si="1"/>
        <v>0</v>
      </c>
      <c r="I14" s="768"/>
    </row>
    <row r="15" spans="1:9" ht="14.45" customHeight="1" x14ac:dyDescent="0.2">
      <c r="A15" s="489" t="s">
        <v>90</v>
      </c>
      <c r="B15" s="490" t="s">
        <v>91</v>
      </c>
      <c r="C15" s="750">
        <v>1128675</v>
      </c>
      <c r="D15" s="424">
        <v>1601000</v>
      </c>
      <c r="E15" s="883"/>
      <c r="F15" s="884">
        <v>0</v>
      </c>
      <c r="G15" s="800">
        <f t="shared" si="0"/>
        <v>0</v>
      </c>
      <c r="H15" s="424">
        <f t="shared" si="1"/>
        <v>1601000</v>
      </c>
      <c r="I15" s="768"/>
    </row>
    <row r="16" spans="1:9" ht="14.45" customHeight="1" x14ac:dyDescent="0.2">
      <c r="A16" s="425" t="s">
        <v>36</v>
      </c>
      <c r="B16" s="424" t="s">
        <v>38</v>
      </c>
      <c r="C16" s="743"/>
      <c r="D16" s="424"/>
      <c r="E16" s="880"/>
      <c r="F16" s="881"/>
      <c r="G16" s="800">
        <f t="shared" si="0"/>
        <v>0</v>
      </c>
      <c r="H16" s="424">
        <f t="shared" si="1"/>
        <v>0</v>
      </c>
      <c r="I16" s="768"/>
    </row>
    <row r="17" spans="1:9" ht="14.45" customHeight="1" x14ac:dyDescent="0.2">
      <c r="A17" s="426" t="s">
        <v>37</v>
      </c>
      <c r="B17" s="424" t="s">
        <v>6</v>
      </c>
      <c r="C17" s="743">
        <v>7842151</v>
      </c>
      <c r="D17" s="424">
        <v>7630000</v>
      </c>
      <c r="E17" s="880"/>
      <c r="F17" s="881">
        <v>0</v>
      </c>
      <c r="G17" s="800">
        <f t="shared" si="0"/>
        <v>0</v>
      </c>
      <c r="H17" s="424">
        <f t="shared" si="1"/>
        <v>7630000</v>
      </c>
      <c r="I17" s="768"/>
    </row>
    <row r="18" spans="1:9" ht="22.5" customHeight="1" x14ac:dyDescent="0.2">
      <c r="A18" s="426" t="s">
        <v>39</v>
      </c>
      <c r="B18" s="424" t="s">
        <v>767</v>
      </c>
      <c r="C18" s="743">
        <v>29352</v>
      </c>
      <c r="D18" s="424">
        <v>40000</v>
      </c>
      <c r="E18" s="880"/>
      <c r="F18" s="881">
        <v>0</v>
      </c>
      <c r="G18" s="800">
        <f t="shared" si="0"/>
        <v>0</v>
      </c>
      <c r="H18" s="424">
        <f t="shared" si="1"/>
        <v>40000</v>
      </c>
      <c r="I18" s="768"/>
    </row>
    <row r="19" spans="1:9" ht="28.5" customHeight="1" x14ac:dyDescent="0.2">
      <c r="A19" s="425" t="s">
        <v>40</v>
      </c>
      <c r="B19" s="424" t="s">
        <v>768</v>
      </c>
      <c r="C19" s="743">
        <v>178266</v>
      </c>
      <c r="D19" s="424">
        <v>106900</v>
      </c>
      <c r="E19" s="880"/>
      <c r="F19" s="881">
        <v>408</v>
      </c>
      <c r="G19" s="800">
        <f t="shared" si="0"/>
        <v>408</v>
      </c>
      <c r="H19" s="424">
        <f t="shared" si="1"/>
        <v>107308</v>
      </c>
      <c r="I19" s="768"/>
    </row>
    <row r="20" spans="1:9" ht="15" customHeight="1" x14ac:dyDescent="0.2">
      <c r="A20" s="427"/>
      <c r="B20" s="428" t="s">
        <v>41</v>
      </c>
      <c r="C20" s="744">
        <f>SUM(C14:C19)</f>
        <v>9178491</v>
      </c>
      <c r="D20" s="428">
        <f>SUM(D13:D19)</f>
        <v>9377900</v>
      </c>
      <c r="E20" s="875">
        <f>SUM(E13:E19)</f>
        <v>0</v>
      </c>
      <c r="F20" s="875">
        <f t="shared" ref="F20:H20" si="5">SUM(F13:F19)</f>
        <v>408</v>
      </c>
      <c r="G20" s="428">
        <f t="shared" si="5"/>
        <v>408</v>
      </c>
      <c r="H20" s="428">
        <f t="shared" si="5"/>
        <v>9378308</v>
      </c>
      <c r="I20" s="768"/>
    </row>
    <row r="21" spans="1:9" ht="15" customHeight="1" x14ac:dyDescent="0.2">
      <c r="A21" s="427" t="s">
        <v>42</v>
      </c>
      <c r="B21" s="428" t="s">
        <v>170</v>
      </c>
      <c r="C21" s="744">
        <v>6178318</v>
      </c>
      <c r="D21" s="428">
        <v>5153438</v>
      </c>
      <c r="E21" s="875">
        <v>1833894</v>
      </c>
      <c r="F21" s="875">
        <v>114692</v>
      </c>
      <c r="G21" s="890">
        <f t="shared" si="0"/>
        <v>1948586</v>
      </c>
      <c r="H21" s="891">
        <f t="shared" si="1"/>
        <v>7102024</v>
      </c>
      <c r="I21" s="768"/>
    </row>
    <row r="22" spans="1:9" ht="15" customHeight="1" x14ac:dyDescent="0.2">
      <c r="A22" s="422" t="s">
        <v>43</v>
      </c>
      <c r="B22" s="423" t="s">
        <v>171</v>
      </c>
      <c r="C22" s="742"/>
      <c r="D22" s="424"/>
      <c r="E22" s="875"/>
      <c r="F22" s="876"/>
      <c r="G22" s="800">
        <f t="shared" si="0"/>
        <v>0</v>
      </c>
      <c r="H22" s="424">
        <f t="shared" si="1"/>
        <v>0</v>
      </c>
      <c r="I22" s="768"/>
    </row>
    <row r="23" spans="1:9" ht="15" customHeight="1" x14ac:dyDescent="0.2">
      <c r="A23" s="348" t="s">
        <v>44</v>
      </c>
      <c r="B23" s="424" t="s">
        <v>45</v>
      </c>
      <c r="C23" s="743">
        <v>509749</v>
      </c>
      <c r="D23" s="424">
        <v>214221</v>
      </c>
      <c r="E23" s="880">
        <v>97648</v>
      </c>
      <c r="F23" s="881">
        <v>0</v>
      </c>
      <c r="G23" s="800">
        <f t="shared" si="0"/>
        <v>97648</v>
      </c>
      <c r="H23" s="424">
        <f t="shared" si="1"/>
        <v>311869</v>
      </c>
      <c r="I23" s="768"/>
    </row>
    <row r="24" spans="1:9" ht="15" customHeight="1" x14ac:dyDescent="0.2">
      <c r="A24" s="348" t="s">
        <v>92</v>
      </c>
      <c r="B24" s="424" t="s">
        <v>93</v>
      </c>
      <c r="C24" s="743">
        <v>26941</v>
      </c>
      <c r="D24" s="424"/>
      <c r="E24" s="880">
        <v>22498</v>
      </c>
      <c r="F24" s="881">
        <v>2413</v>
      </c>
      <c r="G24" s="800">
        <f t="shared" si="0"/>
        <v>24911</v>
      </c>
      <c r="H24" s="424">
        <f t="shared" si="1"/>
        <v>24911</v>
      </c>
      <c r="I24" s="768"/>
    </row>
    <row r="25" spans="1:9" ht="15" customHeight="1" x14ac:dyDescent="0.2">
      <c r="A25" s="348" t="s">
        <v>1047</v>
      </c>
      <c r="B25" s="424" t="s">
        <v>1049</v>
      </c>
      <c r="C25" s="742"/>
      <c r="D25" s="424"/>
      <c r="E25" s="880">
        <v>43000</v>
      </c>
      <c r="F25" s="881">
        <v>0</v>
      </c>
      <c r="G25" s="800">
        <f t="shared" si="0"/>
        <v>43000</v>
      </c>
      <c r="H25" s="424">
        <f t="shared" si="1"/>
        <v>43000</v>
      </c>
      <c r="I25" s="768"/>
    </row>
    <row r="26" spans="1:9" ht="15" customHeight="1" x14ac:dyDescent="0.2">
      <c r="A26" s="429"/>
      <c r="B26" s="428" t="s">
        <v>46</v>
      </c>
      <c r="C26" s="744">
        <f>SUM(C23:C25)</f>
        <v>536690</v>
      </c>
      <c r="D26" s="428">
        <f>SUM(D23:D25)</f>
        <v>214221</v>
      </c>
      <c r="E26" s="875">
        <f t="shared" ref="E26:H26" si="6">SUM(E23:E25)</f>
        <v>163146</v>
      </c>
      <c r="F26" s="875">
        <f t="shared" si="6"/>
        <v>2413</v>
      </c>
      <c r="G26" s="428">
        <f t="shared" si="6"/>
        <v>165559</v>
      </c>
      <c r="H26" s="428">
        <f t="shared" si="6"/>
        <v>379780</v>
      </c>
      <c r="I26" s="768"/>
    </row>
    <row r="27" spans="1:9" ht="15" customHeight="1" x14ac:dyDescent="0.2">
      <c r="A27" s="427" t="s">
        <v>47</v>
      </c>
      <c r="B27" s="428" t="s">
        <v>172</v>
      </c>
      <c r="C27" s="744">
        <v>75182</v>
      </c>
      <c r="D27" s="428"/>
      <c r="E27" s="875">
        <v>48059</v>
      </c>
      <c r="F27" s="875">
        <v>22035</v>
      </c>
      <c r="G27" s="428">
        <f>SUM(E27:F27)</f>
        <v>70094</v>
      </c>
      <c r="H27" s="428">
        <f>SUM(D27+G27)</f>
        <v>70094</v>
      </c>
      <c r="I27" s="768"/>
    </row>
    <row r="28" spans="1:9" ht="15" customHeight="1" x14ac:dyDescent="0.2">
      <c r="A28" s="422" t="s">
        <v>48</v>
      </c>
      <c r="B28" s="423" t="s">
        <v>173</v>
      </c>
      <c r="C28" s="743"/>
      <c r="D28" s="423"/>
      <c r="E28" s="875"/>
      <c r="F28" s="876"/>
      <c r="G28" s="800">
        <f t="shared" si="0"/>
        <v>0</v>
      </c>
      <c r="H28" s="424">
        <f t="shared" si="1"/>
        <v>0</v>
      </c>
      <c r="I28" s="768"/>
    </row>
    <row r="29" spans="1:9" ht="24.95" customHeight="1" x14ac:dyDescent="0.2">
      <c r="A29" s="348" t="s">
        <v>727</v>
      </c>
      <c r="B29" s="424" t="s">
        <v>49</v>
      </c>
      <c r="C29" s="743">
        <v>9199</v>
      </c>
      <c r="D29" s="424">
        <v>15224</v>
      </c>
      <c r="E29" s="880"/>
      <c r="F29" s="881"/>
      <c r="G29" s="800">
        <f t="shared" si="0"/>
        <v>0</v>
      </c>
      <c r="H29" s="424">
        <f t="shared" si="1"/>
        <v>15224</v>
      </c>
      <c r="I29" s="768"/>
    </row>
    <row r="30" spans="1:9" ht="15" customHeight="1" x14ac:dyDescent="0.2">
      <c r="A30" s="348" t="s">
        <v>728</v>
      </c>
      <c r="B30" s="424" t="s">
        <v>50</v>
      </c>
      <c r="C30" s="743">
        <v>58592</v>
      </c>
      <c r="D30" s="424"/>
      <c r="E30" s="880">
        <v>13964</v>
      </c>
      <c r="F30" s="881">
        <v>1211</v>
      </c>
      <c r="G30" s="800">
        <f t="shared" si="0"/>
        <v>15175</v>
      </c>
      <c r="H30" s="424">
        <f t="shared" si="1"/>
        <v>15175</v>
      </c>
      <c r="I30" s="768"/>
    </row>
    <row r="31" spans="1:9" ht="15" customHeight="1" x14ac:dyDescent="0.2">
      <c r="A31" s="429"/>
      <c r="B31" s="428" t="s">
        <v>51</v>
      </c>
      <c r="C31" s="744">
        <f>SUM(C29:C30)</f>
        <v>67791</v>
      </c>
      <c r="D31" s="428">
        <f>SUM(D29:D30)</f>
        <v>15224</v>
      </c>
      <c r="E31" s="875">
        <f>SUM(E29:E30)</f>
        <v>13964</v>
      </c>
      <c r="F31" s="875">
        <f t="shared" ref="F31:H31" si="7">SUM(F29:F30)</f>
        <v>1211</v>
      </c>
      <c r="G31" s="428">
        <f t="shared" si="7"/>
        <v>15175</v>
      </c>
      <c r="H31" s="428">
        <f t="shared" si="7"/>
        <v>30399</v>
      </c>
      <c r="I31" s="768"/>
    </row>
    <row r="32" spans="1:9" ht="15" customHeight="1" x14ac:dyDescent="0.2">
      <c r="A32" s="427" t="s">
        <v>52</v>
      </c>
      <c r="B32" s="428" t="s">
        <v>122</v>
      </c>
      <c r="C32" s="428">
        <f>SUM(C8+C12+C20+C21+C26+C27+C31)</f>
        <v>26762331</v>
      </c>
      <c r="D32" s="428">
        <f>SUM(D8+D12+D20+D21+D26+D27+D31)</f>
        <v>24529990</v>
      </c>
      <c r="E32" s="875">
        <f>SUM(E8+E12+E20+E21+E26+E27+E31)</f>
        <v>5720663</v>
      </c>
      <c r="F32" s="875">
        <f t="shared" ref="F32:H32" si="8">SUM(F8+F12+F20+F21+F26+F27+F31)</f>
        <v>683178</v>
      </c>
      <c r="G32" s="428">
        <f t="shared" si="8"/>
        <v>6403841</v>
      </c>
      <c r="H32" s="428">
        <f t="shared" si="8"/>
        <v>30933831</v>
      </c>
      <c r="I32" s="768"/>
    </row>
    <row r="33" spans="1:9" ht="15.95" customHeight="1" x14ac:dyDescent="0.2">
      <c r="A33" s="422" t="s">
        <v>53</v>
      </c>
      <c r="B33" s="423" t="s">
        <v>174</v>
      </c>
      <c r="C33" s="742"/>
      <c r="D33" s="423"/>
      <c r="E33" s="875"/>
      <c r="F33" s="876"/>
      <c r="G33" s="800">
        <f t="shared" si="0"/>
        <v>0</v>
      </c>
      <c r="H33" s="424">
        <f t="shared" si="1"/>
        <v>0</v>
      </c>
      <c r="I33" s="768"/>
    </row>
    <row r="34" spans="1:9" ht="14.45" customHeight="1" x14ac:dyDescent="0.2">
      <c r="A34" s="425" t="s">
        <v>54</v>
      </c>
      <c r="B34" s="424" t="s">
        <v>55</v>
      </c>
      <c r="C34" s="743"/>
      <c r="D34" s="424"/>
      <c r="E34" s="880"/>
      <c r="F34" s="881"/>
      <c r="G34" s="800">
        <f t="shared" si="0"/>
        <v>0</v>
      </c>
      <c r="H34" s="424">
        <f t="shared" si="1"/>
        <v>0</v>
      </c>
      <c r="I34" s="768"/>
    </row>
    <row r="35" spans="1:9" ht="14.45" customHeight="1" x14ac:dyDescent="0.2">
      <c r="A35" s="430" t="s">
        <v>56</v>
      </c>
      <c r="B35" s="431" t="s">
        <v>57</v>
      </c>
      <c r="C35" s="745"/>
      <c r="D35" s="424"/>
      <c r="E35" s="885"/>
      <c r="F35" s="886"/>
      <c r="G35" s="800">
        <f t="shared" si="0"/>
        <v>0</v>
      </c>
      <c r="H35" s="424">
        <f t="shared" si="1"/>
        <v>0</v>
      </c>
      <c r="I35" s="768"/>
    </row>
    <row r="36" spans="1:9" ht="14.45" customHeight="1" x14ac:dyDescent="0.2">
      <c r="A36" s="430" t="s">
        <v>182</v>
      </c>
      <c r="B36" s="432" t="s">
        <v>181</v>
      </c>
      <c r="C36" s="748">
        <v>4636988</v>
      </c>
      <c r="D36" s="424">
        <v>10889513</v>
      </c>
      <c r="E36" s="887"/>
      <c r="F36" s="888"/>
      <c r="G36" s="800">
        <f t="shared" si="0"/>
        <v>0</v>
      </c>
      <c r="H36" s="424">
        <f t="shared" si="1"/>
        <v>10889513</v>
      </c>
      <c r="I36" s="768"/>
    </row>
    <row r="37" spans="1:9" ht="14.45" customHeight="1" x14ac:dyDescent="0.2">
      <c r="A37" s="430" t="s">
        <v>58</v>
      </c>
      <c r="B37" s="431" t="s">
        <v>124</v>
      </c>
      <c r="C37" s="745">
        <v>8679020</v>
      </c>
      <c r="D37" s="424">
        <v>7084491</v>
      </c>
      <c r="E37" s="885">
        <v>379600</v>
      </c>
      <c r="F37" s="886">
        <v>0</v>
      </c>
      <c r="G37" s="800">
        <f t="shared" si="0"/>
        <v>379600</v>
      </c>
      <c r="H37" s="424">
        <f t="shared" si="1"/>
        <v>7464091</v>
      </c>
      <c r="I37" s="768"/>
    </row>
    <row r="38" spans="1:9" ht="14.45" customHeight="1" x14ac:dyDescent="0.2">
      <c r="A38" s="677" t="s">
        <v>984</v>
      </c>
      <c r="B38" s="675" t="s">
        <v>985</v>
      </c>
      <c r="C38" s="745">
        <v>207278</v>
      </c>
      <c r="D38" s="676"/>
      <c r="E38" s="886">
        <v>376316</v>
      </c>
      <c r="F38" s="886">
        <v>0</v>
      </c>
      <c r="G38" s="800">
        <f t="shared" si="0"/>
        <v>376316</v>
      </c>
      <c r="H38" s="424">
        <f t="shared" si="1"/>
        <v>376316</v>
      </c>
      <c r="I38" s="768"/>
    </row>
    <row r="39" spans="1:9" ht="14.45" customHeight="1" x14ac:dyDescent="0.2">
      <c r="A39" s="749" t="s">
        <v>1076</v>
      </c>
      <c r="B39" s="745" t="s">
        <v>1077</v>
      </c>
      <c r="C39" s="745">
        <v>969960</v>
      </c>
      <c r="D39" s="743"/>
      <c r="E39" s="889"/>
      <c r="F39" s="886"/>
      <c r="G39" s="800">
        <f t="shared" si="0"/>
        <v>0</v>
      </c>
      <c r="H39" s="424">
        <f t="shared" si="1"/>
        <v>0</v>
      </c>
      <c r="I39" s="768"/>
    </row>
    <row r="40" spans="1:9" ht="14.45" customHeight="1" x14ac:dyDescent="0.2">
      <c r="A40" s="433"/>
      <c r="B40" s="428" t="s">
        <v>59</v>
      </c>
      <c r="C40" s="744">
        <f>SUM(C35:C39)</f>
        <v>14493246</v>
      </c>
      <c r="D40" s="428">
        <f>SUM(D35:D38)</f>
        <v>17974004</v>
      </c>
      <c r="E40" s="875">
        <f t="shared" ref="E40:H40" si="9">SUM(E35:E38)</f>
        <v>755916</v>
      </c>
      <c r="F40" s="875">
        <f t="shared" si="9"/>
        <v>0</v>
      </c>
      <c r="G40" s="428">
        <f t="shared" si="9"/>
        <v>755916</v>
      </c>
      <c r="H40" s="428">
        <f t="shared" si="9"/>
        <v>18729920</v>
      </c>
      <c r="I40" s="768"/>
    </row>
    <row r="41" spans="1:9" ht="15.95" customHeight="1" x14ac:dyDescent="0.2">
      <c r="A41" s="427"/>
      <c r="B41" s="428" t="s">
        <v>60</v>
      </c>
      <c r="C41" s="428">
        <f>SUM(C32+C40)</f>
        <v>41255577</v>
      </c>
      <c r="D41" s="428">
        <f>SUM(D32+D40)</f>
        <v>42503994</v>
      </c>
      <c r="E41" s="875">
        <f>SUM(E32+E40)</f>
        <v>6476579</v>
      </c>
      <c r="F41" s="875">
        <f t="shared" ref="F41:H41" si="10">SUM(F32+F40)</f>
        <v>683178</v>
      </c>
      <c r="G41" s="428">
        <f t="shared" si="10"/>
        <v>7159757</v>
      </c>
      <c r="H41" s="428">
        <f t="shared" si="10"/>
        <v>49663751</v>
      </c>
      <c r="I41" s="769"/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2025.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8"/>
  <sheetViews>
    <sheetView zoomScale="96" zoomScaleNormal="96" workbookViewId="0">
      <pane xSplit="1" ySplit="2" topLeftCell="B55" activePane="bottomRight" state="frozen"/>
      <selection pane="topRight" activeCell="B1" sqref="B1"/>
      <selection pane="bottomLeft" activeCell="A141" sqref="A141"/>
      <selection pane="bottomRight" activeCell="P13" sqref="P13"/>
    </sheetView>
  </sheetViews>
  <sheetFormatPr defaultColWidth="9.1640625" defaultRowHeight="12" x14ac:dyDescent="0.2"/>
  <cols>
    <col min="1" max="1" width="64.6640625" style="69" customWidth="1"/>
    <col min="2" max="2" width="8.6640625" style="69" customWidth="1"/>
    <col min="3" max="3" width="11" style="69" customWidth="1"/>
    <col min="4" max="4" width="12.1640625" style="69" customWidth="1"/>
    <col min="5" max="5" width="14.1640625" style="69" customWidth="1"/>
    <col min="6" max="6" width="8.5" style="69" customWidth="1"/>
    <col min="7" max="7" width="9.6640625" style="69" customWidth="1"/>
    <col min="8" max="8" width="14.1640625" style="69" customWidth="1"/>
    <col min="9" max="9" width="13.1640625" style="69" bestFit="1" customWidth="1"/>
    <col min="10" max="11" width="13.1640625" style="69" hidden="1" customWidth="1"/>
    <col min="12" max="12" width="15.5" style="69" hidden="1" customWidth="1"/>
    <col min="13" max="13" width="15.83203125" style="69" hidden="1" customWidth="1"/>
    <col min="14" max="15" width="19" style="69" hidden="1" customWidth="1"/>
    <col min="16" max="16384" width="9.1640625" style="69"/>
  </cols>
  <sheetData>
    <row r="1" spans="1:15" ht="21" customHeight="1" x14ac:dyDescent="0.2">
      <c r="A1" s="68"/>
      <c r="B1" s="994" t="s">
        <v>658</v>
      </c>
      <c r="C1" s="995"/>
      <c r="D1" s="996" t="s">
        <v>846</v>
      </c>
      <c r="E1" s="997"/>
      <c r="F1" s="994" t="s">
        <v>658</v>
      </c>
      <c r="G1" s="995"/>
      <c r="H1" s="996" t="s">
        <v>847</v>
      </c>
      <c r="I1" s="997"/>
      <c r="J1" s="491"/>
      <c r="K1" s="491"/>
      <c r="L1" s="491"/>
      <c r="M1" s="491"/>
      <c r="N1" s="491"/>
      <c r="O1" s="69" t="s">
        <v>848</v>
      </c>
    </row>
    <row r="2" spans="1:15" ht="32.25" customHeight="1" x14ac:dyDescent="0.2">
      <c r="A2" s="492" t="s">
        <v>183</v>
      </c>
      <c r="B2" s="493" t="s">
        <v>187</v>
      </c>
      <c r="C2" s="493" t="s">
        <v>188</v>
      </c>
      <c r="D2" s="493" t="s">
        <v>184</v>
      </c>
      <c r="E2" s="494" t="s">
        <v>185</v>
      </c>
      <c r="F2" s="493" t="s">
        <v>187</v>
      </c>
      <c r="G2" s="493" t="s">
        <v>188</v>
      </c>
      <c r="H2" s="493" t="s">
        <v>184</v>
      </c>
      <c r="I2" s="494" t="s">
        <v>185</v>
      </c>
      <c r="J2" s="866"/>
      <c r="K2" s="866"/>
      <c r="L2" s="866"/>
      <c r="M2" s="787"/>
      <c r="N2" s="494"/>
      <c r="O2" s="495" t="s">
        <v>849</v>
      </c>
    </row>
    <row r="3" spans="1:15" ht="16.149999999999999" customHeight="1" x14ac:dyDescent="0.2">
      <c r="A3" s="496" t="s">
        <v>186</v>
      </c>
      <c r="B3" s="497"/>
      <c r="C3" s="497"/>
      <c r="D3" s="498"/>
      <c r="E3" s="498"/>
      <c r="F3" s="497"/>
      <c r="G3" s="497"/>
      <c r="H3" s="498"/>
      <c r="I3" s="498"/>
      <c r="J3" s="864"/>
      <c r="K3" s="864"/>
      <c r="L3" s="864"/>
      <c r="M3" s="788"/>
      <c r="N3" s="498"/>
      <c r="O3" s="495"/>
    </row>
    <row r="4" spans="1:15" ht="16.149999999999999" customHeight="1" x14ac:dyDescent="0.2">
      <c r="A4" s="499" t="s">
        <v>659</v>
      </c>
      <c r="B4" s="413"/>
      <c r="C4" s="413"/>
      <c r="D4" s="413"/>
      <c r="E4" s="413"/>
      <c r="F4" s="413"/>
      <c r="G4" s="413"/>
      <c r="H4" s="413"/>
      <c r="I4" s="413"/>
      <c r="J4" s="830"/>
      <c r="K4" s="830"/>
      <c r="L4" s="830"/>
      <c r="M4" s="789"/>
      <c r="N4" s="413"/>
      <c r="O4" s="495"/>
    </row>
    <row r="5" spans="1:15" ht="16.149999999999999" customHeight="1" x14ac:dyDescent="0.2">
      <c r="A5" s="500" t="s">
        <v>660</v>
      </c>
      <c r="B5" s="413">
        <v>54752</v>
      </c>
      <c r="C5" s="501">
        <v>126.66</v>
      </c>
      <c r="D5" s="413">
        <v>6633500</v>
      </c>
      <c r="E5" s="413">
        <v>840199</v>
      </c>
      <c r="F5" s="413">
        <v>54297</v>
      </c>
      <c r="G5" s="501">
        <v>125.82</v>
      </c>
      <c r="H5" s="413">
        <v>6994000</v>
      </c>
      <c r="I5" s="413">
        <v>879985</v>
      </c>
      <c r="J5" s="830">
        <f t="shared" ref="J5:J41" si="0">I5-K5</f>
        <v>-7.9999999958090484E-2</v>
      </c>
      <c r="K5" s="830">
        <f>L5/1000</f>
        <v>879985.08</v>
      </c>
      <c r="L5" s="789">
        <v>879985080</v>
      </c>
      <c r="M5" s="789">
        <v>879985080</v>
      </c>
      <c r="N5" s="413">
        <v>879985080</v>
      </c>
      <c r="O5" s="502">
        <v>840199110</v>
      </c>
    </row>
    <row r="6" spans="1:15" ht="16.149999999999999" customHeight="1" x14ac:dyDescent="0.2">
      <c r="A6" s="500" t="s">
        <v>661</v>
      </c>
      <c r="B6" s="486"/>
      <c r="C6" s="413"/>
      <c r="E6" s="495"/>
      <c r="F6" s="486"/>
      <c r="G6" s="413"/>
      <c r="I6" s="495"/>
      <c r="J6" s="830">
        <f t="shared" si="0"/>
        <v>0</v>
      </c>
      <c r="K6" s="830">
        <f t="shared" ref="K6:K67" si="1">L6/1000</f>
        <v>0</v>
      </c>
      <c r="L6" s="867"/>
      <c r="M6" s="790"/>
      <c r="N6" s="495"/>
      <c r="O6" s="502"/>
    </row>
    <row r="7" spans="1:15" ht="16.149999999999999" customHeight="1" x14ac:dyDescent="0.2">
      <c r="A7" s="500" t="s">
        <v>662</v>
      </c>
      <c r="B7" s="486"/>
      <c r="C7" s="503">
        <v>23950.2</v>
      </c>
      <c r="D7" s="504">
        <v>26000</v>
      </c>
      <c r="E7" s="413">
        <v>62275</v>
      </c>
      <c r="F7" s="486"/>
      <c r="G7" s="503">
        <v>23950.2</v>
      </c>
      <c r="H7" s="504">
        <v>26000</v>
      </c>
      <c r="I7" s="413">
        <v>62275</v>
      </c>
      <c r="J7" s="830">
        <f t="shared" si="0"/>
        <v>-0.19999999999708962</v>
      </c>
      <c r="K7" s="830">
        <f t="shared" si="1"/>
        <v>62275.199999999997</v>
      </c>
      <c r="L7" s="789">
        <v>62275200</v>
      </c>
      <c r="M7" s="789">
        <v>62275200</v>
      </c>
      <c r="N7" s="502">
        <v>62275200</v>
      </c>
      <c r="O7" s="502">
        <v>62275200</v>
      </c>
    </row>
    <row r="8" spans="1:15" ht="16.149999999999999" customHeight="1" x14ac:dyDescent="0.2">
      <c r="A8" s="500" t="s">
        <v>663</v>
      </c>
      <c r="B8" s="486"/>
      <c r="C8" s="503">
        <v>408.5</v>
      </c>
      <c r="D8" s="504">
        <v>425000</v>
      </c>
      <c r="E8" s="413">
        <v>173613</v>
      </c>
      <c r="F8" s="486"/>
      <c r="G8" s="503">
        <v>408.5</v>
      </c>
      <c r="H8" s="504">
        <v>425000</v>
      </c>
      <c r="I8" s="413">
        <v>173613</v>
      </c>
      <c r="J8" s="830">
        <f t="shared" si="0"/>
        <v>0.5</v>
      </c>
      <c r="K8" s="830">
        <f t="shared" si="1"/>
        <v>173612.5</v>
      </c>
      <c r="L8" s="789">
        <v>173612500</v>
      </c>
      <c r="M8" s="789">
        <v>173612500</v>
      </c>
      <c r="N8" s="502">
        <v>173612500</v>
      </c>
      <c r="O8" s="502">
        <v>173612500</v>
      </c>
    </row>
    <row r="9" spans="1:15" ht="16.149999999999999" customHeight="1" x14ac:dyDescent="0.2">
      <c r="A9" s="500" t="s">
        <v>664</v>
      </c>
      <c r="B9" s="486"/>
      <c r="C9" s="413">
        <v>321768</v>
      </c>
      <c r="D9" s="504">
        <v>85</v>
      </c>
      <c r="E9" s="413">
        <v>27350</v>
      </c>
      <c r="F9" s="486"/>
      <c r="G9" s="413">
        <v>321768</v>
      </c>
      <c r="H9" s="504">
        <v>85</v>
      </c>
      <c r="I9" s="413">
        <v>27350</v>
      </c>
      <c r="J9" s="830">
        <f t="shared" si="0"/>
        <v>-0.27999999999883585</v>
      </c>
      <c r="K9" s="830">
        <f t="shared" si="1"/>
        <v>27350.28</v>
      </c>
      <c r="L9" s="789">
        <v>27350280</v>
      </c>
      <c r="M9" s="789">
        <v>27350280</v>
      </c>
      <c r="N9" s="502">
        <v>27350280</v>
      </c>
      <c r="O9" s="502">
        <v>27350280</v>
      </c>
    </row>
    <row r="10" spans="1:15" ht="16.149999999999999" customHeight="1" x14ac:dyDescent="0.2">
      <c r="A10" s="500" t="s">
        <v>665</v>
      </c>
      <c r="B10" s="413"/>
      <c r="C10" s="505">
        <v>203.00299999999999</v>
      </c>
      <c r="D10" s="504">
        <v>485000</v>
      </c>
      <c r="E10" s="413">
        <v>98456</v>
      </c>
      <c r="F10" s="413"/>
      <c r="G10" s="505">
        <v>203.00299999999999</v>
      </c>
      <c r="H10" s="504">
        <v>485000</v>
      </c>
      <c r="I10" s="413">
        <v>98456</v>
      </c>
      <c r="J10" s="830">
        <f t="shared" si="0"/>
        <v>-0.45500000000174623</v>
      </c>
      <c r="K10" s="830">
        <f t="shared" si="1"/>
        <v>98456.455000000002</v>
      </c>
      <c r="L10" s="789">
        <v>98456455</v>
      </c>
      <c r="M10" s="789">
        <v>98456455</v>
      </c>
      <c r="N10" s="502">
        <v>98456455</v>
      </c>
      <c r="O10" s="502">
        <v>98456455</v>
      </c>
    </row>
    <row r="11" spans="1:15" ht="16.149999999999999" customHeight="1" x14ac:dyDescent="0.2">
      <c r="A11" s="500" t="s">
        <v>666</v>
      </c>
      <c r="B11" s="413">
        <v>54297</v>
      </c>
      <c r="C11" s="413"/>
      <c r="D11" s="504">
        <v>2800</v>
      </c>
      <c r="E11" s="504">
        <v>152032</v>
      </c>
      <c r="F11" s="413">
        <v>54297</v>
      </c>
      <c r="G11" s="413"/>
      <c r="H11" s="504">
        <v>2800</v>
      </c>
      <c r="I11" s="504">
        <v>152032</v>
      </c>
      <c r="J11" s="830">
        <f t="shared" si="0"/>
        <v>0.39999999999417923</v>
      </c>
      <c r="K11" s="830">
        <f t="shared" si="1"/>
        <v>152031.6</v>
      </c>
      <c r="L11" s="791">
        <v>152031600</v>
      </c>
      <c r="M11" s="791">
        <v>152031600</v>
      </c>
      <c r="N11" s="502">
        <v>152031600</v>
      </c>
      <c r="O11" s="502">
        <v>152031600</v>
      </c>
    </row>
    <row r="12" spans="1:15" ht="16.149999999999999" customHeight="1" x14ac:dyDescent="0.2">
      <c r="A12" s="500" t="s">
        <v>667</v>
      </c>
      <c r="B12" s="413">
        <v>4951</v>
      </c>
      <c r="C12" s="413"/>
      <c r="D12" s="504">
        <v>2550</v>
      </c>
      <c r="E12" s="504">
        <v>12625</v>
      </c>
      <c r="F12" s="413">
        <v>4951</v>
      </c>
      <c r="G12" s="413"/>
      <c r="H12" s="504">
        <v>2550</v>
      </c>
      <c r="I12" s="504">
        <v>12625</v>
      </c>
      <c r="J12" s="830">
        <f t="shared" si="0"/>
        <v>-4.9999999999272404E-2</v>
      </c>
      <c r="K12" s="830">
        <f t="shared" si="1"/>
        <v>12625.05</v>
      </c>
      <c r="L12" s="791">
        <v>12625050</v>
      </c>
      <c r="M12" s="791">
        <v>12625050</v>
      </c>
      <c r="N12" s="502">
        <v>12625050</v>
      </c>
      <c r="O12" s="502">
        <v>12625050</v>
      </c>
    </row>
    <row r="13" spans="1:15" ht="16.149999999999999" customHeight="1" x14ac:dyDescent="0.2">
      <c r="A13" s="786" t="s">
        <v>1120</v>
      </c>
      <c r="B13" s="671"/>
      <c r="C13" s="671"/>
      <c r="D13" s="763"/>
      <c r="E13" s="763"/>
      <c r="F13" s="671"/>
      <c r="G13" s="671">
        <v>2000</v>
      </c>
      <c r="H13" s="763">
        <v>500</v>
      </c>
      <c r="I13" s="763">
        <v>1000</v>
      </c>
      <c r="J13" s="830">
        <f t="shared" si="0"/>
        <v>0</v>
      </c>
      <c r="K13" s="830">
        <f t="shared" si="1"/>
        <v>1000</v>
      </c>
      <c r="L13" s="791">
        <v>1000000</v>
      </c>
      <c r="M13" s="791">
        <v>1000000</v>
      </c>
      <c r="N13" s="689"/>
      <c r="O13" s="689"/>
    </row>
    <row r="14" spans="1:15" ht="16.149999999999999" customHeight="1" x14ac:dyDescent="0.2">
      <c r="A14" s="499" t="s">
        <v>668</v>
      </c>
      <c r="B14" s="486"/>
      <c r="C14" s="486"/>
      <c r="D14" s="486"/>
      <c r="E14" s="486"/>
      <c r="F14" s="486"/>
      <c r="G14" s="486"/>
      <c r="H14" s="486"/>
      <c r="I14" s="486"/>
      <c r="J14" s="830">
        <f t="shared" si="0"/>
        <v>0</v>
      </c>
      <c r="K14" s="830">
        <f t="shared" si="1"/>
        <v>0</v>
      </c>
      <c r="L14" s="868"/>
      <c r="M14" s="792"/>
      <c r="N14" s="486"/>
      <c r="O14" s="502"/>
    </row>
    <row r="15" spans="1:15" ht="16.149999999999999" customHeight="1" x14ac:dyDescent="0.2">
      <c r="A15" s="500" t="s">
        <v>669</v>
      </c>
      <c r="B15" s="486"/>
      <c r="C15" s="503">
        <v>1302.7</v>
      </c>
      <c r="D15" s="413">
        <v>172374</v>
      </c>
      <c r="E15" s="413">
        <v>224552</v>
      </c>
      <c r="F15" s="486"/>
      <c r="G15" s="503">
        <v>1314.3</v>
      </c>
      <c r="H15" s="413">
        <v>172374</v>
      </c>
      <c r="I15" s="413">
        <v>226551</v>
      </c>
      <c r="J15" s="830">
        <f t="shared" si="0"/>
        <v>-0.14819999999599531</v>
      </c>
      <c r="K15" s="830">
        <f t="shared" si="1"/>
        <v>226551.1482</v>
      </c>
      <c r="L15" s="830">
        <f t="shared" ref="L15:L44" si="2">G15*H15</f>
        <v>226551148.19999999</v>
      </c>
      <c r="M15" s="789">
        <v>227533680</v>
      </c>
      <c r="N15" s="502">
        <v>224551610</v>
      </c>
      <c r="O15" s="502">
        <v>224551610</v>
      </c>
    </row>
    <row r="16" spans="1:15" ht="16.149999999999999" customHeight="1" x14ac:dyDescent="0.2">
      <c r="A16" s="485" t="s">
        <v>670</v>
      </c>
      <c r="B16" s="486"/>
      <c r="C16" s="503">
        <v>119.9</v>
      </c>
      <c r="D16" s="413">
        <v>8372000</v>
      </c>
      <c r="E16" s="413">
        <v>1003803</v>
      </c>
      <c r="F16" s="486"/>
      <c r="G16" s="503">
        <v>121.2</v>
      </c>
      <c r="H16" s="413">
        <v>8372000</v>
      </c>
      <c r="I16" s="413">
        <v>1014686</v>
      </c>
      <c r="J16" s="830">
        <f t="shared" si="0"/>
        <v>-0.40000000002328306</v>
      </c>
      <c r="K16" s="830">
        <f t="shared" si="1"/>
        <v>1014686.4</v>
      </c>
      <c r="L16" s="830">
        <f t="shared" si="2"/>
        <v>1014686400</v>
      </c>
      <c r="M16" s="789">
        <v>1016360800</v>
      </c>
      <c r="N16" s="506">
        <v>1003802800</v>
      </c>
      <c r="O16" s="506">
        <v>1003802800</v>
      </c>
    </row>
    <row r="17" spans="1:15" ht="16.149999999999999" customHeight="1" x14ac:dyDescent="0.2">
      <c r="A17" s="485" t="s">
        <v>850</v>
      </c>
      <c r="B17" s="486"/>
      <c r="C17" s="503">
        <v>119.9</v>
      </c>
      <c r="D17" s="413">
        <v>1775000</v>
      </c>
      <c r="E17" s="413">
        <v>212822</v>
      </c>
      <c r="F17" s="486"/>
      <c r="G17" s="503">
        <v>121.2</v>
      </c>
      <c r="H17" s="413">
        <v>1775000</v>
      </c>
      <c r="I17" s="413">
        <v>215130</v>
      </c>
      <c r="J17" s="830">
        <f t="shared" si="0"/>
        <v>0</v>
      </c>
      <c r="K17" s="830">
        <f t="shared" si="1"/>
        <v>215130</v>
      </c>
      <c r="L17" s="830">
        <f t="shared" si="2"/>
        <v>215130000</v>
      </c>
      <c r="M17" s="789">
        <v>215485000</v>
      </c>
      <c r="N17" s="506">
        <v>212822500</v>
      </c>
      <c r="O17" s="506">
        <v>212822500</v>
      </c>
    </row>
    <row r="18" spans="1:15" ht="27" customHeight="1" x14ac:dyDescent="0.2">
      <c r="A18" s="672" t="s">
        <v>1119</v>
      </c>
      <c r="B18" s="764"/>
      <c r="C18" s="765"/>
      <c r="D18" s="671"/>
      <c r="E18" s="671"/>
      <c r="F18" s="764"/>
      <c r="G18" s="503">
        <v>121.2</v>
      </c>
      <c r="H18" s="671">
        <v>90000</v>
      </c>
      <c r="I18" s="671">
        <v>10908</v>
      </c>
      <c r="J18" s="830">
        <f t="shared" si="0"/>
        <v>0</v>
      </c>
      <c r="K18" s="830">
        <f t="shared" si="1"/>
        <v>10908</v>
      </c>
      <c r="L18" s="830">
        <f t="shared" si="2"/>
        <v>10908000</v>
      </c>
      <c r="M18" s="789">
        <v>10926000</v>
      </c>
      <c r="N18" s="766"/>
      <c r="O18" s="766"/>
    </row>
    <row r="19" spans="1:15" ht="16.149999999999999" customHeight="1" x14ac:dyDescent="0.2">
      <c r="A19" s="500" t="s">
        <v>671</v>
      </c>
      <c r="B19" s="486"/>
      <c r="C19" s="486"/>
      <c r="D19" s="486"/>
      <c r="E19" s="486"/>
      <c r="F19" s="486"/>
      <c r="G19" s="486"/>
      <c r="H19" s="486"/>
      <c r="I19" s="486"/>
      <c r="J19" s="830">
        <f t="shared" si="0"/>
        <v>0</v>
      </c>
      <c r="K19" s="830">
        <f t="shared" si="1"/>
        <v>0</v>
      </c>
      <c r="L19" s="830">
        <f t="shared" si="2"/>
        <v>0</v>
      </c>
      <c r="M19" s="792"/>
      <c r="N19" s="502"/>
      <c r="O19" s="502"/>
    </row>
    <row r="20" spans="1:15" ht="16.149999999999999" customHeight="1" x14ac:dyDescent="0.2">
      <c r="A20" s="500" t="s">
        <v>672</v>
      </c>
      <c r="B20" s="486"/>
      <c r="C20" s="503">
        <v>44</v>
      </c>
      <c r="D20" s="413">
        <v>717000</v>
      </c>
      <c r="E20" s="413">
        <v>31548</v>
      </c>
      <c r="F20" s="486"/>
      <c r="G20" s="503">
        <v>44.7</v>
      </c>
      <c r="H20" s="413">
        <v>717000</v>
      </c>
      <c r="I20" s="413">
        <v>32050</v>
      </c>
      <c r="J20" s="830">
        <f t="shared" si="0"/>
        <v>9.999999999490683E-2</v>
      </c>
      <c r="K20" s="830">
        <f t="shared" si="1"/>
        <v>32049.900000000005</v>
      </c>
      <c r="L20" s="830">
        <f t="shared" si="2"/>
        <v>32049900.000000004</v>
      </c>
      <c r="M20" s="789">
        <v>30759300</v>
      </c>
      <c r="N20" s="506">
        <v>31548000</v>
      </c>
      <c r="O20" s="506">
        <v>31548000</v>
      </c>
    </row>
    <row r="21" spans="1:15" ht="20.25" customHeight="1" x14ac:dyDescent="0.2">
      <c r="A21" s="485" t="s">
        <v>850</v>
      </c>
      <c r="B21" s="486"/>
      <c r="C21" s="503">
        <v>44</v>
      </c>
      <c r="D21" s="413">
        <v>152000</v>
      </c>
      <c r="E21" s="413">
        <v>6688</v>
      </c>
      <c r="F21" s="486"/>
      <c r="G21" s="503">
        <v>44.7</v>
      </c>
      <c r="H21" s="413">
        <v>152000</v>
      </c>
      <c r="I21" s="413">
        <v>6794</v>
      </c>
      <c r="J21" s="830">
        <f t="shared" si="0"/>
        <v>-0.3999999999996362</v>
      </c>
      <c r="K21" s="830">
        <f t="shared" si="1"/>
        <v>6794.4</v>
      </c>
      <c r="L21" s="830">
        <f t="shared" si="2"/>
        <v>6794400</v>
      </c>
      <c r="M21" s="789">
        <v>6520800</v>
      </c>
      <c r="N21" s="507">
        <v>6688000</v>
      </c>
      <c r="O21" s="507">
        <v>6688000</v>
      </c>
    </row>
    <row r="22" spans="1:15" ht="25.15" customHeight="1" x14ac:dyDescent="0.2">
      <c r="A22" s="485" t="s">
        <v>673</v>
      </c>
      <c r="B22" s="486"/>
      <c r="C22" s="413">
        <v>2</v>
      </c>
      <c r="D22" s="413">
        <v>2674000</v>
      </c>
      <c r="E22" s="413">
        <v>5348</v>
      </c>
      <c r="F22" s="486"/>
      <c r="G22" s="413">
        <v>4</v>
      </c>
      <c r="H22" s="413">
        <v>2674000</v>
      </c>
      <c r="I22" s="413">
        <v>10696</v>
      </c>
      <c r="J22" s="830">
        <f t="shared" si="0"/>
        <v>0</v>
      </c>
      <c r="K22" s="830">
        <f t="shared" si="1"/>
        <v>10696</v>
      </c>
      <c r="L22" s="830">
        <f t="shared" si="2"/>
        <v>10696000</v>
      </c>
      <c r="M22" s="789">
        <v>10696000</v>
      </c>
      <c r="N22" s="508">
        <v>5348000</v>
      </c>
      <c r="O22" s="508">
        <v>5348000</v>
      </c>
    </row>
    <row r="23" spans="1:15" ht="25.15" customHeight="1" x14ac:dyDescent="0.2">
      <c r="A23" s="485" t="s">
        <v>850</v>
      </c>
      <c r="B23" s="486"/>
      <c r="C23" s="413">
        <v>2</v>
      </c>
      <c r="D23" s="413">
        <v>567000</v>
      </c>
      <c r="E23" s="413">
        <v>1134</v>
      </c>
      <c r="F23" s="486"/>
      <c r="G23" s="413">
        <v>4</v>
      </c>
      <c r="H23" s="413">
        <v>567000</v>
      </c>
      <c r="I23" s="413">
        <v>2268</v>
      </c>
      <c r="J23" s="830">
        <f t="shared" si="0"/>
        <v>0</v>
      </c>
      <c r="K23" s="830">
        <f t="shared" si="1"/>
        <v>2268</v>
      </c>
      <c r="L23" s="830">
        <f t="shared" si="2"/>
        <v>2268000</v>
      </c>
      <c r="M23" s="789">
        <v>2268000</v>
      </c>
      <c r="N23" s="509">
        <v>1134000</v>
      </c>
      <c r="O23" s="509">
        <v>1134000</v>
      </c>
    </row>
    <row r="24" spans="1:15" ht="25.15" customHeight="1" x14ac:dyDescent="0.2">
      <c r="A24" s="485" t="s">
        <v>736</v>
      </c>
      <c r="B24" s="486"/>
      <c r="C24" s="413">
        <v>1</v>
      </c>
      <c r="D24" s="413">
        <v>864000</v>
      </c>
      <c r="E24" s="413">
        <v>864</v>
      </c>
      <c r="F24" s="486"/>
      <c r="G24" s="413">
        <v>1</v>
      </c>
      <c r="H24" s="413">
        <v>864000</v>
      </c>
      <c r="I24" s="413">
        <v>864</v>
      </c>
      <c r="J24" s="830">
        <f t="shared" si="0"/>
        <v>0</v>
      </c>
      <c r="K24" s="830">
        <f t="shared" si="1"/>
        <v>864</v>
      </c>
      <c r="L24" s="830">
        <f t="shared" si="2"/>
        <v>864000</v>
      </c>
      <c r="M24" s="789">
        <v>864000</v>
      </c>
      <c r="N24" s="508">
        <v>864000</v>
      </c>
      <c r="O24" s="508">
        <v>864000</v>
      </c>
    </row>
    <row r="25" spans="1:15" ht="18" customHeight="1" x14ac:dyDescent="0.2">
      <c r="A25" s="485" t="s">
        <v>850</v>
      </c>
      <c r="B25" s="486"/>
      <c r="C25" s="413">
        <v>1</v>
      </c>
      <c r="D25" s="413">
        <v>183000</v>
      </c>
      <c r="E25" s="413">
        <v>183</v>
      </c>
      <c r="F25" s="486"/>
      <c r="G25" s="413">
        <v>1</v>
      </c>
      <c r="H25" s="413">
        <v>183000</v>
      </c>
      <c r="I25" s="413">
        <v>183</v>
      </c>
      <c r="J25" s="830">
        <f t="shared" si="0"/>
        <v>0</v>
      </c>
      <c r="K25" s="830">
        <f t="shared" si="1"/>
        <v>183</v>
      </c>
      <c r="L25" s="830">
        <f t="shared" si="2"/>
        <v>183000</v>
      </c>
      <c r="M25" s="789">
        <v>183000</v>
      </c>
      <c r="N25" s="509">
        <v>183000</v>
      </c>
      <c r="O25" s="509">
        <v>183000</v>
      </c>
    </row>
    <row r="26" spans="1:15" ht="24.75" customHeight="1" x14ac:dyDescent="0.2">
      <c r="A26" s="485" t="s">
        <v>674</v>
      </c>
      <c r="B26" s="510"/>
      <c r="C26" s="503">
        <v>82</v>
      </c>
      <c r="D26" s="413">
        <v>5268000</v>
      </c>
      <c r="E26" s="413">
        <v>431976</v>
      </c>
      <c r="F26" s="510"/>
      <c r="G26" s="503">
        <v>81.7</v>
      </c>
      <c r="H26" s="413">
        <v>5268000</v>
      </c>
      <c r="I26" s="413">
        <v>430396</v>
      </c>
      <c r="J26" s="830">
        <f t="shared" si="0"/>
        <v>0.40000000002328306</v>
      </c>
      <c r="K26" s="830">
        <f t="shared" si="1"/>
        <v>430395.6</v>
      </c>
      <c r="L26" s="830">
        <f t="shared" si="2"/>
        <v>430395600</v>
      </c>
      <c r="M26" s="789">
        <v>431976000</v>
      </c>
      <c r="N26" s="502">
        <v>431976000</v>
      </c>
      <c r="O26" s="502">
        <v>431976000</v>
      </c>
    </row>
    <row r="27" spans="1:15" ht="15" customHeight="1" x14ac:dyDescent="0.2">
      <c r="A27" s="499" t="s">
        <v>675</v>
      </c>
      <c r="B27" s="486"/>
      <c r="C27" s="486"/>
      <c r="D27" s="486"/>
      <c r="E27" s="486"/>
      <c r="F27" s="486"/>
      <c r="G27" s="486"/>
      <c r="H27" s="486"/>
      <c r="I27" s="486"/>
      <c r="J27" s="830">
        <f t="shared" si="0"/>
        <v>0</v>
      </c>
      <c r="K27" s="830">
        <f t="shared" si="1"/>
        <v>0</v>
      </c>
      <c r="L27" s="830">
        <f t="shared" si="2"/>
        <v>0</v>
      </c>
      <c r="M27" s="792"/>
      <c r="N27" s="486"/>
      <c r="O27" s="502"/>
    </row>
    <row r="28" spans="1:15" ht="15" customHeight="1" x14ac:dyDescent="0.2">
      <c r="A28" s="500" t="s">
        <v>676</v>
      </c>
      <c r="B28" s="486"/>
      <c r="C28" s="503">
        <v>8.3000000000000007</v>
      </c>
      <c r="D28" s="413">
        <v>6643100</v>
      </c>
      <c r="E28" s="413">
        <v>55138</v>
      </c>
      <c r="F28" s="486"/>
      <c r="G28" s="503">
        <v>9</v>
      </c>
      <c r="H28" s="413">
        <v>7140000</v>
      </c>
      <c r="I28" s="413">
        <v>64260</v>
      </c>
      <c r="J28" s="830">
        <f t="shared" si="0"/>
        <v>0</v>
      </c>
      <c r="K28" s="830">
        <f t="shared" si="1"/>
        <v>64260</v>
      </c>
      <c r="L28" s="830">
        <f t="shared" si="2"/>
        <v>64260000</v>
      </c>
      <c r="M28" s="789">
        <v>64260000</v>
      </c>
      <c r="N28" s="413">
        <v>64260000</v>
      </c>
      <c r="O28" s="502">
        <v>55137730</v>
      </c>
    </row>
    <row r="29" spans="1:15" ht="15" customHeight="1" x14ac:dyDescent="0.2">
      <c r="A29" s="500" t="s">
        <v>677</v>
      </c>
      <c r="B29" s="486"/>
      <c r="C29" s="501">
        <v>22.6</v>
      </c>
      <c r="D29" s="413">
        <v>6770000</v>
      </c>
      <c r="E29" s="413">
        <v>153002</v>
      </c>
      <c r="F29" s="486"/>
      <c r="G29" s="501">
        <v>22.6</v>
      </c>
      <c r="H29" s="413">
        <v>6770000</v>
      </c>
      <c r="I29" s="413">
        <v>153002</v>
      </c>
      <c r="J29" s="830">
        <f t="shared" si="0"/>
        <v>0</v>
      </c>
      <c r="K29" s="830">
        <f t="shared" si="1"/>
        <v>153002</v>
      </c>
      <c r="L29" s="830">
        <f t="shared" si="2"/>
        <v>153002000</v>
      </c>
      <c r="M29" s="789">
        <v>153002000</v>
      </c>
      <c r="N29" s="502">
        <v>153002000</v>
      </c>
      <c r="O29" s="502">
        <v>153002000</v>
      </c>
    </row>
    <row r="30" spans="1:15" ht="15" customHeight="1" x14ac:dyDescent="0.2">
      <c r="A30" s="500" t="s">
        <v>712</v>
      </c>
      <c r="B30" s="486"/>
      <c r="C30" s="503">
        <v>1</v>
      </c>
      <c r="D30" s="413">
        <v>15000000</v>
      </c>
      <c r="E30" s="413">
        <v>15000</v>
      </c>
      <c r="F30" s="486"/>
      <c r="G30" s="503">
        <v>1</v>
      </c>
      <c r="H30" s="413">
        <v>15000000</v>
      </c>
      <c r="I30" s="413">
        <v>15000</v>
      </c>
      <c r="J30" s="830">
        <f t="shared" si="0"/>
        <v>0</v>
      </c>
      <c r="K30" s="830">
        <f t="shared" si="1"/>
        <v>15000</v>
      </c>
      <c r="L30" s="830">
        <f t="shared" si="2"/>
        <v>15000000</v>
      </c>
      <c r="M30" s="789">
        <v>15000000</v>
      </c>
      <c r="N30" s="502">
        <v>15000000</v>
      </c>
      <c r="O30" s="502">
        <v>15000000</v>
      </c>
    </row>
    <row r="31" spans="1:15" ht="15" customHeight="1" x14ac:dyDescent="0.2">
      <c r="A31" s="485" t="s">
        <v>769</v>
      </c>
      <c r="B31" s="486"/>
      <c r="C31" s="413">
        <v>13726</v>
      </c>
      <c r="D31" s="413">
        <v>5255</v>
      </c>
      <c r="E31" s="413">
        <v>72130</v>
      </c>
      <c r="F31" s="486"/>
      <c r="G31" s="413">
        <v>13726</v>
      </c>
      <c r="H31" s="413">
        <v>5255</v>
      </c>
      <c r="I31" s="413">
        <v>72130</v>
      </c>
      <c r="J31" s="830">
        <f t="shared" si="0"/>
        <v>-0.13000000000465661</v>
      </c>
      <c r="K31" s="830">
        <f t="shared" si="1"/>
        <v>72130.13</v>
      </c>
      <c r="L31" s="830">
        <f t="shared" si="2"/>
        <v>72130130</v>
      </c>
      <c r="M31" s="789">
        <v>72130130</v>
      </c>
      <c r="N31" s="502">
        <v>72130130</v>
      </c>
      <c r="O31" s="502">
        <v>72130130</v>
      </c>
    </row>
    <row r="32" spans="1:15" ht="12.75" customHeight="1" x14ac:dyDescent="0.2">
      <c r="A32" s="500" t="s">
        <v>678</v>
      </c>
      <c r="B32" s="486"/>
      <c r="C32" s="413">
        <v>310</v>
      </c>
      <c r="D32" s="413">
        <v>97410</v>
      </c>
      <c r="E32" s="413">
        <v>30197</v>
      </c>
      <c r="F32" s="486"/>
      <c r="G32" s="413">
        <v>310</v>
      </c>
      <c r="H32" s="413">
        <v>97410</v>
      </c>
      <c r="I32" s="413">
        <v>30197</v>
      </c>
      <c r="J32" s="830">
        <f t="shared" si="0"/>
        <v>-9.9999999998544808E-2</v>
      </c>
      <c r="K32" s="830">
        <f t="shared" si="1"/>
        <v>30197.1</v>
      </c>
      <c r="L32" s="830">
        <f t="shared" si="2"/>
        <v>30197100</v>
      </c>
      <c r="M32" s="789">
        <v>30197100</v>
      </c>
      <c r="N32" s="502">
        <v>30197100</v>
      </c>
      <c r="O32" s="502">
        <v>30197100</v>
      </c>
    </row>
    <row r="33" spans="1:15" ht="14.25" customHeight="1" x14ac:dyDescent="0.2">
      <c r="A33" s="500" t="s">
        <v>679</v>
      </c>
      <c r="B33" s="486"/>
      <c r="C33" s="413"/>
      <c r="D33" s="413"/>
      <c r="E33" s="413"/>
      <c r="F33" s="486"/>
      <c r="G33" s="413"/>
      <c r="H33" s="413"/>
      <c r="I33" s="413"/>
      <c r="J33" s="830">
        <f t="shared" si="0"/>
        <v>0</v>
      </c>
      <c r="K33" s="830">
        <f t="shared" si="1"/>
        <v>0</v>
      </c>
      <c r="L33" s="830">
        <f t="shared" si="2"/>
        <v>0</v>
      </c>
      <c r="M33" s="789"/>
      <c r="N33" s="502"/>
      <c r="O33" s="502"/>
    </row>
    <row r="34" spans="1:15" ht="15" customHeight="1" x14ac:dyDescent="0.2">
      <c r="A34" s="500" t="s">
        <v>680</v>
      </c>
      <c r="B34" s="486"/>
      <c r="C34" s="413">
        <v>2</v>
      </c>
      <c r="D34" s="413">
        <v>25000</v>
      </c>
      <c r="E34" s="413">
        <v>50</v>
      </c>
      <c r="F34" s="486"/>
      <c r="G34" s="413">
        <v>2</v>
      </c>
      <c r="H34" s="413">
        <v>25000</v>
      </c>
      <c r="I34" s="413">
        <v>50</v>
      </c>
      <c r="J34" s="830">
        <f t="shared" si="0"/>
        <v>0</v>
      </c>
      <c r="K34" s="830">
        <f t="shared" si="1"/>
        <v>50</v>
      </c>
      <c r="L34" s="830">
        <f t="shared" si="2"/>
        <v>50000</v>
      </c>
      <c r="M34" s="789">
        <v>50000</v>
      </c>
      <c r="N34" s="502">
        <v>50000</v>
      </c>
      <c r="O34" s="502">
        <v>50000</v>
      </c>
    </row>
    <row r="35" spans="1:15" ht="15" customHeight="1" x14ac:dyDescent="0.2">
      <c r="A35" s="500" t="s">
        <v>681</v>
      </c>
      <c r="B35" s="486"/>
      <c r="C35" s="413">
        <v>50</v>
      </c>
      <c r="D35" s="413">
        <v>842600</v>
      </c>
      <c r="E35" s="413">
        <v>42130</v>
      </c>
      <c r="F35" s="486"/>
      <c r="G35" s="413">
        <v>50</v>
      </c>
      <c r="H35" s="413">
        <v>842600</v>
      </c>
      <c r="I35" s="413">
        <v>42130</v>
      </c>
      <c r="J35" s="830">
        <f t="shared" si="0"/>
        <v>0</v>
      </c>
      <c r="K35" s="830">
        <f t="shared" si="1"/>
        <v>42130</v>
      </c>
      <c r="L35" s="830">
        <f t="shared" si="2"/>
        <v>42130000</v>
      </c>
      <c r="M35" s="789">
        <v>42130000</v>
      </c>
      <c r="N35" s="502">
        <v>42130000</v>
      </c>
      <c r="O35" s="502">
        <v>42130000</v>
      </c>
    </row>
    <row r="36" spans="1:15" ht="27" customHeight="1" x14ac:dyDescent="0.2">
      <c r="A36" s="485" t="s">
        <v>682</v>
      </c>
      <c r="B36" s="486"/>
      <c r="C36" s="413">
        <v>55</v>
      </c>
      <c r="D36" s="413">
        <v>558800</v>
      </c>
      <c r="E36" s="413">
        <v>30734</v>
      </c>
      <c r="F36" s="486"/>
      <c r="G36" s="413">
        <v>55</v>
      </c>
      <c r="H36" s="413">
        <v>558800</v>
      </c>
      <c r="I36" s="413">
        <v>30734</v>
      </c>
      <c r="J36" s="830">
        <f t="shared" si="0"/>
        <v>0</v>
      </c>
      <c r="K36" s="830">
        <f t="shared" si="1"/>
        <v>30734</v>
      </c>
      <c r="L36" s="830">
        <f t="shared" si="2"/>
        <v>30734000</v>
      </c>
      <c r="M36" s="789">
        <v>30734000</v>
      </c>
      <c r="N36" s="413">
        <v>30734000</v>
      </c>
      <c r="O36" s="413">
        <v>30734000</v>
      </c>
    </row>
    <row r="37" spans="1:15" ht="21.75" customHeight="1" x14ac:dyDescent="0.2">
      <c r="A37" s="485" t="s">
        <v>683</v>
      </c>
      <c r="B37" s="486"/>
      <c r="C37" s="413">
        <v>4</v>
      </c>
      <c r="D37" s="413">
        <v>1119800</v>
      </c>
      <c r="E37" s="413">
        <v>4479</v>
      </c>
      <c r="F37" s="486"/>
      <c r="G37" s="413">
        <v>4</v>
      </c>
      <c r="H37" s="413">
        <v>1119800</v>
      </c>
      <c r="I37" s="413">
        <v>4479</v>
      </c>
      <c r="J37" s="830">
        <f t="shared" si="0"/>
        <v>-0.1999999999998181</v>
      </c>
      <c r="K37" s="830">
        <f t="shared" si="1"/>
        <v>4479.2</v>
      </c>
      <c r="L37" s="830">
        <f t="shared" si="2"/>
        <v>4479200</v>
      </c>
      <c r="M37" s="789">
        <v>4479200</v>
      </c>
      <c r="N37" s="502">
        <v>4479200</v>
      </c>
      <c r="O37" s="502">
        <v>4479200</v>
      </c>
    </row>
    <row r="38" spans="1:15" ht="21.75" customHeight="1" x14ac:dyDescent="0.2">
      <c r="A38" s="485" t="s">
        <v>684</v>
      </c>
      <c r="B38" s="486"/>
      <c r="C38" s="413">
        <v>20</v>
      </c>
      <c r="D38" s="413">
        <v>605500</v>
      </c>
      <c r="E38" s="413">
        <v>12110</v>
      </c>
      <c r="F38" s="486"/>
      <c r="G38" s="413">
        <v>20</v>
      </c>
      <c r="H38" s="413">
        <v>605500</v>
      </c>
      <c r="I38" s="413">
        <v>12110</v>
      </c>
      <c r="J38" s="830">
        <f t="shared" si="0"/>
        <v>0</v>
      </c>
      <c r="K38" s="830">
        <f t="shared" si="1"/>
        <v>12110</v>
      </c>
      <c r="L38" s="830">
        <f t="shared" si="2"/>
        <v>12110000</v>
      </c>
      <c r="M38" s="789">
        <v>12110000</v>
      </c>
      <c r="N38" s="502">
        <v>12110000</v>
      </c>
      <c r="O38" s="502">
        <v>12110000</v>
      </c>
    </row>
    <row r="39" spans="1:15" ht="21" customHeight="1" x14ac:dyDescent="0.2">
      <c r="A39" s="485" t="s">
        <v>685</v>
      </c>
      <c r="B39" s="486"/>
      <c r="C39" s="413">
        <v>8</v>
      </c>
      <c r="D39" s="413">
        <v>579400</v>
      </c>
      <c r="E39" s="413">
        <v>4635</v>
      </c>
      <c r="F39" s="486"/>
      <c r="G39" s="413">
        <v>8</v>
      </c>
      <c r="H39" s="413">
        <v>579400</v>
      </c>
      <c r="I39" s="413">
        <v>4635</v>
      </c>
      <c r="J39" s="830">
        <f t="shared" si="0"/>
        <v>-0.1999999999998181</v>
      </c>
      <c r="K39" s="830">
        <f t="shared" si="1"/>
        <v>4635.2</v>
      </c>
      <c r="L39" s="830">
        <f t="shared" si="2"/>
        <v>4635200</v>
      </c>
      <c r="M39" s="789">
        <v>4635200</v>
      </c>
      <c r="N39" s="413">
        <v>4635200</v>
      </c>
      <c r="O39" s="413">
        <v>4635200</v>
      </c>
    </row>
    <row r="40" spans="1:15" ht="21" customHeight="1" x14ac:dyDescent="0.2">
      <c r="A40" s="511" t="s">
        <v>737</v>
      </c>
      <c r="B40" s="486"/>
      <c r="C40" s="486"/>
      <c r="D40" s="486"/>
      <c r="E40" s="486"/>
      <c r="F40" s="486"/>
      <c r="G40" s="486"/>
      <c r="H40" s="486"/>
      <c r="I40" s="486"/>
      <c r="J40" s="830">
        <f t="shared" si="0"/>
        <v>0</v>
      </c>
      <c r="K40" s="830">
        <f t="shared" si="1"/>
        <v>0</v>
      </c>
      <c r="L40" s="830">
        <f t="shared" si="2"/>
        <v>0</v>
      </c>
      <c r="M40" s="792"/>
      <c r="N40" s="502"/>
      <c r="O40" s="502"/>
    </row>
    <row r="41" spans="1:15" ht="13.5" customHeight="1" x14ac:dyDescent="0.2">
      <c r="A41" s="500" t="s">
        <v>686</v>
      </c>
      <c r="B41" s="486"/>
      <c r="C41" s="486"/>
      <c r="D41" s="486"/>
      <c r="E41" s="486"/>
      <c r="F41" s="486"/>
      <c r="G41" s="486"/>
      <c r="H41" s="486"/>
      <c r="I41" s="486"/>
      <c r="J41" s="830">
        <f t="shared" si="0"/>
        <v>0</v>
      </c>
      <c r="K41" s="830">
        <f t="shared" si="1"/>
        <v>0</v>
      </c>
      <c r="L41" s="830">
        <f t="shared" si="2"/>
        <v>0</v>
      </c>
      <c r="M41" s="792"/>
      <c r="N41" s="502"/>
      <c r="O41" s="502"/>
    </row>
    <row r="42" spans="1:15" ht="13.5" customHeight="1" x14ac:dyDescent="0.2">
      <c r="A42" s="500" t="s">
        <v>687</v>
      </c>
      <c r="B42" s="486"/>
      <c r="C42" s="503">
        <v>23.7</v>
      </c>
      <c r="D42" s="413">
        <v>8522000</v>
      </c>
      <c r="E42" s="413">
        <v>201971</v>
      </c>
      <c r="F42" s="486"/>
      <c r="G42" s="503">
        <v>25</v>
      </c>
      <c r="H42" s="413">
        <v>8522000</v>
      </c>
      <c r="I42" s="413">
        <v>213050</v>
      </c>
      <c r="J42" s="830">
        <f>I42-K42</f>
        <v>0</v>
      </c>
      <c r="K42" s="830">
        <f t="shared" si="1"/>
        <v>213050</v>
      </c>
      <c r="L42" s="830">
        <f t="shared" si="2"/>
        <v>213050000</v>
      </c>
      <c r="M42" s="789">
        <v>208789000</v>
      </c>
      <c r="N42" s="506">
        <v>201971400</v>
      </c>
      <c r="O42" s="506">
        <v>201971400</v>
      </c>
    </row>
    <row r="43" spans="1:15" ht="13.5" customHeight="1" x14ac:dyDescent="0.2">
      <c r="A43" s="485" t="s">
        <v>850</v>
      </c>
      <c r="B43" s="486"/>
      <c r="C43" s="503">
        <v>23.7</v>
      </c>
      <c r="D43" s="413">
        <v>1775000</v>
      </c>
      <c r="E43" s="413">
        <v>42068</v>
      </c>
      <c r="F43" s="486"/>
      <c r="G43" s="503">
        <v>25</v>
      </c>
      <c r="H43" s="413">
        <v>1775000</v>
      </c>
      <c r="I43" s="413">
        <v>44375</v>
      </c>
      <c r="J43" s="830">
        <f t="shared" ref="J43:J67" si="3">I43-K43</f>
        <v>0</v>
      </c>
      <c r="K43" s="830">
        <f t="shared" si="1"/>
        <v>44375</v>
      </c>
      <c r="L43" s="830">
        <f t="shared" si="2"/>
        <v>44375000</v>
      </c>
      <c r="M43" s="789">
        <v>43487500</v>
      </c>
      <c r="N43" s="506">
        <v>42067500</v>
      </c>
      <c r="O43" s="506">
        <v>42067500</v>
      </c>
    </row>
    <row r="44" spans="1:15" ht="26.25" customHeight="1" x14ac:dyDescent="0.2">
      <c r="A44" s="485" t="s">
        <v>688</v>
      </c>
      <c r="B44" s="486"/>
      <c r="C44" s="503">
        <v>60.3</v>
      </c>
      <c r="D44" s="413">
        <v>7338000</v>
      </c>
      <c r="E44" s="413">
        <v>442481</v>
      </c>
      <c r="F44" s="486"/>
      <c r="G44" s="503">
        <v>57.9</v>
      </c>
      <c r="H44" s="413">
        <v>7338000</v>
      </c>
      <c r="I44" s="413">
        <v>424870</v>
      </c>
      <c r="J44" s="830">
        <f t="shared" si="3"/>
        <v>-0.20000000001164153</v>
      </c>
      <c r="K44" s="830">
        <f t="shared" si="1"/>
        <v>424870.2</v>
      </c>
      <c r="L44" s="830">
        <f t="shared" si="2"/>
        <v>424870200</v>
      </c>
      <c r="M44" s="789">
        <v>425604000</v>
      </c>
      <c r="N44" s="502">
        <v>442481400</v>
      </c>
      <c r="O44" s="502">
        <v>442481400</v>
      </c>
    </row>
    <row r="45" spans="1:15" ht="13.5" customHeight="1" x14ac:dyDescent="0.2">
      <c r="A45" s="500" t="s">
        <v>689</v>
      </c>
      <c r="B45" s="486"/>
      <c r="C45" s="486"/>
      <c r="D45" s="486"/>
      <c r="E45" s="413">
        <v>119963</v>
      </c>
      <c r="F45" s="486"/>
      <c r="G45" s="486"/>
      <c r="H45" s="486"/>
      <c r="I45" s="413">
        <v>119963</v>
      </c>
      <c r="J45" s="830">
        <f t="shared" si="3"/>
        <v>0.2529999999969732</v>
      </c>
      <c r="K45" s="830">
        <f t="shared" si="1"/>
        <v>119962.747</v>
      </c>
      <c r="L45" s="830">
        <v>119962747</v>
      </c>
      <c r="M45" s="789">
        <v>119962747</v>
      </c>
      <c r="N45" s="512">
        <v>119962747</v>
      </c>
      <c r="O45" s="512">
        <v>119962747</v>
      </c>
    </row>
    <row r="46" spans="1:15" ht="34.5" customHeight="1" x14ac:dyDescent="0.2">
      <c r="A46" s="511" t="s">
        <v>738</v>
      </c>
      <c r="B46" s="486"/>
      <c r="C46" s="486"/>
      <c r="D46" s="486"/>
      <c r="E46" s="486"/>
      <c r="F46" s="486"/>
      <c r="G46" s="486"/>
      <c r="H46" s="486"/>
      <c r="I46" s="486"/>
      <c r="J46" s="830">
        <f t="shared" si="3"/>
        <v>0</v>
      </c>
      <c r="K46" s="830">
        <f t="shared" si="1"/>
        <v>0</v>
      </c>
      <c r="L46" s="830">
        <f>G46*H46</f>
        <v>0</v>
      </c>
      <c r="M46" s="792"/>
      <c r="N46" s="486"/>
      <c r="O46" s="502"/>
    </row>
    <row r="47" spans="1:15" ht="13.5" customHeight="1" x14ac:dyDescent="0.2">
      <c r="A47" s="485" t="s">
        <v>739</v>
      </c>
      <c r="B47" s="486"/>
      <c r="C47" s="503">
        <v>35.200000000000003</v>
      </c>
      <c r="D47" s="413">
        <v>7791200</v>
      </c>
      <c r="E47" s="413">
        <v>274250</v>
      </c>
      <c r="F47" s="486"/>
      <c r="G47" s="503">
        <v>35.200000000000003</v>
      </c>
      <c r="H47" s="413">
        <v>7791200</v>
      </c>
      <c r="I47" s="413">
        <v>274250</v>
      </c>
      <c r="J47" s="830">
        <f t="shared" si="3"/>
        <v>-0.23999999999068677</v>
      </c>
      <c r="K47" s="830">
        <f t="shared" si="1"/>
        <v>274250.23999999999</v>
      </c>
      <c r="L47" s="830">
        <f>G47*H47</f>
        <v>274250240</v>
      </c>
      <c r="M47" s="789">
        <v>274250240</v>
      </c>
      <c r="N47" s="502">
        <v>274250240</v>
      </c>
      <c r="O47" s="502">
        <v>274250240</v>
      </c>
    </row>
    <row r="48" spans="1:15" ht="13.5" customHeight="1" x14ac:dyDescent="0.2">
      <c r="A48" s="500" t="s">
        <v>690</v>
      </c>
      <c r="B48" s="486"/>
      <c r="C48" s="486"/>
      <c r="D48" s="486"/>
      <c r="E48" s="413">
        <v>28719</v>
      </c>
      <c r="F48" s="486"/>
      <c r="G48" s="486"/>
      <c r="H48" s="486"/>
      <c r="I48" s="413">
        <v>28719</v>
      </c>
      <c r="J48" s="830">
        <f t="shared" si="3"/>
        <v>2.899999999863212E-2</v>
      </c>
      <c r="K48" s="830">
        <f t="shared" si="1"/>
        <v>28718.971000000001</v>
      </c>
      <c r="L48" s="830">
        <v>28718971</v>
      </c>
      <c r="M48" s="789">
        <v>28718971</v>
      </c>
      <c r="N48" s="512">
        <v>28718971</v>
      </c>
      <c r="O48" s="512">
        <v>28718971</v>
      </c>
    </row>
    <row r="49" spans="1:15" ht="13.5" customHeight="1" x14ac:dyDescent="0.2">
      <c r="A49" s="513" t="s">
        <v>691</v>
      </c>
      <c r="B49" s="486"/>
      <c r="C49" s="486"/>
      <c r="D49" s="486"/>
      <c r="E49" s="413"/>
      <c r="F49" s="486"/>
      <c r="G49" s="486"/>
      <c r="H49" s="486"/>
      <c r="I49" s="413"/>
      <c r="J49" s="830">
        <f t="shared" si="3"/>
        <v>0</v>
      </c>
      <c r="K49" s="830">
        <f t="shared" si="1"/>
        <v>0</v>
      </c>
      <c r="L49" s="830">
        <f>G49*H49</f>
        <v>0</v>
      </c>
      <c r="M49" s="789"/>
      <c r="N49" s="413"/>
      <c r="O49" s="502"/>
    </row>
    <row r="50" spans="1:15" ht="13.5" customHeight="1" x14ac:dyDescent="0.2">
      <c r="A50" s="500" t="s">
        <v>692</v>
      </c>
      <c r="B50" s="486"/>
      <c r="C50" s="501">
        <v>98.4</v>
      </c>
      <c r="D50" s="413">
        <v>3924000</v>
      </c>
      <c r="E50" s="413">
        <v>386122</v>
      </c>
      <c r="F50" s="486"/>
      <c r="G50" s="501">
        <v>95.18</v>
      </c>
      <c r="H50" s="413">
        <v>3924000</v>
      </c>
      <c r="I50" s="413">
        <v>373487</v>
      </c>
      <c r="J50" s="830">
        <f t="shared" si="3"/>
        <v>0.67999999999301508</v>
      </c>
      <c r="K50" s="830">
        <f t="shared" si="1"/>
        <v>373486.32</v>
      </c>
      <c r="L50" s="830">
        <f>G50*H50</f>
        <v>373486320</v>
      </c>
      <c r="M50" s="789">
        <v>384355800</v>
      </c>
      <c r="N50" s="502">
        <v>386121600</v>
      </c>
      <c r="O50" s="502">
        <v>386121600</v>
      </c>
    </row>
    <row r="51" spans="1:15" ht="13.5" customHeight="1" x14ac:dyDescent="0.2">
      <c r="A51" s="500" t="s">
        <v>693</v>
      </c>
      <c r="B51" s="486"/>
      <c r="C51" s="486"/>
      <c r="D51" s="486"/>
      <c r="E51" s="413">
        <v>380951</v>
      </c>
      <c r="F51" s="486"/>
      <c r="G51" s="486"/>
      <c r="H51" s="486"/>
      <c r="I51" s="413">
        <v>422544</v>
      </c>
      <c r="J51" s="830">
        <f t="shared" si="3"/>
        <v>-2.7999999991152436E-2</v>
      </c>
      <c r="K51" s="830">
        <f t="shared" si="1"/>
        <v>422544.02799999999</v>
      </c>
      <c r="L51" s="830">
        <v>422544028</v>
      </c>
      <c r="M51" s="789">
        <v>422544028</v>
      </c>
      <c r="N51" s="512">
        <v>380950504</v>
      </c>
      <c r="O51" s="512">
        <v>380950504</v>
      </c>
    </row>
    <row r="52" spans="1:15" ht="13.5" customHeight="1" x14ac:dyDescent="0.2">
      <c r="A52" s="500" t="s">
        <v>694</v>
      </c>
      <c r="B52" s="413"/>
      <c r="C52" s="413">
        <v>576</v>
      </c>
      <c r="D52" s="413">
        <v>285</v>
      </c>
      <c r="E52" s="413">
        <v>164</v>
      </c>
      <c r="F52" s="413"/>
      <c r="G52" s="413">
        <v>416</v>
      </c>
      <c r="H52" s="413">
        <v>285</v>
      </c>
      <c r="I52" s="413">
        <v>119</v>
      </c>
      <c r="J52" s="830">
        <f t="shared" si="3"/>
        <v>0.43999999999999773</v>
      </c>
      <c r="K52" s="830">
        <f t="shared" si="1"/>
        <v>118.56</v>
      </c>
      <c r="L52" s="830">
        <f>G52*H52</f>
        <v>118560</v>
      </c>
      <c r="M52" s="789">
        <v>158460</v>
      </c>
      <c r="N52" s="502">
        <v>164160</v>
      </c>
      <c r="O52" s="502">
        <v>164160</v>
      </c>
    </row>
    <row r="53" spans="1:15" ht="13.5" customHeight="1" x14ac:dyDescent="0.2">
      <c r="A53" s="499" t="s">
        <v>695</v>
      </c>
      <c r="B53" s="413"/>
      <c r="C53" s="413"/>
      <c r="D53" s="413"/>
      <c r="E53" s="413"/>
      <c r="F53" s="413"/>
      <c r="G53" s="413"/>
      <c r="H53" s="413"/>
      <c r="I53" s="413"/>
      <c r="J53" s="830">
        <f t="shared" si="3"/>
        <v>0</v>
      </c>
      <c r="K53" s="830">
        <f t="shared" si="1"/>
        <v>0</v>
      </c>
      <c r="L53" s="830"/>
      <c r="M53" s="789"/>
      <c r="N53" s="502"/>
      <c r="O53" s="502"/>
    </row>
    <row r="54" spans="1:15" ht="21.75" customHeight="1" x14ac:dyDescent="0.2">
      <c r="A54" s="485" t="s">
        <v>770</v>
      </c>
      <c r="B54" s="413">
        <v>54297</v>
      </c>
      <c r="C54" s="413"/>
      <c r="D54" s="413">
        <v>964</v>
      </c>
      <c r="E54" s="413">
        <v>52342</v>
      </c>
      <c r="F54" s="413">
        <v>54297</v>
      </c>
      <c r="G54" s="413"/>
      <c r="H54" s="413">
        <v>964</v>
      </c>
      <c r="I54" s="413">
        <v>52342</v>
      </c>
      <c r="J54" s="830">
        <f t="shared" si="3"/>
        <v>-0.30799999999726424</v>
      </c>
      <c r="K54" s="830">
        <f t="shared" si="1"/>
        <v>52342.307999999997</v>
      </c>
      <c r="L54" s="830">
        <v>52342308</v>
      </c>
      <c r="M54" s="789">
        <v>52342308</v>
      </c>
      <c r="N54" s="502">
        <v>52342308</v>
      </c>
      <c r="O54" s="502">
        <v>52342308</v>
      </c>
    </row>
    <row r="55" spans="1:15" ht="25.15" customHeight="1" x14ac:dyDescent="0.2">
      <c r="A55" s="485" t="s">
        <v>771</v>
      </c>
      <c r="B55" s="413"/>
      <c r="C55" s="413"/>
      <c r="D55" s="413"/>
      <c r="E55" s="413">
        <v>176203</v>
      </c>
      <c r="F55" s="413"/>
      <c r="G55" s="413"/>
      <c r="H55" s="413"/>
      <c r="I55" s="413">
        <v>176203</v>
      </c>
      <c r="J55" s="830">
        <f t="shared" si="3"/>
        <v>0.38000000000465661</v>
      </c>
      <c r="K55" s="830">
        <f t="shared" si="1"/>
        <v>176202.62</v>
      </c>
      <c r="L55" s="830">
        <v>176202620</v>
      </c>
      <c r="M55" s="789">
        <v>176202620</v>
      </c>
      <c r="N55" s="502">
        <v>176202620</v>
      </c>
      <c r="O55" s="502">
        <v>176202620</v>
      </c>
    </row>
    <row r="56" spans="1:15" ht="17.25" customHeight="1" x14ac:dyDescent="0.2">
      <c r="A56" s="514" t="s">
        <v>696</v>
      </c>
      <c r="B56" s="413"/>
      <c r="C56" s="413"/>
      <c r="D56" s="413"/>
      <c r="E56" s="413"/>
      <c r="F56" s="413"/>
      <c r="G56" s="413"/>
      <c r="H56" s="413"/>
      <c r="I56" s="413"/>
      <c r="J56" s="830">
        <f t="shared" si="3"/>
        <v>0</v>
      </c>
      <c r="K56" s="830">
        <f t="shared" si="1"/>
        <v>0</v>
      </c>
      <c r="L56" s="830"/>
      <c r="M56" s="789"/>
      <c r="N56" s="413"/>
      <c r="O56" s="413"/>
    </row>
    <row r="57" spans="1:15" ht="17.25" customHeight="1" x14ac:dyDescent="0.2">
      <c r="A57" s="831" t="s">
        <v>1156</v>
      </c>
      <c r="B57" s="830"/>
      <c r="C57" s="830"/>
      <c r="D57" s="830"/>
      <c r="E57" s="830"/>
      <c r="F57" s="830"/>
      <c r="G57" s="830"/>
      <c r="H57" s="830"/>
      <c r="I57" s="830">
        <v>354098</v>
      </c>
      <c r="J57" s="830">
        <f t="shared" si="3"/>
        <v>0.31800000002840534</v>
      </c>
      <c r="K57" s="830">
        <f t="shared" si="1"/>
        <v>354097.68199999997</v>
      </c>
      <c r="L57" s="830">
        <v>354097682</v>
      </c>
      <c r="M57" s="830">
        <v>354097682</v>
      </c>
      <c r="N57" s="830"/>
      <c r="O57" s="830"/>
    </row>
    <row r="58" spans="1:15" ht="17.25" customHeight="1" x14ac:dyDescent="0.2">
      <c r="A58" s="672" t="s">
        <v>1154</v>
      </c>
      <c r="B58" s="671"/>
      <c r="C58" s="671"/>
      <c r="D58" s="671"/>
      <c r="E58" s="671"/>
      <c r="F58" s="671"/>
      <c r="G58" s="671"/>
      <c r="H58" s="671"/>
      <c r="I58" s="671">
        <v>194391</v>
      </c>
      <c r="J58" s="830">
        <f t="shared" si="3"/>
        <v>0.20699999999487773</v>
      </c>
      <c r="K58" s="830">
        <f t="shared" si="1"/>
        <v>194390.79300000001</v>
      </c>
      <c r="L58" s="830">
        <v>194390793</v>
      </c>
      <c r="M58" s="789">
        <v>143185570</v>
      </c>
      <c r="N58" s="671">
        <v>91727557</v>
      </c>
      <c r="O58" s="671"/>
    </row>
    <row r="59" spans="1:15" ht="23.25" customHeight="1" x14ac:dyDescent="0.2">
      <c r="A59" s="485" t="s">
        <v>1153</v>
      </c>
      <c r="B59" s="413"/>
      <c r="C59" s="413"/>
      <c r="D59" s="498"/>
      <c r="E59" s="498">
        <v>110200</v>
      </c>
      <c r="F59" s="413"/>
      <c r="G59" s="413"/>
      <c r="H59" s="498"/>
      <c r="I59" s="498">
        <v>110200</v>
      </c>
      <c r="J59" s="830">
        <f t="shared" si="3"/>
        <v>0</v>
      </c>
      <c r="K59" s="830">
        <f t="shared" si="1"/>
        <v>110200</v>
      </c>
      <c r="L59" s="864">
        <v>110200000</v>
      </c>
      <c r="M59" s="788">
        <v>110200000</v>
      </c>
      <c r="N59" s="502">
        <v>110200000</v>
      </c>
      <c r="O59" s="502">
        <v>110200000</v>
      </c>
    </row>
    <row r="60" spans="1:15" ht="19.5" customHeight="1" x14ac:dyDescent="0.2">
      <c r="A60" s="485" t="s">
        <v>772</v>
      </c>
      <c r="B60" s="413"/>
      <c r="C60" s="413"/>
      <c r="D60" s="498"/>
      <c r="E60" s="498">
        <v>40649</v>
      </c>
      <c r="F60" s="413"/>
      <c r="G60" s="413"/>
      <c r="H60" s="498"/>
      <c r="I60" s="498">
        <v>40649</v>
      </c>
      <c r="J60" s="830">
        <f t="shared" si="3"/>
        <v>-0.41399999999703141</v>
      </c>
      <c r="K60" s="830">
        <f t="shared" si="1"/>
        <v>40649.413999999997</v>
      </c>
      <c r="L60" s="864">
        <v>40649414</v>
      </c>
      <c r="M60" s="788">
        <v>40649414</v>
      </c>
      <c r="N60" s="502">
        <v>40649414</v>
      </c>
      <c r="O60" s="502">
        <v>40649414</v>
      </c>
    </row>
    <row r="61" spans="1:15" ht="25.15" customHeight="1" x14ac:dyDescent="0.2">
      <c r="A61" s="485" t="s">
        <v>1152</v>
      </c>
      <c r="B61" s="413"/>
      <c r="C61" s="413"/>
      <c r="D61" s="498"/>
      <c r="E61" s="498">
        <v>135000</v>
      </c>
      <c r="F61" s="413"/>
      <c r="G61" s="413"/>
      <c r="H61" s="498"/>
      <c r="I61" s="498">
        <v>135000</v>
      </c>
      <c r="J61" s="830">
        <f t="shared" si="3"/>
        <v>0</v>
      </c>
      <c r="K61" s="830">
        <f t="shared" si="1"/>
        <v>135000</v>
      </c>
      <c r="L61" s="864">
        <v>135000000</v>
      </c>
      <c r="M61" s="788">
        <v>135000000</v>
      </c>
      <c r="N61" s="502">
        <v>135000000</v>
      </c>
      <c r="O61" s="502">
        <v>135000000</v>
      </c>
    </row>
    <row r="62" spans="1:15" ht="17.25" customHeight="1" x14ac:dyDescent="0.2">
      <c r="A62" s="485" t="s">
        <v>772</v>
      </c>
      <c r="B62" s="413"/>
      <c r="C62" s="413"/>
      <c r="D62" s="498"/>
      <c r="E62" s="498">
        <v>35500</v>
      </c>
      <c r="F62" s="413"/>
      <c r="G62" s="413"/>
      <c r="H62" s="498"/>
      <c r="I62" s="498">
        <v>35500</v>
      </c>
      <c r="J62" s="830">
        <f t="shared" si="3"/>
        <v>0</v>
      </c>
      <c r="K62" s="830">
        <f t="shared" si="1"/>
        <v>35500</v>
      </c>
      <c r="L62" s="864">
        <v>35500000</v>
      </c>
      <c r="M62" s="788">
        <v>35500000</v>
      </c>
      <c r="N62" s="502">
        <v>35500000</v>
      </c>
      <c r="O62" s="502">
        <v>35500000</v>
      </c>
    </row>
    <row r="63" spans="1:15" ht="26.25" customHeight="1" x14ac:dyDescent="0.2">
      <c r="A63" s="485" t="s">
        <v>1155</v>
      </c>
      <c r="B63" s="413"/>
      <c r="C63" s="413"/>
      <c r="D63" s="498"/>
      <c r="E63" s="498">
        <v>237651</v>
      </c>
      <c r="F63" s="413"/>
      <c r="G63" s="413"/>
      <c r="H63" s="498"/>
      <c r="I63" s="498">
        <v>239208</v>
      </c>
      <c r="J63" s="830">
        <f t="shared" si="3"/>
        <v>0.38300000000162981</v>
      </c>
      <c r="K63" s="830">
        <f t="shared" si="1"/>
        <v>239207.617</v>
      </c>
      <c r="L63" s="864">
        <v>239207617</v>
      </c>
      <c r="M63" s="788">
        <v>239207617</v>
      </c>
      <c r="N63" s="515">
        <v>239207617</v>
      </c>
      <c r="O63" s="515">
        <v>237651143</v>
      </c>
    </row>
    <row r="64" spans="1:15" ht="26.25" customHeight="1" x14ac:dyDescent="0.2">
      <c r="A64" s="831" t="s">
        <v>1194</v>
      </c>
      <c r="B64" s="830"/>
      <c r="C64" s="830"/>
      <c r="D64" s="864"/>
      <c r="E64" s="864"/>
      <c r="F64" s="830"/>
      <c r="G64" s="830"/>
      <c r="H64" s="864"/>
      <c r="I64" s="864">
        <v>131</v>
      </c>
      <c r="J64" s="830">
        <f t="shared" si="3"/>
        <v>0</v>
      </c>
      <c r="K64" s="830">
        <f t="shared" si="1"/>
        <v>131</v>
      </c>
      <c r="L64" s="864">
        <v>131000</v>
      </c>
      <c r="M64" s="864"/>
      <c r="N64" s="865"/>
      <c r="O64" s="865"/>
    </row>
    <row r="65" spans="1:15" ht="16.5" customHeight="1" x14ac:dyDescent="0.2">
      <c r="A65" s="485" t="s">
        <v>851</v>
      </c>
      <c r="B65" s="413"/>
      <c r="C65" s="413"/>
      <c r="D65" s="498"/>
      <c r="E65" s="498">
        <v>150000</v>
      </c>
      <c r="F65" s="413"/>
      <c r="G65" s="413"/>
      <c r="H65" s="498"/>
      <c r="I65" s="498">
        <v>150000</v>
      </c>
      <c r="J65" s="830">
        <f t="shared" si="3"/>
        <v>0</v>
      </c>
      <c r="K65" s="830">
        <f t="shared" si="1"/>
        <v>150000</v>
      </c>
      <c r="L65" s="864">
        <v>150000000</v>
      </c>
      <c r="M65" s="788">
        <v>150000000</v>
      </c>
      <c r="N65" s="516">
        <v>150000000</v>
      </c>
      <c r="O65" s="516">
        <v>150000000</v>
      </c>
    </row>
    <row r="66" spans="1:15" ht="17.45" customHeight="1" x14ac:dyDescent="0.2">
      <c r="A66" s="690" t="s">
        <v>994</v>
      </c>
      <c r="B66" s="688"/>
      <c r="C66" s="688"/>
      <c r="D66" s="688"/>
      <c r="E66" s="688"/>
      <c r="F66" s="688"/>
      <c r="G66" s="688"/>
      <c r="H66" s="688"/>
      <c r="I66" s="673">
        <v>26899</v>
      </c>
      <c r="J66" s="830">
        <f t="shared" si="3"/>
        <v>-0.75</v>
      </c>
      <c r="K66" s="830">
        <f t="shared" si="1"/>
        <v>26899.75</v>
      </c>
      <c r="L66" s="864">
        <v>26899750</v>
      </c>
      <c r="M66" s="788">
        <v>26899750</v>
      </c>
      <c r="N66" s="689">
        <v>1476720</v>
      </c>
      <c r="O66" s="674"/>
    </row>
    <row r="67" spans="1:15" ht="30.6" customHeight="1" x14ac:dyDescent="0.2">
      <c r="A67" s="672" t="s">
        <v>983</v>
      </c>
      <c r="B67" s="671"/>
      <c r="C67" s="671"/>
      <c r="D67" s="673"/>
      <c r="E67" s="673"/>
      <c r="F67" s="671"/>
      <c r="G67" s="671"/>
      <c r="H67" s="673"/>
      <c r="I67" s="673">
        <v>410000</v>
      </c>
      <c r="J67" s="830">
        <f t="shared" si="3"/>
        <v>0</v>
      </c>
      <c r="K67" s="830">
        <f t="shared" si="1"/>
        <v>410000</v>
      </c>
      <c r="L67" s="864">
        <v>410000000</v>
      </c>
      <c r="M67" s="788">
        <v>410000000</v>
      </c>
      <c r="N67" s="674">
        <v>410000000</v>
      </c>
      <c r="O67" s="674"/>
    </row>
    <row r="68" spans="1:15" ht="13.5" customHeight="1" x14ac:dyDescent="0.2">
      <c r="A68" s="517" t="s">
        <v>852</v>
      </c>
      <c r="B68" s="518"/>
      <c r="C68" s="518"/>
      <c r="D68" s="518"/>
      <c r="E68" s="518">
        <f>SUM(E5:E65)</f>
        <v>6519307</v>
      </c>
      <c r="F68" s="518"/>
      <c r="G68" s="518"/>
      <c r="H68" s="518"/>
      <c r="I68" s="519">
        <f>SUM(I5:I67)</f>
        <v>7612587</v>
      </c>
      <c r="J68" s="869"/>
      <c r="K68" s="519">
        <f>SUM(K5:K67)</f>
        <v>7612587.4932000004</v>
      </c>
      <c r="L68" s="519">
        <f>SUM(L5:L67)</f>
        <v>7612587493.1999998</v>
      </c>
      <c r="M68" s="519">
        <f>SUM(M5:M67)</f>
        <v>7570792082</v>
      </c>
      <c r="N68" s="519">
        <f>SUM(N5:N67)</f>
        <v>7072976463</v>
      </c>
      <c r="O68" s="519">
        <f>SUM(O5:O67)</f>
        <v>6519307472</v>
      </c>
    </row>
  </sheetData>
  <sheetProtection selectLockedCells="1" selectUnlockedCells="1"/>
  <mergeCells count="4">
    <mergeCell ref="B1:C1"/>
    <mergeCell ref="D1:E1"/>
    <mergeCell ref="F1:G1"/>
    <mergeCell ref="H1:I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61" firstPageNumber="0" fitToWidth="0" orientation="portrait" r:id="rId1"/>
  <headerFooter alignWithMargins="0">
    <oddHeader>&amp;C&amp;"Times New Roman,Félkövér dőlt"
ÁLLAMI HOZZÁJÁRULÁSOKBÓL SZÁRMAZÓ BEVÉTEL 2025. ÉVBEN&amp;R&amp;"Times New Roman,Dőlt"
3. melléklet
Adatok: ezer Ft-ban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zoomScale="124" zoomScaleNormal="124" workbookViewId="0">
      <selection activeCell="E3" sqref="E3"/>
    </sheetView>
  </sheetViews>
  <sheetFormatPr defaultColWidth="9.33203125" defaultRowHeight="12" x14ac:dyDescent="0.2"/>
  <cols>
    <col min="1" max="1" width="9.33203125" style="11"/>
    <col min="2" max="2" width="50.5" style="11" customWidth="1"/>
    <col min="3" max="3" width="14.83203125" style="11" customWidth="1"/>
    <col min="4" max="4" width="16.5" style="11" customWidth="1"/>
    <col min="5" max="5" width="16.6640625" style="11" customWidth="1"/>
    <col min="6" max="6" width="16.33203125" style="11" customWidth="1"/>
    <col min="7" max="16384" width="9.33203125" style="11"/>
  </cols>
  <sheetData>
    <row r="1" spans="1:6" s="18" customFormat="1" ht="50.1" customHeight="1" thickBot="1" x14ac:dyDescent="0.25">
      <c r="A1" s="836" t="s">
        <v>128</v>
      </c>
      <c r="B1" s="836" t="s">
        <v>115</v>
      </c>
      <c r="C1" s="836" t="s">
        <v>1071</v>
      </c>
      <c r="D1" s="836" t="s">
        <v>843</v>
      </c>
      <c r="E1" s="836" t="s">
        <v>733</v>
      </c>
      <c r="F1" s="836" t="s">
        <v>844</v>
      </c>
    </row>
    <row r="2" spans="1:6" s="18" customFormat="1" ht="19.5" customHeight="1" x14ac:dyDescent="0.2">
      <c r="A2" s="837"/>
      <c r="B2" s="838" t="s">
        <v>121</v>
      </c>
      <c r="C2" s="838"/>
      <c r="D2" s="838"/>
      <c r="E2" s="838"/>
      <c r="F2" s="837"/>
    </row>
    <row r="3" spans="1:6" s="19" customFormat="1" x14ac:dyDescent="0.2">
      <c r="A3" s="2" t="s">
        <v>129</v>
      </c>
      <c r="B3" s="32" t="s">
        <v>105</v>
      </c>
      <c r="C3" s="839">
        <v>6759751</v>
      </c>
      <c r="D3" s="840">
        <v>7656349</v>
      </c>
      <c r="E3" s="840">
        <f>390379+táj2!G653</f>
        <v>444742</v>
      </c>
      <c r="F3" s="841">
        <f>SUM(D3:E3)</f>
        <v>8101091</v>
      </c>
    </row>
    <row r="4" spans="1:6" s="19" customFormat="1" x14ac:dyDescent="0.2">
      <c r="A4" s="2" t="s">
        <v>130</v>
      </c>
      <c r="B4" s="32" t="s">
        <v>166</v>
      </c>
      <c r="C4" s="839">
        <v>902730</v>
      </c>
      <c r="D4" s="840">
        <v>1117509</v>
      </c>
      <c r="E4" s="840">
        <f>47604+táj2!H653</f>
        <v>31223</v>
      </c>
      <c r="F4" s="841">
        <f t="shared" ref="F4:F7" si="0">SUM(D4:E4)</f>
        <v>1148732</v>
      </c>
    </row>
    <row r="5" spans="1:6" s="19" customFormat="1" x14ac:dyDescent="0.2">
      <c r="A5" s="2" t="s">
        <v>131</v>
      </c>
      <c r="B5" s="33" t="s">
        <v>167</v>
      </c>
      <c r="C5" s="107">
        <v>7957478</v>
      </c>
      <c r="D5" s="301">
        <v>10698899</v>
      </c>
      <c r="E5" s="840">
        <f>468887+táj2!I653</f>
        <v>461431</v>
      </c>
      <c r="F5" s="841">
        <f t="shared" si="0"/>
        <v>11160330</v>
      </c>
    </row>
    <row r="6" spans="1:6" s="19" customFormat="1" x14ac:dyDescent="0.2">
      <c r="A6" s="2" t="s">
        <v>132</v>
      </c>
      <c r="B6" s="33" t="s">
        <v>15</v>
      </c>
      <c r="C6" s="107">
        <v>64566</v>
      </c>
      <c r="D6" s="301">
        <v>132608</v>
      </c>
      <c r="E6" s="840">
        <f>-11923+táj2!J653</f>
        <v>-11923</v>
      </c>
      <c r="F6" s="841">
        <f t="shared" si="0"/>
        <v>120685</v>
      </c>
    </row>
    <row r="7" spans="1:6" s="19" customFormat="1" x14ac:dyDescent="0.2">
      <c r="A7" s="2" t="s">
        <v>133</v>
      </c>
      <c r="B7" s="33" t="s">
        <v>22</v>
      </c>
      <c r="C7" s="107">
        <v>7135345</v>
      </c>
      <c r="D7" s="301">
        <v>6512899</v>
      </c>
      <c r="E7" s="840">
        <f>960082+táj2!K653</f>
        <v>995424</v>
      </c>
      <c r="F7" s="841">
        <f t="shared" si="0"/>
        <v>7508323</v>
      </c>
    </row>
    <row r="8" spans="1:6" s="19" customFormat="1" x14ac:dyDescent="0.2">
      <c r="A8" s="2"/>
      <c r="B8" s="842" t="s">
        <v>177</v>
      </c>
      <c r="C8" s="843">
        <v>22819870</v>
      </c>
      <c r="D8" s="844">
        <f>SUM(D3:D7)</f>
        <v>26118264</v>
      </c>
      <c r="E8" s="845">
        <f>SUM(E3:E7)</f>
        <v>1920897</v>
      </c>
      <c r="F8" s="846">
        <f>SUM(F3:F7)</f>
        <v>28039161</v>
      </c>
    </row>
    <row r="9" spans="1:6" s="19" customFormat="1" x14ac:dyDescent="0.2">
      <c r="A9" s="4" t="s">
        <v>134</v>
      </c>
      <c r="B9" s="6" t="s">
        <v>20</v>
      </c>
      <c r="C9" s="114">
        <v>3782739</v>
      </c>
      <c r="D9" s="301">
        <v>7540931</v>
      </c>
      <c r="E9" s="301">
        <f>2391326+táj2!L653</f>
        <v>2735030</v>
      </c>
      <c r="F9" s="6">
        <f>SUM(D9:E9)</f>
        <v>10275961</v>
      </c>
    </row>
    <row r="10" spans="1:6" s="19" customFormat="1" x14ac:dyDescent="0.2">
      <c r="A10" s="4" t="s">
        <v>135</v>
      </c>
      <c r="B10" s="6" t="s">
        <v>19</v>
      </c>
      <c r="C10" s="114">
        <v>2610578</v>
      </c>
      <c r="D10" s="301">
        <v>2950784</v>
      </c>
      <c r="E10" s="301">
        <f>2228033+táj2!M653</f>
        <v>2501245</v>
      </c>
      <c r="F10" s="6">
        <f t="shared" ref="F10:F11" si="1">SUM(D10:E10)</f>
        <v>5452029</v>
      </c>
    </row>
    <row r="11" spans="1:6" s="19" customFormat="1" x14ac:dyDescent="0.2">
      <c r="A11" s="4" t="s">
        <v>136</v>
      </c>
      <c r="B11" s="6" t="s">
        <v>71</v>
      </c>
      <c r="C11" s="114">
        <v>1556518</v>
      </c>
      <c r="D11" s="301">
        <v>575452</v>
      </c>
      <c r="E11" s="301">
        <f>-374125+táj2!N653</f>
        <v>-373731</v>
      </c>
      <c r="F11" s="6">
        <f t="shared" si="1"/>
        <v>201721</v>
      </c>
    </row>
    <row r="12" spans="1:6" s="19" customFormat="1" x14ac:dyDescent="0.2">
      <c r="A12" s="4"/>
      <c r="B12" s="842" t="s">
        <v>178</v>
      </c>
      <c r="C12" s="843">
        <v>7949835</v>
      </c>
      <c r="D12" s="844">
        <f>SUM(D9:D11)</f>
        <v>11067167</v>
      </c>
      <c r="E12" s="845">
        <f>SUM(E9:E11)</f>
        <v>4862544</v>
      </c>
      <c r="F12" s="846">
        <f>SUM(F9:F11)</f>
        <v>15929711</v>
      </c>
    </row>
    <row r="13" spans="1:6" s="19" customFormat="1" ht="18" customHeight="1" x14ac:dyDescent="0.2">
      <c r="A13" s="4" t="s">
        <v>72</v>
      </c>
      <c r="B13" s="842" t="s">
        <v>73</v>
      </c>
      <c r="C13" s="843">
        <v>30769705</v>
      </c>
      <c r="D13" s="845">
        <f>SUM(D8+D12)</f>
        <v>37185431</v>
      </c>
      <c r="E13" s="845">
        <f>SUM(E8+E12)</f>
        <v>6783441</v>
      </c>
      <c r="F13" s="846">
        <f>SUM(F8+F12)</f>
        <v>43968872</v>
      </c>
    </row>
    <row r="14" spans="1:6" s="19" customFormat="1" ht="16.5" customHeight="1" x14ac:dyDescent="0.2">
      <c r="A14" s="4" t="s">
        <v>74</v>
      </c>
      <c r="B14" s="842" t="s">
        <v>120</v>
      </c>
      <c r="C14" s="843">
        <v>3021781</v>
      </c>
      <c r="D14" s="844">
        <v>5318563</v>
      </c>
      <c r="E14" s="844">
        <f>376316+táj2!O653+táj2!P653</f>
        <v>376316</v>
      </c>
      <c r="F14" s="846">
        <f>SUM(D14:E14)</f>
        <v>5694879</v>
      </c>
    </row>
    <row r="15" spans="1:6" s="19" customFormat="1" ht="18.75" customHeight="1" x14ac:dyDescent="0.2">
      <c r="A15" s="34"/>
      <c r="B15" s="847" t="s">
        <v>109</v>
      </c>
      <c r="C15" s="848">
        <v>33791486</v>
      </c>
      <c r="D15" s="849">
        <f>SUM(D13:D14)</f>
        <v>42503994</v>
      </c>
      <c r="E15" s="8">
        <f>SUM(E13:E14)</f>
        <v>7159757</v>
      </c>
      <c r="F15" s="8">
        <f>SUM(F13:F14)</f>
        <v>49663751</v>
      </c>
    </row>
    <row r="16" spans="1:6" s="1" customFormat="1" ht="12.75" x14ac:dyDescent="0.2">
      <c r="A16" s="35"/>
      <c r="B16" s="35"/>
      <c r="C16" s="35"/>
      <c r="D16" s="35"/>
      <c r="E16" s="35"/>
      <c r="F16" s="35"/>
    </row>
    <row r="17" spans="1:6" s="1" customFormat="1" ht="12.75" x14ac:dyDescent="0.2">
      <c r="A17" s="35"/>
      <c r="B17" s="35"/>
      <c r="C17" s="35"/>
      <c r="D17" s="35"/>
      <c r="E17" s="35"/>
      <c r="F17" s="35"/>
    </row>
    <row r="18" spans="1:6" s="1" customFormat="1" ht="12.75" x14ac:dyDescent="0.2">
      <c r="A18" s="35"/>
      <c r="B18" s="35"/>
      <c r="C18" s="35"/>
      <c r="D18" s="35"/>
      <c r="E18" s="35"/>
      <c r="F18" s="35"/>
    </row>
    <row r="19" spans="1:6" s="1" customFormat="1" ht="12.75" x14ac:dyDescent="0.2">
      <c r="A19" s="35"/>
      <c r="B19" s="35"/>
      <c r="C19" s="35"/>
      <c r="D19" s="35"/>
      <c r="E19" s="35"/>
      <c r="F19" s="35"/>
    </row>
    <row r="20" spans="1:6" s="1" customFormat="1" ht="12.75" x14ac:dyDescent="0.2">
      <c r="A20" s="35"/>
      <c r="B20" s="35"/>
      <c r="C20" s="35"/>
      <c r="D20" s="35"/>
      <c r="E20" s="35"/>
      <c r="F20" s="35"/>
    </row>
    <row r="21" spans="1:6" s="1" customFormat="1" ht="12.75" x14ac:dyDescent="0.2">
      <c r="A21" s="35"/>
      <c r="B21" s="35"/>
      <c r="C21" s="35"/>
      <c r="D21" s="35"/>
      <c r="E21" s="35"/>
      <c r="F21" s="35"/>
    </row>
    <row r="22" spans="1:6" s="1" customFormat="1" ht="12.75" x14ac:dyDescent="0.2">
      <c r="A22" s="35"/>
      <c r="B22" s="35"/>
      <c r="C22" s="35"/>
      <c r="D22" s="35"/>
      <c r="E22" s="35"/>
      <c r="F22" s="35"/>
    </row>
    <row r="23" spans="1:6" s="1" customFormat="1" ht="12.75" x14ac:dyDescent="0.2">
      <c r="A23" s="35"/>
      <c r="B23" s="35"/>
      <c r="C23" s="35"/>
      <c r="D23" s="35"/>
      <c r="E23" s="35"/>
      <c r="F23" s="35"/>
    </row>
    <row r="24" spans="1:6" s="1" customFormat="1" ht="12.75" x14ac:dyDescent="0.2">
      <c r="A24" s="35"/>
      <c r="B24" s="35"/>
      <c r="C24" s="35"/>
      <c r="D24" s="35"/>
      <c r="E24" s="35"/>
      <c r="F24" s="35"/>
    </row>
    <row r="25" spans="1:6" s="1" customFormat="1" ht="12.75" x14ac:dyDescent="0.2">
      <c r="A25" s="35"/>
      <c r="B25" s="35"/>
      <c r="C25" s="35"/>
      <c r="D25" s="35"/>
      <c r="E25" s="35"/>
      <c r="F25" s="35"/>
    </row>
    <row r="26" spans="1:6" s="1" customFormat="1" ht="12.75" x14ac:dyDescent="0.2">
      <c r="A26" s="36"/>
      <c r="B26" s="35"/>
      <c r="C26" s="35"/>
      <c r="D26" s="35"/>
      <c r="E26" s="35"/>
      <c r="F26" s="35"/>
    </row>
    <row r="27" spans="1:6" ht="12.75" x14ac:dyDescent="0.2">
      <c r="A27" s="36"/>
      <c r="B27" s="36"/>
      <c r="C27" s="36"/>
      <c r="D27" s="36"/>
      <c r="E27" s="36"/>
      <c r="F27" s="36"/>
    </row>
    <row r="28" spans="1:6" ht="12.75" x14ac:dyDescent="0.2">
      <c r="A28" s="36"/>
      <c r="B28" s="36"/>
      <c r="C28" s="36"/>
      <c r="D28" s="36"/>
      <c r="E28" s="36"/>
      <c r="F28" s="36"/>
    </row>
    <row r="29" spans="1:6" ht="12.75" x14ac:dyDescent="0.2">
      <c r="A29" s="36"/>
      <c r="B29" s="36"/>
      <c r="C29" s="36"/>
      <c r="D29" s="36"/>
      <c r="E29" s="36"/>
      <c r="F29" s="36"/>
    </row>
    <row r="30" spans="1:6" ht="12.75" x14ac:dyDescent="0.2">
      <c r="A30" s="36"/>
      <c r="B30" s="36"/>
      <c r="C30" s="36"/>
      <c r="D30" s="36"/>
      <c r="E30" s="36"/>
      <c r="F30" s="36"/>
    </row>
    <row r="31" spans="1:6" ht="12.75" x14ac:dyDescent="0.2">
      <c r="A31" s="36"/>
      <c r="B31" s="36"/>
      <c r="C31" s="36"/>
      <c r="D31" s="36"/>
      <c r="E31" s="36"/>
      <c r="F31" s="36"/>
    </row>
    <row r="32" spans="1:6" ht="12.75" x14ac:dyDescent="0.2">
      <c r="B32" s="36"/>
      <c r="C32" s="36"/>
      <c r="D32" s="36"/>
      <c r="E32" s="36"/>
      <c r="F32" s="3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2025.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/>
  <dimension ref="A1:N25"/>
  <sheetViews>
    <sheetView zoomScaleNormal="100" workbookViewId="0">
      <pane ySplit="2" topLeftCell="A3" activePane="bottomLeft" state="frozen"/>
      <selection activeCell="G28" sqref="G28"/>
      <selection pane="bottomLeft" activeCell="K22" sqref="K22"/>
    </sheetView>
  </sheetViews>
  <sheetFormatPr defaultColWidth="9.33203125" defaultRowHeight="12.75" x14ac:dyDescent="0.2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83203125" style="15" customWidth="1"/>
    <col min="7" max="7" width="10.33203125" style="15" customWidth="1"/>
    <col min="8" max="8" width="12" style="15" customWidth="1"/>
    <col min="9" max="9" width="14" style="15" customWidth="1"/>
    <col min="10" max="10" width="14.83203125" style="15" customWidth="1"/>
    <col min="11" max="11" width="12.5" style="15" customWidth="1"/>
    <col min="12" max="12" width="12.83203125" style="15" customWidth="1"/>
    <col min="13" max="13" width="13.1640625" style="15" customWidth="1"/>
    <col min="14" max="14" width="11.1640625" style="15" customWidth="1"/>
    <col min="15" max="16384" width="9.33203125" style="15"/>
  </cols>
  <sheetData>
    <row r="1" spans="1:14" x14ac:dyDescent="0.2">
      <c r="A1" s="1002" t="s">
        <v>83</v>
      </c>
      <c r="B1" s="1002" t="s">
        <v>84</v>
      </c>
      <c r="C1" s="1003" t="s">
        <v>115</v>
      </c>
      <c r="D1" s="1000" t="s">
        <v>122</v>
      </c>
      <c r="E1" s="1000"/>
      <c r="F1" s="1000"/>
      <c r="G1" s="1000"/>
      <c r="H1" s="1000"/>
      <c r="I1" s="1000"/>
      <c r="J1" s="1000"/>
      <c r="K1" s="1000" t="s">
        <v>174</v>
      </c>
      <c r="L1" s="1000"/>
      <c r="M1" s="1001"/>
      <c r="N1" s="998" t="s">
        <v>116</v>
      </c>
    </row>
    <row r="2" spans="1:14" s="16" customFormat="1" ht="61.5" customHeight="1" thickBot="1" x14ac:dyDescent="0.25">
      <c r="A2" s="1002"/>
      <c r="B2" s="1002"/>
      <c r="C2" s="1003"/>
      <c r="D2" s="45" t="s">
        <v>12</v>
      </c>
      <c r="E2" s="45" t="s">
        <v>13</v>
      </c>
      <c r="F2" s="44" t="s">
        <v>14</v>
      </c>
      <c r="G2" s="42" t="s">
        <v>170</v>
      </c>
      <c r="H2" s="44" t="s">
        <v>171</v>
      </c>
      <c r="I2" s="44" t="s">
        <v>172</v>
      </c>
      <c r="J2" s="44" t="s">
        <v>173</v>
      </c>
      <c r="K2" s="44" t="s">
        <v>123</v>
      </c>
      <c r="L2" s="44" t="s">
        <v>124</v>
      </c>
      <c r="M2" s="48" t="s">
        <v>126</v>
      </c>
      <c r="N2" s="999"/>
    </row>
    <row r="3" spans="1:14" ht="17.100000000000001" customHeight="1" x14ac:dyDescent="0.2">
      <c r="A3" s="26">
        <v>1</v>
      </c>
      <c r="B3" s="26"/>
      <c r="C3" s="26" t="s">
        <v>160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49"/>
    </row>
    <row r="4" spans="1:14" ht="24.95" customHeight="1" x14ac:dyDescent="0.2">
      <c r="A4" s="27"/>
      <c r="B4" s="27">
        <v>12</v>
      </c>
      <c r="C4" s="47" t="s">
        <v>94</v>
      </c>
      <c r="D4" s="28">
        <f>'6'!E8</f>
        <v>0</v>
      </c>
      <c r="E4" s="28">
        <f>'6'!F8</f>
        <v>0</v>
      </c>
      <c r="F4" s="28">
        <f>'6'!G8</f>
        <v>0</v>
      </c>
      <c r="G4" s="28">
        <f>'6'!H8</f>
        <v>24381</v>
      </c>
      <c r="H4" s="28">
        <f>'6'!I8</f>
        <v>0</v>
      </c>
      <c r="I4" s="28">
        <f>'6'!J8</f>
        <v>0</v>
      </c>
      <c r="J4" s="28">
        <f>'6'!K8</f>
        <v>0</v>
      </c>
      <c r="K4" s="28">
        <f>'6'!L8</f>
        <v>0</v>
      </c>
      <c r="L4" s="28">
        <f>'6'!M8</f>
        <v>0</v>
      </c>
      <c r="M4" s="28">
        <f>'6'!N8</f>
        <v>0</v>
      </c>
      <c r="N4" s="28">
        <f>SUM(D4:M4)</f>
        <v>24381</v>
      </c>
    </row>
    <row r="5" spans="1:14" ht="17.100000000000001" customHeight="1" x14ac:dyDescent="0.2">
      <c r="A5" s="27"/>
      <c r="B5" s="27">
        <v>13</v>
      </c>
      <c r="C5" s="26" t="s">
        <v>95</v>
      </c>
      <c r="D5" s="28">
        <f>'6'!E29</f>
        <v>366675</v>
      </c>
      <c r="E5" s="28">
        <f>'6'!F29</f>
        <v>6000</v>
      </c>
      <c r="F5" s="28">
        <f>'6'!G29</f>
        <v>0</v>
      </c>
      <c r="G5" s="28">
        <f>'6'!H29</f>
        <v>9101</v>
      </c>
      <c r="H5" s="28">
        <f>'6'!I29</f>
        <v>0</v>
      </c>
      <c r="I5" s="28">
        <f>'6'!J29</f>
        <v>14695</v>
      </c>
      <c r="J5" s="28">
        <f>'6'!K29</f>
        <v>13224</v>
      </c>
      <c r="K5" s="28">
        <f>'6'!L29</f>
        <v>0</v>
      </c>
      <c r="L5" s="28">
        <f>'6'!M29</f>
        <v>0</v>
      </c>
      <c r="M5" s="28">
        <f>'6'!N29</f>
        <v>0</v>
      </c>
      <c r="N5" s="28">
        <f t="shared" ref="N5:N15" si="0">SUM(D5:M5)</f>
        <v>409695</v>
      </c>
    </row>
    <row r="6" spans="1:14" ht="17.100000000000001" customHeight="1" x14ac:dyDescent="0.2">
      <c r="A6" s="38"/>
      <c r="B6" s="38">
        <v>14</v>
      </c>
      <c r="C6" s="10" t="s">
        <v>162</v>
      </c>
      <c r="D6" s="28">
        <f>'6'!E34</f>
        <v>0</v>
      </c>
      <c r="E6" s="28">
        <f>'6'!F34</f>
        <v>0</v>
      </c>
      <c r="F6" s="28">
        <f>'6'!G34</f>
        <v>0</v>
      </c>
      <c r="G6" s="28">
        <f>'6'!H34</f>
        <v>5080</v>
      </c>
      <c r="H6" s="28">
        <f>'6'!I34</f>
        <v>0</v>
      </c>
      <c r="I6" s="28">
        <f>'6'!J34</f>
        <v>0</v>
      </c>
      <c r="J6" s="28">
        <f>'6'!K34</f>
        <v>0</v>
      </c>
      <c r="K6" s="28">
        <f>'6'!L34</f>
        <v>0</v>
      </c>
      <c r="L6" s="28">
        <f>'6'!M34</f>
        <v>4051</v>
      </c>
      <c r="M6" s="28">
        <f>'6'!N34</f>
        <v>0</v>
      </c>
      <c r="N6" s="28">
        <f t="shared" si="0"/>
        <v>9131</v>
      </c>
    </row>
    <row r="7" spans="1:14" ht="17.100000000000001" customHeight="1" x14ac:dyDescent="0.2">
      <c r="A7" s="27"/>
      <c r="B7" s="27">
        <v>15</v>
      </c>
      <c r="C7" s="26" t="s">
        <v>156</v>
      </c>
      <c r="D7" s="28">
        <f>'6'!E60</f>
        <v>0</v>
      </c>
      <c r="E7" s="28">
        <f>'6'!F60</f>
        <v>0</v>
      </c>
      <c r="F7" s="28">
        <f>'6'!G60</f>
        <v>0</v>
      </c>
      <c r="G7" s="28">
        <f>'6'!H60</f>
        <v>868955</v>
      </c>
      <c r="H7" s="28">
        <f>'6'!I60</f>
        <v>4000</v>
      </c>
      <c r="I7" s="28">
        <f>'6'!J60</f>
        <v>0</v>
      </c>
      <c r="J7" s="28">
        <f>'6'!K60</f>
        <v>12887</v>
      </c>
      <c r="K7" s="28">
        <f>'6'!L60</f>
        <v>0</v>
      </c>
      <c r="L7" s="28">
        <f>'6'!M60</f>
        <v>37113</v>
      </c>
      <c r="M7" s="28">
        <f>'6'!N60</f>
        <v>0</v>
      </c>
      <c r="N7" s="28">
        <f t="shared" si="0"/>
        <v>922955</v>
      </c>
    </row>
    <row r="8" spans="1:14" ht="17.100000000000001" customHeight="1" x14ac:dyDescent="0.2">
      <c r="A8" s="27"/>
      <c r="B8" s="27">
        <v>16</v>
      </c>
      <c r="C8" s="26" t="s">
        <v>108</v>
      </c>
      <c r="D8" s="28">
        <f>'6'!E101</f>
        <v>762666</v>
      </c>
      <c r="E8" s="28">
        <f>'6'!F101</f>
        <v>4772311</v>
      </c>
      <c r="F8" s="28">
        <f>'6'!G101</f>
        <v>0</v>
      </c>
      <c r="G8" s="28">
        <f>'6'!H101</f>
        <v>2065695</v>
      </c>
      <c r="H8" s="28">
        <f>'6'!I101</f>
        <v>0</v>
      </c>
      <c r="I8" s="28">
        <f>'6'!J101</f>
        <v>0</v>
      </c>
      <c r="J8" s="28">
        <f>'6'!K101</f>
        <v>500</v>
      </c>
      <c r="K8" s="28">
        <f>'6'!L101</f>
        <v>0</v>
      </c>
      <c r="L8" s="28">
        <f>'6'!M101</f>
        <v>4134483</v>
      </c>
      <c r="M8" s="28">
        <f>'6'!N101</f>
        <v>4036710</v>
      </c>
      <c r="N8" s="28">
        <f t="shared" si="0"/>
        <v>15772365</v>
      </c>
    </row>
    <row r="9" spans="1:14" ht="17.100000000000001" customHeight="1" x14ac:dyDescent="0.2">
      <c r="A9" s="27"/>
      <c r="B9" s="27">
        <v>17</v>
      </c>
      <c r="C9" s="26" t="s">
        <v>157</v>
      </c>
      <c r="D9" s="28">
        <f>'6'!E135</f>
        <v>0</v>
      </c>
      <c r="E9" s="28">
        <f>'6'!F135</f>
        <v>0</v>
      </c>
      <c r="F9" s="28">
        <f>'6'!G135</f>
        <v>0</v>
      </c>
      <c r="G9" s="28">
        <f>'6'!H135</f>
        <v>1712254</v>
      </c>
      <c r="H9" s="28">
        <f>'6'!I135</f>
        <v>373367</v>
      </c>
      <c r="I9" s="28">
        <f>'6'!J135</f>
        <v>0</v>
      </c>
      <c r="J9" s="28">
        <f>'6'!K135</f>
        <v>2000</v>
      </c>
      <c r="K9" s="28">
        <f>'6'!L135</f>
        <v>0</v>
      </c>
      <c r="L9" s="28">
        <f>'6'!M135</f>
        <v>7820</v>
      </c>
      <c r="M9" s="28">
        <f>'6'!N135</f>
        <v>52803</v>
      </c>
      <c r="N9" s="28">
        <f t="shared" si="0"/>
        <v>2148244</v>
      </c>
    </row>
    <row r="10" spans="1:14" ht="17.100000000000001" customHeight="1" x14ac:dyDescent="0.2">
      <c r="A10" s="27"/>
      <c r="B10" s="27">
        <v>18</v>
      </c>
      <c r="C10" s="26" t="s">
        <v>158</v>
      </c>
      <c r="D10" s="28">
        <f>'6'!E143</f>
        <v>0</v>
      </c>
      <c r="E10" s="28">
        <f>'6'!F143</f>
        <v>0</v>
      </c>
      <c r="F10" s="28">
        <f>'6'!G143</f>
        <v>96308</v>
      </c>
      <c r="G10" s="28">
        <f>'6'!H143</f>
        <v>47217</v>
      </c>
      <c r="H10" s="28">
        <f>'6'!I143</f>
        <v>0</v>
      </c>
      <c r="I10" s="28">
        <f>'6'!J143</f>
        <v>0</v>
      </c>
      <c r="J10" s="28">
        <f>'6'!K143</f>
        <v>0</v>
      </c>
      <c r="K10" s="28">
        <f>'6'!L143</f>
        <v>0</v>
      </c>
      <c r="L10" s="28">
        <f>'6'!M143</f>
        <v>0</v>
      </c>
      <c r="M10" s="28">
        <f>'6'!N143</f>
        <v>0</v>
      </c>
      <c r="N10" s="28">
        <f t="shared" si="0"/>
        <v>143525</v>
      </c>
    </row>
    <row r="11" spans="1:14" ht="17.100000000000001" customHeight="1" x14ac:dyDescent="0.2">
      <c r="A11" s="27"/>
      <c r="B11" s="27">
        <v>19</v>
      </c>
      <c r="C11" s="26" t="s">
        <v>81</v>
      </c>
      <c r="D11" s="28">
        <f>'6'!E177</f>
        <v>7053142</v>
      </c>
      <c r="E11" s="28">
        <f>'6'!F177</f>
        <v>26899</v>
      </c>
      <c r="F11" s="28">
        <f>'6'!G177</f>
        <v>9277000</v>
      </c>
      <c r="G11" s="28">
        <f>'6'!H177</f>
        <v>266342</v>
      </c>
      <c r="H11" s="28">
        <f>'6'!I177</f>
        <v>0</v>
      </c>
      <c r="I11" s="28">
        <f>'6'!J177</f>
        <v>41100</v>
      </c>
      <c r="J11" s="28">
        <f>'6'!K177</f>
        <v>800</v>
      </c>
      <c r="K11" s="28">
        <f>'6'!L177</f>
        <v>0</v>
      </c>
      <c r="L11" s="28">
        <f>'6'!M177</f>
        <v>2290652</v>
      </c>
      <c r="M11" s="28">
        <f>'6'!N177</f>
        <v>7176316</v>
      </c>
      <c r="N11" s="28">
        <f t="shared" si="0"/>
        <v>26132251</v>
      </c>
    </row>
    <row r="12" spans="1:14" ht="17.100000000000001" customHeight="1" x14ac:dyDescent="0.2">
      <c r="A12" s="27"/>
      <c r="B12" s="27">
        <v>22</v>
      </c>
      <c r="C12" s="330" t="s">
        <v>7</v>
      </c>
      <c r="D12" s="28">
        <f>'6'!E186</f>
        <v>2567</v>
      </c>
      <c r="E12" s="28">
        <f>'6'!F186</f>
        <v>0</v>
      </c>
      <c r="F12" s="28">
        <f>'6'!G186</f>
        <v>0</v>
      </c>
      <c r="G12" s="28">
        <f>'6'!H186</f>
        <v>0</v>
      </c>
      <c r="H12" s="28">
        <f>'6'!I186</f>
        <v>0</v>
      </c>
      <c r="I12" s="28">
        <f>'6'!J186</f>
        <v>12238</v>
      </c>
      <c r="J12" s="28">
        <f>'6'!K186</f>
        <v>0</v>
      </c>
      <c r="K12" s="28">
        <f>'6'!L186</f>
        <v>0</v>
      </c>
      <c r="L12" s="28">
        <f>'6'!M186</f>
        <v>0</v>
      </c>
      <c r="M12" s="28">
        <f>'6'!N186</f>
        <v>0</v>
      </c>
      <c r="N12" s="28">
        <f t="shared" si="0"/>
        <v>14805</v>
      </c>
    </row>
    <row r="13" spans="1:14" ht="36" customHeight="1" x14ac:dyDescent="0.2">
      <c r="A13" s="29"/>
      <c r="B13" s="29"/>
      <c r="C13" s="40" t="s">
        <v>10</v>
      </c>
      <c r="D13" s="37">
        <f t="shared" ref="D13:M13" si="1">SUM(D4:D12)</f>
        <v>8185050</v>
      </c>
      <c r="E13" s="37">
        <f t="shared" si="1"/>
        <v>4805210</v>
      </c>
      <c r="F13" s="37">
        <f t="shared" si="1"/>
        <v>9373308</v>
      </c>
      <c r="G13" s="37">
        <f t="shared" si="1"/>
        <v>4999025</v>
      </c>
      <c r="H13" s="37">
        <f t="shared" si="1"/>
        <v>377367</v>
      </c>
      <c r="I13" s="37">
        <f t="shared" si="1"/>
        <v>68033</v>
      </c>
      <c r="J13" s="37">
        <f t="shared" si="1"/>
        <v>29411</v>
      </c>
      <c r="K13" s="37">
        <f t="shared" si="1"/>
        <v>0</v>
      </c>
      <c r="L13" s="37">
        <f t="shared" si="1"/>
        <v>6474119</v>
      </c>
      <c r="M13" s="37">
        <f t="shared" si="1"/>
        <v>11265829</v>
      </c>
      <c r="N13" s="37">
        <f t="shared" si="0"/>
        <v>45577352</v>
      </c>
    </row>
    <row r="14" spans="1:14" ht="17.100000000000001" customHeight="1" x14ac:dyDescent="0.2">
      <c r="A14" s="31">
        <v>2</v>
      </c>
      <c r="B14" s="31"/>
      <c r="C14" s="26" t="s">
        <v>161</v>
      </c>
      <c r="D14" s="28">
        <f>'9'!G22</f>
        <v>967101</v>
      </c>
      <c r="E14" s="28">
        <f>'9'!H22</f>
        <v>15865</v>
      </c>
      <c r="F14" s="28">
        <f>'9'!I22</f>
        <v>5000</v>
      </c>
      <c r="G14" s="28">
        <f>'9'!J22</f>
        <v>2102999</v>
      </c>
      <c r="H14" s="28">
        <f>'9'!K22</f>
        <v>2413</v>
      </c>
      <c r="I14" s="28">
        <f>'9'!L22</f>
        <v>2061</v>
      </c>
      <c r="J14" s="28">
        <f>'9'!M22</f>
        <v>988</v>
      </c>
      <c r="K14" s="28"/>
      <c r="L14" s="28">
        <f>'9'!N22</f>
        <v>989972</v>
      </c>
      <c r="M14" s="28"/>
      <c r="N14" s="28">
        <f t="shared" si="0"/>
        <v>4086399</v>
      </c>
    </row>
    <row r="15" spans="1:14" ht="17.100000000000001" customHeight="1" x14ac:dyDescent="0.2">
      <c r="A15" s="29"/>
      <c r="B15" s="29"/>
      <c r="C15" s="30" t="s">
        <v>151</v>
      </c>
      <c r="D15" s="37">
        <f t="shared" ref="D15:M15" si="2">SUM(D13:D14)</f>
        <v>9152151</v>
      </c>
      <c r="E15" s="37">
        <f t="shared" si="2"/>
        <v>4821075</v>
      </c>
      <c r="F15" s="37">
        <f t="shared" si="2"/>
        <v>9378308</v>
      </c>
      <c r="G15" s="37">
        <f t="shared" si="2"/>
        <v>7102024</v>
      </c>
      <c r="H15" s="37">
        <f t="shared" si="2"/>
        <v>379780</v>
      </c>
      <c r="I15" s="37">
        <f t="shared" si="2"/>
        <v>70094</v>
      </c>
      <c r="J15" s="37">
        <f t="shared" si="2"/>
        <v>30399</v>
      </c>
      <c r="K15" s="37">
        <f t="shared" si="2"/>
        <v>0</v>
      </c>
      <c r="L15" s="37">
        <f t="shared" si="2"/>
        <v>7464091</v>
      </c>
      <c r="M15" s="37">
        <f t="shared" si="2"/>
        <v>11265829</v>
      </c>
      <c r="N15" s="37">
        <f t="shared" si="0"/>
        <v>49663751</v>
      </c>
    </row>
    <row r="16" spans="1:14" ht="14.1" customHeight="1" x14ac:dyDescent="0.2">
      <c r="D16" s="17"/>
      <c r="E16" s="17"/>
      <c r="F16" s="17"/>
      <c r="G16" s="17"/>
      <c r="H16" s="17"/>
      <c r="I16" s="17"/>
      <c r="J16" s="17"/>
      <c r="K16" s="17"/>
      <c r="L16" s="17"/>
    </row>
    <row r="17" spans="4:12" ht="14.1" customHeight="1" x14ac:dyDescent="0.2">
      <c r="D17" s="17"/>
      <c r="E17" s="17"/>
      <c r="F17" s="17"/>
      <c r="G17" s="17"/>
      <c r="H17" s="17"/>
      <c r="I17" s="17"/>
      <c r="J17" s="17"/>
      <c r="K17" s="17"/>
      <c r="L17" s="17"/>
    </row>
    <row r="18" spans="4:12" ht="14.1" customHeight="1" x14ac:dyDescent="0.2">
      <c r="D18" s="17"/>
      <c r="E18" s="17"/>
      <c r="F18" s="17"/>
      <c r="G18" s="17"/>
      <c r="H18" s="17"/>
      <c r="I18" s="17"/>
      <c r="J18" s="17"/>
      <c r="K18" s="17"/>
      <c r="L18" s="17"/>
    </row>
    <row r="19" spans="4:12" ht="14.1" customHeight="1" x14ac:dyDescent="0.2">
      <c r="D19" s="17"/>
      <c r="E19" s="17"/>
      <c r="F19" s="17"/>
      <c r="G19" s="17"/>
      <c r="H19" s="17"/>
      <c r="I19" s="17"/>
      <c r="J19" s="17"/>
      <c r="K19" s="17"/>
      <c r="L19" s="17"/>
    </row>
    <row r="20" spans="4:12" ht="14.1" customHeight="1" x14ac:dyDescent="0.2">
      <c r="D20" s="17"/>
      <c r="E20" s="17"/>
      <c r="F20" s="17"/>
      <c r="G20" s="17"/>
      <c r="H20" s="17"/>
      <c r="I20" s="17"/>
      <c r="J20" s="17"/>
      <c r="K20" s="17"/>
      <c r="L20" s="17"/>
    </row>
    <row r="21" spans="4:12" ht="14.1" customHeight="1" x14ac:dyDescent="0.2">
      <c r="D21" s="17"/>
      <c r="E21" s="17"/>
      <c r="F21" s="17"/>
      <c r="G21" s="17"/>
      <c r="H21" s="17"/>
      <c r="I21" s="17"/>
      <c r="J21" s="17"/>
      <c r="K21" s="17"/>
      <c r="L21" s="17"/>
    </row>
    <row r="22" spans="4:12" ht="14.1" customHeight="1" x14ac:dyDescent="0.2">
      <c r="D22" s="17"/>
      <c r="E22" s="17"/>
      <c r="F22" s="17"/>
      <c r="G22" s="17"/>
      <c r="H22" s="17"/>
      <c r="I22" s="17"/>
      <c r="J22" s="17"/>
      <c r="K22" s="17"/>
      <c r="L22" s="17"/>
    </row>
    <row r="23" spans="4:12" ht="14.1" customHeight="1" x14ac:dyDescent="0.2"/>
    <row r="24" spans="4:12" ht="14.1" customHeight="1" x14ac:dyDescent="0.2"/>
    <row r="25" spans="4:12" ht="14.1" customHeight="1" x14ac:dyDescent="0.2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2025.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4"/>
  <sheetViews>
    <sheetView zoomScale="91" zoomScaleNormal="91" workbookViewId="0">
      <pane ySplit="2" topLeftCell="A171" activePane="bottomLeft" state="frozen"/>
      <selection activeCell="G28" sqref="G28"/>
      <selection pane="bottomLeft" activeCell="A191" sqref="A191:XFD193"/>
    </sheetView>
  </sheetViews>
  <sheetFormatPr defaultRowHeight="12.75" x14ac:dyDescent="0.2"/>
  <cols>
    <col min="1" max="1" width="5.33203125" style="70" customWidth="1"/>
    <col min="2" max="2" width="5.5" style="70" customWidth="1"/>
    <col min="3" max="3" width="40.83203125" style="70" customWidth="1"/>
    <col min="4" max="4" width="10.83203125" style="183" customWidth="1"/>
    <col min="5" max="5" width="13" style="70" customWidth="1"/>
    <col min="6" max="6" width="13.1640625" style="70" customWidth="1"/>
    <col min="7" max="7" width="12.33203125" style="70" customWidth="1"/>
    <col min="8" max="8" width="11.33203125" style="70" customWidth="1"/>
    <col min="9" max="9" width="11.83203125" style="70" customWidth="1"/>
    <col min="10" max="10" width="10.83203125" style="70" customWidth="1"/>
    <col min="11" max="11" width="13.1640625" style="70" customWidth="1"/>
    <col min="12" max="12" width="11.5" style="70" customWidth="1"/>
    <col min="13" max="13" width="12.33203125" style="70" customWidth="1"/>
    <col min="14" max="14" width="12.83203125" style="70" customWidth="1"/>
    <col min="15" max="15" width="13.1640625" style="70" customWidth="1"/>
    <col min="16" max="16" width="12.33203125" style="70" customWidth="1"/>
    <col min="17" max="255" width="8.83203125" style="70"/>
    <col min="256" max="256" width="5.33203125" style="70" customWidth="1"/>
    <col min="257" max="257" width="5.5" style="70" customWidth="1"/>
    <col min="258" max="258" width="40.83203125" style="70" customWidth="1"/>
    <col min="259" max="259" width="9.83203125" style="70" customWidth="1"/>
    <col min="260" max="260" width="13" style="70" customWidth="1"/>
    <col min="261" max="261" width="13.1640625" style="70" customWidth="1"/>
    <col min="262" max="262" width="12.33203125" style="70" customWidth="1"/>
    <col min="263" max="263" width="11.33203125" style="70" customWidth="1"/>
    <col min="264" max="264" width="11.83203125" style="70" customWidth="1"/>
    <col min="265" max="265" width="10.83203125" style="70" customWidth="1"/>
    <col min="266" max="266" width="13.1640625" style="70" customWidth="1"/>
    <col min="267" max="267" width="11.5" style="70" customWidth="1"/>
    <col min="268" max="269" width="12.33203125" style="70" customWidth="1"/>
    <col min="270" max="270" width="13.1640625" style="70" customWidth="1"/>
    <col min="271" max="271" width="18.5" style="70" customWidth="1"/>
    <col min="272" max="272" width="7.33203125" style="70" customWidth="1"/>
    <col min="273" max="511" width="8.83203125" style="70"/>
    <col min="512" max="512" width="5.33203125" style="70" customWidth="1"/>
    <col min="513" max="513" width="5.5" style="70" customWidth="1"/>
    <col min="514" max="514" width="40.83203125" style="70" customWidth="1"/>
    <col min="515" max="515" width="9.83203125" style="70" customWidth="1"/>
    <col min="516" max="516" width="13" style="70" customWidth="1"/>
    <col min="517" max="517" width="13.1640625" style="70" customWidth="1"/>
    <col min="518" max="518" width="12.33203125" style="70" customWidth="1"/>
    <col min="519" max="519" width="11.33203125" style="70" customWidth="1"/>
    <col min="520" max="520" width="11.83203125" style="70" customWidth="1"/>
    <col min="521" max="521" width="10.83203125" style="70" customWidth="1"/>
    <col min="522" max="522" width="13.1640625" style="70" customWidth="1"/>
    <col min="523" max="523" width="11.5" style="70" customWidth="1"/>
    <col min="524" max="525" width="12.33203125" style="70" customWidth="1"/>
    <col min="526" max="526" width="13.1640625" style="70" customWidth="1"/>
    <col min="527" max="527" width="18.5" style="70" customWidth="1"/>
    <col min="528" max="528" width="7.33203125" style="70" customWidth="1"/>
    <col min="529" max="767" width="8.83203125" style="70"/>
    <col min="768" max="768" width="5.33203125" style="70" customWidth="1"/>
    <col min="769" max="769" width="5.5" style="70" customWidth="1"/>
    <col min="770" max="770" width="40.83203125" style="70" customWidth="1"/>
    <col min="771" max="771" width="9.83203125" style="70" customWidth="1"/>
    <col min="772" max="772" width="13" style="70" customWidth="1"/>
    <col min="773" max="773" width="13.1640625" style="70" customWidth="1"/>
    <col min="774" max="774" width="12.33203125" style="70" customWidth="1"/>
    <col min="775" max="775" width="11.33203125" style="70" customWidth="1"/>
    <col min="776" max="776" width="11.83203125" style="70" customWidth="1"/>
    <col min="777" max="777" width="10.83203125" style="70" customWidth="1"/>
    <col min="778" max="778" width="13.1640625" style="70" customWidth="1"/>
    <col min="779" max="779" width="11.5" style="70" customWidth="1"/>
    <col min="780" max="781" width="12.33203125" style="70" customWidth="1"/>
    <col min="782" max="782" width="13.1640625" style="70" customWidth="1"/>
    <col min="783" max="783" width="18.5" style="70" customWidth="1"/>
    <col min="784" max="784" width="7.33203125" style="70" customWidth="1"/>
    <col min="785" max="1023" width="8.83203125" style="70"/>
    <col min="1024" max="1024" width="5.33203125" style="70" customWidth="1"/>
    <col min="1025" max="1025" width="5.5" style="70" customWidth="1"/>
    <col min="1026" max="1026" width="40.83203125" style="70" customWidth="1"/>
    <col min="1027" max="1027" width="9.83203125" style="70" customWidth="1"/>
    <col min="1028" max="1028" width="13" style="70" customWidth="1"/>
    <col min="1029" max="1029" width="13.1640625" style="70" customWidth="1"/>
    <col min="1030" max="1030" width="12.33203125" style="70" customWidth="1"/>
    <col min="1031" max="1031" width="11.33203125" style="70" customWidth="1"/>
    <col min="1032" max="1032" width="11.83203125" style="70" customWidth="1"/>
    <col min="1033" max="1033" width="10.83203125" style="70" customWidth="1"/>
    <col min="1034" max="1034" width="13.1640625" style="70" customWidth="1"/>
    <col min="1035" max="1035" width="11.5" style="70" customWidth="1"/>
    <col min="1036" max="1037" width="12.33203125" style="70" customWidth="1"/>
    <col min="1038" max="1038" width="13.1640625" style="70" customWidth="1"/>
    <col min="1039" max="1039" width="18.5" style="70" customWidth="1"/>
    <col min="1040" max="1040" width="7.33203125" style="70" customWidth="1"/>
    <col min="1041" max="1279" width="8.83203125" style="70"/>
    <col min="1280" max="1280" width="5.33203125" style="70" customWidth="1"/>
    <col min="1281" max="1281" width="5.5" style="70" customWidth="1"/>
    <col min="1282" max="1282" width="40.83203125" style="70" customWidth="1"/>
    <col min="1283" max="1283" width="9.83203125" style="70" customWidth="1"/>
    <col min="1284" max="1284" width="13" style="70" customWidth="1"/>
    <col min="1285" max="1285" width="13.1640625" style="70" customWidth="1"/>
    <col min="1286" max="1286" width="12.33203125" style="70" customWidth="1"/>
    <col min="1287" max="1287" width="11.33203125" style="70" customWidth="1"/>
    <col min="1288" max="1288" width="11.83203125" style="70" customWidth="1"/>
    <col min="1289" max="1289" width="10.83203125" style="70" customWidth="1"/>
    <col min="1290" max="1290" width="13.1640625" style="70" customWidth="1"/>
    <col min="1291" max="1291" width="11.5" style="70" customWidth="1"/>
    <col min="1292" max="1293" width="12.33203125" style="70" customWidth="1"/>
    <col min="1294" max="1294" width="13.1640625" style="70" customWidth="1"/>
    <col min="1295" max="1295" width="18.5" style="70" customWidth="1"/>
    <col min="1296" max="1296" width="7.33203125" style="70" customWidth="1"/>
    <col min="1297" max="1535" width="8.83203125" style="70"/>
    <col min="1536" max="1536" width="5.33203125" style="70" customWidth="1"/>
    <col min="1537" max="1537" width="5.5" style="70" customWidth="1"/>
    <col min="1538" max="1538" width="40.83203125" style="70" customWidth="1"/>
    <col min="1539" max="1539" width="9.83203125" style="70" customWidth="1"/>
    <col min="1540" max="1540" width="13" style="70" customWidth="1"/>
    <col min="1541" max="1541" width="13.1640625" style="70" customWidth="1"/>
    <col min="1542" max="1542" width="12.33203125" style="70" customWidth="1"/>
    <col min="1543" max="1543" width="11.33203125" style="70" customWidth="1"/>
    <col min="1544" max="1544" width="11.83203125" style="70" customWidth="1"/>
    <col min="1545" max="1545" width="10.83203125" style="70" customWidth="1"/>
    <col min="1546" max="1546" width="13.1640625" style="70" customWidth="1"/>
    <col min="1547" max="1547" width="11.5" style="70" customWidth="1"/>
    <col min="1548" max="1549" width="12.33203125" style="70" customWidth="1"/>
    <col min="1550" max="1550" width="13.1640625" style="70" customWidth="1"/>
    <col min="1551" max="1551" width="18.5" style="70" customWidth="1"/>
    <col min="1552" max="1552" width="7.33203125" style="70" customWidth="1"/>
    <col min="1553" max="1791" width="8.83203125" style="70"/>
    <col min="1792" max="1792" width="5.33203125" style="70" customWidth="1"/>
    <col min="1793" max="1793" width="5.5" style="70" customWidth="1"/>
    <col min="1794" max="1794" width="40.83203125" style="70" customWidth="1"/>
    <col min="1795" max="1795" width="9.83203125" style="70" customWidth="1"/>
    <col min="1796" max="1796" width="13" style="70" customWidth="1"/>
    <col min="1797" max="1797" width="13.1640625" style="70" customWidth="1"/>
    <col min="1798" max="1798" width="12.33203125" style="70" customWidth="1"/>
    <col min="1799" max="1799" width="11.33203125" style="70" customWidth="1"/>
    <col min="1800" max="1800" width="11.83203125" style="70" customWidth="1"/>
    <col min="1801" max="1801" width="10.83203125" style="70" customWidth="1"/>
    <col min="1802" max="1802" width="13.1640625" style="70" customWidth="1"/>
    <col min="1803" max="1803" width="11.5" style="70" customWidth="1"/>
    <col min="1804" max="1805" width="12.33203125" style="70" customWidth="1"/>
    <col min="1806" max="1806" width="13.1640625" style="70" customWidth="1"/>
    <col min="1807" max="1807" width="18.5" style="70" customWidth="1"/>
    <col min="1808" max="1808" width="7.33203125" style="70" customWidth="1"/>
    <col min="1809" max="2047" width="8.83203125" style="70"/>
    <col min="2048" max="2048" width="5.33203125" style="70" customWidth="1"/>
    <col min="2049" max="2049" width="5.5" style="70" customWidth="1"/>
    <col min="2050" max="2050" width="40.83203125" style="70" customWidth="1"/>
    <col min="2051" max="2051" width="9.83203125" style="70" customWidth="1"/>
    <col min="2052" max="2052" width="13" style="70" customWidth="1"/>
    <col min="2053" max="2053" width="13.1640625" style="70" customWidth="1"/>
    <col min="2054" max="2054" width="12.33203125" style="70" customWidth="1"/>
    <col min="2055" max="2055" width="11.33203125" style="70" customWidth="1"/>
    <col min="2056" max="2056" width="11.83203125" style="70" customWidth="1"/>
    <col min="2057" max="2057" width="10.83203125" style="70" customWidth="1"/>
    <col min="2058" max="2058" width="13.1640625" style="70" customWidth="1"/>
    <col min="2059" max="2059" width="11.5" style="70" customWidth="1"/>
    <col min="2060" max="2061" width="12.33203125" style="70" customWidth="1"/>
    <col min="2062" max="2062" width="13.1640625" style="70" customWidth="1"/>
    <col min="2063" max="2063" width="18.5" style="70" customWidth="1"/>
    <col min="2064" max="2064" width="7.33203125" style="70" customWidth="1"/>
    <col min="2065" max="2303" width="8.83203125" style="70"/>
    <col min="2304" max="2304" width="5.33203125" style="70" customWidth="1"/>
    <col min="2305" max="2305" width="5.5" style="70" customWidth="1"/>
    <col min="2306" max="2306" width="40.83203125" style="70" customWidth="1"/>
    <col min="2307" max="2307" width="9.83203125" style="70" customWidth="1"/>
    <col min="2308" max="2308" width="13" style="70" customWidth="1"/>
    <col min="2309" max="2309" width="13.1640625" style="70" customWidth="1"/>
    <col min="2310" max="2310" width="12.33203125" style="70" customWidth="1"/>
    <col min="2311" max="2311" width="11.33203125" style="70" customWidth="1"/>
    <col min="2312" max="2312" width="11.83203125" style="70" customWidth="1"/>
    <col min="2313" max="2313" width="10.83203125" style="70" customWidth="1"/>
    <col min="2314" max="2314" width="13.1640625" style="70" customWidth="1"/>
    <col min="2315" max="2315" width="11.5" style="70" customWidth="1"/>
    <col min="2316" max="2317" width="12.33203125" style="70" customWidth="1"/>
    <col min="2318" max="2318" width="13.1640625" style="70" customWidth="1"/>
    <col min="2319" max="2319" width="18.5" style="70" customWidth="1"/>
    <col min="2320" max="2320" width="7.33203125" style="70" customWidth="1"/>
    <col min="2321" max="2559" width="8.83203125" style="70"/>
    <col min="2560" max="2560" width="5.33203125" style="70" customWidth="1"/>
    <col min="2561" max="2561" width="5.5" style="70" customWidth="1"/>
    <col min="2562" max="2562" width="40.83203125" style="70" customWidth="1"/>
    <col min="2563" max="2563" width="9.83203125" style="70" customWidth="1"/>
    <col min="2564" max="2564" width="13" style="70" customWidth="1"/>
    <col min="2565" max="2565" width="13.1640625" style="70" customWidth="1"/>
    <col min="2566" max="2566" width="12.33203125" style="70" customWidth="1"/>
    <col min="2567" max="2567" width="11.33203125" style="70" customWidth="1"/>
    <col min="2568" max="2568" width="11.83203125" style="70" customWidth="1"/>
    <col min="2569" max="2569" width="10.83203125" style="70" customWidth="1"/>
    <col min="2570" max="2570" width="13.1640625" style="70" customWidth="1"/>
    <col min="2571" max="2571" width="11.5" style="70" customWidth="1"/>
    <col min="2572" max="2573" width="12.33203125" style="70" customWidth="1"/>
    <col min="2574" max="2574" width="13.1640625" style="70" customWidth="1"/>
    <col min="2575" max="2575" width="18.5" style="70" customWidth="1"/>
    <col min="2576" max="2576" width="7.33203125" style="70" customWidth="1"/>
    <col min="2577" max="2815" width="8.83203125" style="70"/>
    <col min="2816" max="2816" width="5.33203125" style="70" customWidth="1"/>
    <col min="2817" max="2817" width="5.5" style="70" customWidth="1"/>
    <col min="2818" max="2818" width="40.83203125" style="70" customWidth="1"/>
    <col min="2819" max="2819" width="9.83203125" style="70" customWidth="1"/>
    <col min="2820" max="2820" width="13" style="70" customWidth="1"/>
    <col min="2821" max="2821" width="13.1640625" style="70" customWidth="1"/>
    <col min="2822" max="2822" width="12.33203125" style="70" customWidth="1"/>
    <col min="2823" max="2823" width="11.33203125" style="70" customWidth="1"/>
    <col min="2824" max="2824" width="11.83203125" style="70" customWidth="1"/>
    <col min="2825" max="2825" width="10.83203125" style="70" customWidth="1"/>
    <col min="2826" max="2826" width="13.1640625" style="70" customWidth="1"/>
    <col min="2827" max="2827" width="11.5" style="70" customWidth="1"/>
    <col min="2828" max="2829" width="12.33203125" style="70" customWidth="1"/>
    <col min="2830" max="2830" width="13.1640625" style="70" customWidth="1"/>
    <col min="2831" max="2831" width="18.5" style="70" customWidth="1"/>
    <col min="2832" max="2832" width="7.33203125" style="70" customWidth="1"/>
    <col min="2833" max="3071" width="8.83203125" style="70"/>
    <col min="3072" max="3072" width="5.33203125" style="70" customWidth="1"/>
    <col min="3073" max="3073" width="5.5" style="70" customWidth="1"/>
    <col min="3074" max="3074" width="40.83203125" style="70" customWidth="1"/>
    <col min="3075" max="3075" width="9.83203125" style="70" customWidth="1"/>
    <col min="3076" max="3076" width="13" style="70" customWidth="1"/>
    <col min="3077" max="3077" width="13.1640625" style="70" customWidth="1"/>
    <col min="3078" max="3078" width="12.33203125" style="70" customWidth="1"/>
    <col min="3079" max="3079" width="11.33203125" style="70" customWidth="1"/>
    <col min="3080" max="3080" width="11.83203125" style="70" customWidth="1"/>
    <col min="3081" max="3081" width="10.83203125" style="70" customWidth="1"/>
    <col min="3082" max="3082" width="13.1640625" style="70" customWidth="1"/>
    <col min="3083" max="3083" width="11.5" style="70" customWidth="1"/>
    <col min="3084" max="3085" width="12.33203125" style="70" customWidth="1"/>
    <col min="3086" max="3086" width="13.1640625" style="70" customWidth="1"/>
    <col min="3087" max="3087" width="18.5" style="70" customWidth="1"/>
    <col min="3088" max="3088" width="7.33203125" style="70" customWidth="1"/>
    <col min="3089" max="3327" width="8.83203125" style="70"/>
    <col min="3328" max="3328" width="5.33203125" style="70" customWidth="1"/>
    <col min="3329" max="3329" width="5.5" style="70" customWidth="1"/>
    <col min="3330" max="3330" width="40.83203125" style="70" customWidth="1"/>
    <col min="3331" max="3331" width="9.83203125" style="70" customWidth="1"/>
    <col min="3332" max="3332" width="13" style="70" customWidth="1"/>
    <col min="3333" max="3333" width="13.1640625" style="70" customWidth="1"/>
    <col min="3334" max="3334" width="12.33203125" style="70" customWidth="1"/>
    <col min="3335" max="3335" width="11.33203125" style="70" customWidth="1"/>
    <col min="3336" max="3336" width="11.83203125" style="70" customWidth="1"/>
    <col min="3337" max="3337" width="10.83203125" style="70" customWidth="1"/>
    <col min="3338" max="3338" width="13.1640625" style="70" customWidth="1"/>
    <col min="3339" max="3339" width="11.5" style="70" customWidth="1"/>
    <col min="3340" max="3341" width="12.33203125" style="70" customWidth="1"/>
    <col min="3342" max="3342" width="13.1640625" style="70" customWidth="1"/>
    <col min="3343" max="3343" width="18.5" style="70" customWidth="1"/>
    <col min="3344" max="3344" width="7.33203125" style="70" customWidth="1"/>
    <col min="3345" max="3583" width="8.83203125" style="70"/>
    <col min="3584" max="3584" width="5.33203125" style="70" customWidth="1"/>
    <col min="3585" max="3585" width="5.5" style="70" customWidth="1"/>
    <col min="3586" max="3586" width="40.83203125" style="70" customWidth="1"/>
    <col min="3587" max="3587" width="9.83203125" style="70" customWidth="1"/>
    <col min="3588" max="3588" width="13" style="70" customWidth="1"/>
    <col min="3589" max="3589" width="13.1640625" style="70" customWidth="1"/>
    <col min="3590" max="3590" width="12.33203125" style="70" customWidth="1"/>
    <col min="3591" max="3591" width="11.33203125" style="70" customWidth="1"/>
    <col min="3592" max="3592" width="11.83203125" style="70" customWidth="1"/>
    <col min="3593" max="3593" width="10.83203125" style="70" customWidth="1"/>
    <col min="3594" max="3594" width="13.1640625" style="70" customWidth="1"/>
    <col min="3595" max="3595" width="11.5" style="70" customWidth="1"/>
    <col min="3596" max="3597" width="12.33203125" style="70" customWidth="1"/>
    <col min="3598" max="3598" width="13.1640625" style="70" customWidth="1"/>
    <col min="3599" max="3599" width="18.5" style="70" customWidth="1"/>
    <col min="3600" max="3600" width="7.33203125" style="70" customWidth="1"/>
    <col min="3601" max="3839" width="8.83203125" style="70"/>
    <col min="3840" max="3840" width="5.33203125" style="70" customWidth="1"/>
    <col min="3841" max="3841" width="5.5" style="70" customWidth="1"/>
    <col min="3842" max="3842" width="40.83203125" style="70" customWidth="1"/>
    <col min="3843" max="3843" width="9.83203125" style="70" customWidth="1"/>
    <col min="3844" max="3844" width="13" style="70" customWidth="1"/>
    <col min="3845" max="3845" width="13.1640625" style="70" customWidth="1"/>
    <col min="3846" max="3846" width="12.33203125" style="70" customWidth="1"/>
    <col min="3847" max="3847" width="11.33203125" style="70" customWidth="1"/>
    <col min="3848" max="3848" width="11.83203125" style="70" customWidth="1"/>
    <col min="3849" max="3849" width="10.83203125" style="70" customWidth="1"/>
    <col min="3850" max="3850" width="13.1640625" style="70" customWidth="1"/>
    <col min="3851" max="3851" width="11.5" style="70" customWidth="1"/>
    <col min="3852" max="3853" width="12.33203125" style="70" customWidth="1"/>
    <col min="3854" max="3854" width="13.1640625" style="70" customWidth="1"/>
    <col min="3855" max="3855" width="18.5" style="70" customWidth="1"/>
    <col min="3856" max="3856" width="7.33203125" style="70" customWidth="1"/>
    <col min="3857" max="4095" width="8.83203125" style="70"/>
    <col min="4096" max="4096" width="5.33203125" style="70" customWidth="1"/>
    <col min="4097" max="4097" width="5.5" style="70" customWidth="1"/>
    <col min="4098" max="4098" width="40.83203125" style="70" customWidth="1"/>
    <col min="4099" max="4099" width="9.83203125" style="70" customWidth="1"/>
    <col min="4100" max="4100" width="13" style="70" customWidth="1"/>
    <col min="4101" max="4101" width="13.1640625" style="70" customWidth="1"/>
    <col min="4102" max="4102" width="12.33203125" style="70" customWidth="1"/>
    <col min="4103" max="4103" width="11.33203125" style="70" customWidth="1"/>
    <col min="4104" max="4104" width="11.83203125" style="70" customWidth="1"/>
    <col min="4105" max="4105" width="10.83203125" style="70" customWidth="1"/>
    <col min="4106" max="4106" width="13.1640625" style="70" customWidth="1"/>
    <col min="4107" max="4107" width="11.5" style="70" customWidth="1"/>
    <col min="4108" max="4109" width="12.33203125" style="70" customWidth="1"/>
    <col min="4110" max="4110" width="13.1640625" style="70" customWidth="1"/>
    <col min="4111" max="4111" width="18.5" style="70" customWidth="1"/>
    <col min="4112" max="4112" width="7.33203125" style="70" customWidth="1"/>
    <col min="4113" max="4351" width="8.83203125" style="70"/>
    <col min="4352" max="4352" width="5.33203125" style="70" customWidth="1"/>
    <col min="4353" max="4353" width="5.5" style="70" customWidth="1"/>
    <col min="4354" max="4354" width="40.83203125" style="70" customWidth="1"/>
    <col min="4355" max="4355" width="9.83203125" style="70" customWidth="1"/>
    <col min="4356" max="4356" width="13" style="70" customWidth="1"/>
    <col min="4357" max="4357" width="13.1640625" style="70" customWidth="1"/>
    <col min="4358" max="4358" width="12.33203125" style="70" customWidth="1"/>
    <col min="4359" max="4359" width="11.33203125" style="70" customWidth="1"/>
    <col min="4360" max="4360" width="11.83203125" style="70" customWidth="1"/>
    <col min="4361" max="4361" width="10.83203125" style="70" customWidth="1"/>
    <col min="4362" max="4362" width="13.1640625" style="70" customWidth="1"/>
    <col min="4363" max="4363" width="11.5" style="70" customWidth="1"/>
    <col min="4364" max="4365" width="12.33203125" style="70" customWidth="1"/>
    <col min="4366" max="4366" width="13.1640625" style="70" customWidth="1"/>
    <col min="4367" max="4367" width="18.5" style="70" customWidth="1"/>
    <col min="4368" max="4368" width="7.33203125" style="70" customWidth="1"/>
    <col min="4369" max="4607" width="8.83203125" style="70"/>
    <col min="4608" max="4608" width="5.33203125" style="70" customWidth="1"/>
    <col min="4609" max="4609" width="5.5" style="70" customWidth="1"/>
    <col min="4610" max="4610" width="40.83203125" style="70" customWidth="1"/>
    <col min="4611" max="4611" width="9.83203125" style="70" customWidth="1"/>
    <col min="4612" max="4612" width="13" style="70" customWidth="1"/>
    <col min="4613" max="4613" width="13.1640625" style="70" customWidth="1"/>
    <col min="4614" max="4614" width="12.33203125" style="70" customWidth="1"/>
    <col min="4615" max="4615" width="11.33203125" style="70" customWidth="1"/>
    <col min="4616" max="4616" width="11.83203125" style="70" customWidth="1"/>
    <col min="4617" max="4617" width="10.83203125" style="70" customWidth="1"/>
    <col min="4618" max="4618" width="13.1640625" style="70" customWidth="1"/>
    <col min="4619" max="4619" width="11.5" style="70" customWidth="1"/>
    <col min="4620" max="4621" width="12.33203125" style="70" customWidth="1"/>
    <col min="4622" max="4622" width="13.1640625" style="70" customWidth="1"/>
    <col min="4623" max="4623" width="18.5" style="70" customWidth="1"/>
    <col min="4624" max="4624" width="7.33203125" style="70" customWidth="1"/>
    <col min="4625" max="4863" width="8.83203125" style="70"/>
    <col min="4864" max="4864" width="5.33203125" style="70" customWidth="1"/>
    <col min="4865" max="4865" width="5.5" style="70" customWidth="1"/>
    <col min="4866" max="4866" width="40.83203125" style="70" customWidth="1"/>
    <col min="4867" max="4867" width="9.83203125" style="70" customWidth="1"/>
    <col min="4868" max="4868" width="13" style="70" customWidth="1"/>
    <col min="4869" max="4869" width="13.1640625" style="70" customWidth="1"/>
    <col min="4870" max="4870" width="12.33203125" style="70" customWidth="1"/>
    <col min="4871" max="4871" width="11.33203125" style="70" customWidth="1"/>
    <col min="4872" max="4872" width="11.83203125" style="70" customWidth="1"/>
    <col min="4873" max="4873" width="10.83203125" style="70" customWidth="1"/>
    <col min="4874" max="4874" width="13.1640625" style="70" customWidth="1"/>
    <col min="4875" max="4875" width="11.5" style="70" customWidth="1"/>
    <col min="4876" max="4877" width="12.33203125" style="70" customWidth="1"/>
    <col min="4878" max="4878" width="13.1640625" style="70" customWidth="1"/>
    <col min="4879" max="4879" width="18.5" style="70" customWidth="1"/>
    <col min="4880" max="4880" width="7.33203125" style="70" customWidth="1"/>
    <col min="4881" max="5119" width="8.83203125" style="70"/>
    <col min="5120" max="5120" width="5.33203125" style="70" customWidth="1"/>
    <col min="5121" max="5121" width="5.5" style="70" customWidth="1"/>
    <col min="5122" max="5122" width="40.83203125" style="70" customWidth="1"/>
    <col min="5123" max="5123" width="9.83203125" style="70" customWidth="1"/>
    <col min="5124" max="5124" width="13" style="70" customWidth="1"/>
    <col min="5125" max="5125" width="13.1640625" style="70" customWidth="1"/>
    <col min="5126" max="5126" width="12.33203125" style="70" customWidth="1"/>
    <col min="5127" max="5127" width="11.33203125" style="70" customWidth="1"/>
    <col min="5128" max="5128" width="11.83203125" style="70" customWidth="1"/>
    <col min="5129" max="5129" width="10.83203125" style="70" customWidth="1"/>
    <col min="5130" max="5130" width="13.1640625" style="70" customWidth="1"/>
    <col min="5131" max="5131" width="11.5" style="70" customWidth="1"/>
    <col min="5132" max="5133" width="12.33203125" style="70" customWidth="1"/>
    <col min="5134" max="5134" width="13.1640625" style="70" customWidth="1"/>
    <col min="5135" max="5135" width="18.5" style="70" customWidth="1"/>
    <col min="5136" max="5136" width="7.33203125" style="70" customWidth="1"/>
    <col min="5137" max="5375" width="8.83203125" style="70"/>
    <col min="5376" max="5376" width="5.33203125" style="70" customWidth="1"/>
    <col min="5377" max="5377" width="5.5" style="70" customWidth="1"/>
    <col min="5378" max="5378" width="40.83203125" style="70" customWidth="1"/>
    <col min="5379" max="5379" width="9.83203125" style="70" customWidth="1"/>
    <col min="5380" max="5380" width="13" style="70" customWidth="1"/>
    <col min="5381" max="5381" width="13.1640625" style="70" customWidth="1"/>
    <col min="5382" max="5382" width="12.33203125" style="70" customWidth="1"/>
    <col min="5383" max="5383" width="11.33203125" style="70" customWidth="1"/>
    <col min="5384" max="5384" width="11.83203125" style="70" customWidth="1"/>
    <col min="5385" max="5385" width="10.83203125" style="70" customWidth="1"/>
    <col min="5386" max="5386" width="13.1640625" style="70" customWidth="1"/>
    <col min="5387" max="5387" width="11.5" style="70" customWidth="1"/>
    <col min="5388" max="5389" width="12.33203125" style="70" customWidth="1"/>
    <col min="5390" max="5390" width="13.1640625" style="70" customWidth="1"/>
    <col min="5391" max="5391" width="18.5" style="70" customWidth="1"/>
    <col min="5392" max="5392" width="7.33203125" style="70" customWidth="1"/>
    <col min="5393" max="5631" width="8.83203125" style="70"/>
    <col min="5632" max="5632" width="5.33203125" style="70" customWidth="1"/>
    <col min="5633" max="5633" width="5.5" style="70" customWidth="1"/>
    <col min="5634" max="5634" width="40.83203125" style="70" customWidth="1"/>
    <col min="5635" max="5635" width="9.83203125" style="70" customWidth="1"/>
    <col min="5636" max="5636" width="13" style="70" customWidth="1"/>
    <col min="5637" max="5637" width="13.1640625" style="70" customWidth="1"/>
    <col min="5638" max="5638" width="12.33203125" style="70" customWidth="1"/>
    <col min="5639" max="5639" width="11.33203125" style="70" customWidth="1"/>
    <col min="5640" max="5640" width="11.83203125" style="70" customWidth="1"/>
    <col min="5641" max="5641" width="10.83203125" style="70" customWidth="1"/>
    <col min="5642" max="5642" width="13.1640625" style="70" customWidth="1"/>
    <col min="5643" max="5643" width="11.5" style="70" customWidth="1"/>
    <col min="5644" max="5645" width="12.33203125" style="70" customWidth="1"/>
    <col min="5646" max="5646" width="13.1640625" style="70" customWidth="1"/>
    <col min="5647" max="5647" width="18.5" style="70" customWidth="1"/>
    <col min="5648" max="5648" width="7.33203125" style="70" customWidth="1"/>
    <col min="5649" max="5887" width="8.83203125" style="70"/>
    <col min="5888" max="5888" width="5.33203125" style="70" customWidth="1"/>
    <col min="5889" max="5889" width="5.5" style="70" customWidth="1"/>
    <col min="5890" max="5890" width="40.83203125" style="70" customWidth="1"/>
    <col min="5891" max="5891" width="9.83203125" style="70" customWidth="1"/>
    <col min="5892" max="5892" width="13" style="70" customWidth="1"/>
    <col min="5893" max="5893" width="13.1640625" style="70" customWidth="1"/>
    <col min="5894" max="5894" width="12.33203125" style="70" customWidth="1"/>
    <col min="5895" max="5895" width="11.33203125" style="70" customWidth="1"/>
    <col min="5896" max="5896" width="11.83203125" style="70" customWidth="1"/>
    <col min="5897" max="5897" width="10.83203125" style="70" customWidth="1"/>
    <col min="5898" max="5898" width="13.1640625" style="70" customWidth="1"/>
    <col min="5899" max="5899" width="11.5" style="70" customWidth="1"/>
    <col min="5900" max="5901" width="12.33203125" style="70" customWidth="1"/>
    <col min="5902" max="5902" width="13.1640625" style="70" customWidth="1"/>
    <col min="5903" max="5903" width="18.5" style="70" customWidth="1"/>
    <col min="5904" max="5904" width="7.33203125" style="70" customWidth="1"/>
    <col min="5905" max="6143" width="8.83203125" style="70"/>
    <col min="6144" max="6144" width="5.33203125" style="70" customWidth="1"/>
    <col min="6145" max="6145" width="5.5" style="70" customWidth="1"/>
    <col min="6146" max="6146" width="40.83203125" style="70" customWidth="1"/>
    <col min="6147" max="6147" width="9.83203125" style="70" customWidth="1"/>
    <col min="6148" max="6148" width="13" style="70" customWidth="1"/>
    <col min="6149" max="6149" width="13.1640625" style="70" customWidth="1"/>
    <col min="6150" max="6150" width="12.33203125" style="70" customWidth="1"/>
    <col min="6151" max="6151" width="11.33203125" style="70" customWidth="1"/>
    <col min="6152" max="6152" width="11.83203125" style="70" customWidth="1"/>
    <col min="6153" max="6153" width="10.83203125" style="70" customWidth="1"/>
    <col min="6154" max="6154" width="13.1640625" style="70" customWidth="1"/>
    <col min="6155" max="6155" width="11.5" style="70" customWidth="1"/>
    <col min="6156" max="6157" width="12.33203125" style="70" customWidth="1"/>
    <col min="6158" max="6158" width="13.1640625" style="70" customWidth="1"/>
    <col min="6159" max="6159" width="18.5" style="70" customWidth="1"/>
    <col min="6160" max="6160" width="7.33203125" style="70" customWidth="1"/>
    <col min="6161" max="6399" width="8.83203125" style="70"/>
    <col min="6400" max="6400" width="5.33203125" style="70" customWidth="1"/>
    <col min="6401" max="6401" width="5.5" style="70" customWidth="1"/>
    <col min="6402" max="6402" width="40.83203125" style="70" customWidth="1"/>
    <col min="6403" max="6403" width="9.83203125" style="70" customWidth="1"/>
    <col min="6404" max="6404" width="13" style="70" customWidth="1"/>
    <col min="6405" max="6405" width="13.1640625" style="70" customWidth="1"/>
    <col min="6406" max="6406" width="12.33203125" style="70" customWidth="1"/>
    <col min="6407" max="6407" width="11.33203125" style="70" customWidth="1"/>
    <col min="6408" max="6408" width="11.83203125" style="70" customWidth="1"/>
    <col min="6409" max="6409" width="10.83203125" style="70" customWidth="1"/>
    <col min="6410" max="6410" width="13.1640625" style="70" customWidth="1"/>
    <col min="6411" max="6411" width="11.5" style="70" customWidth="1"/>
    <col min="6412" max="6413" width="12.33203125" style="70" customWidth="1"/>
    <col min="6414" max="6414" width="13.1640625" style="70" customWidth="1"/>
    <col min="6415" max="6415" width="18.5" style="70" customWidth="1"/>
    <col min="6416" max="6416" width="7.33203125" style="70" customWidth="1"/>
    <col min="6417" max="6655" width="8.83203125" style="70"/>
    <col min="6656" max="6656" width="5.33203125" style="70" customWidth="1"/>
    <col min="6657" max="6657" width="5.5" style="70" customWidth="1"/>
    <col min="6658" max="6658" width="40.83203125" style="70" customWidth="1"/>
    <col min="6659" max="6659" width="9.83203125" style="70" customWidth="1"/>
    <col min="6660" max="6660" width="13" style="70" customWidth="1"/>
    <col min="6661" max="6661" width="13.1640625" style="70" customWidth="1"/>
    <col min="6662" max="6662" width="12.33203125" style="70" customWidth="1"/>
    <col min="6663" max="6663" width="11.33203125" style="70" customWidth="1"/>
    <col min="6664" max="6664" width="11.83203125" style="70" customWidth="1"/>
    <col min="6665" max="6665" width="10.83203125" style="70" customWidth="1"/>
    <col min="6666" max="6666" width="13.1640625" style="70" customWidth="1"/>
    <col min="6667" max="6667" width="11.5" style="70" customWidth="1"/>
    <col min="6668" max="6669" width="12.33203125" style="70" customWidth="1"/>
    <col min="6670" max="6670" width="13.1640625" style="70" customWidth="1"/>
    <col min="6671" max="6671" width="18.5" style="70" customWidth="1"/>
    <col min="6672" max="6672" width="7.33203125" style="70" customWidth="1"/>
    <col min="6673" max="6911" width="8.83203125" style="70"/>
    <col min="6912" max="6912" width="5.33203125" style="70" customWidth="1"/>
    <col min="6913" max="6913" width="5.5" style="70" customWidth="1"/>
    <col min="6914" max="6914" width="40.83203125" style="70" customWidth="1"/>
    <col min="6915" max="6915" width="9.83203125" style="70" customWidth="1"/>
    <col min="6916" max="6916" width="13" style="70" customWidth="1"/>
    <col min="6917" max="6917" width="13.1640625" style="70" customWidth="1"/>
    <col min="6918" max="6918" width="12.33203125" style="70" customWidth="1"/>
    <col min="6919" max="6919" width="11.33203125" style="70" customWidth="1"/>
    <col min="6920" max="6920" width="11.83203125" style="70" customWidth="1"/>
    <col min="6921" max="6921" width="10.83203125" style="70" customWidth="1"/>
    <col min="6922" max="6922" width="13.1640625" style="70" customWidth="1"/>
    <col min="6923" max="6923" width="11.5" style="70" customWidth="1"/>
    <col min="6924" max="6925" width="12.33203125" style="70" customWidth="1"/>
    <col min="6926" max="6926" width="13.1640625" style="70" customWidth="1"/>
    <col min="6927" max="6927" width="18.5" style="70" customWidth="1"/>
    <col min="6928" max="6928" width="7.33203125" style="70" customWidth="1"/>
    <col min="6929" max="7167" width="8.83203125" style="70"/>
    <col min="7168" max="7168" width="5.33203125" style="70" customWidth="1"/>
    <col min="7169" max="7169" width="5.5" style="70" customWidth="1"/>
    <col min="7170" max="7170" width="40.83203125" style="70" customWidth="1"/>
    <col min="7171" max="7171" width="9.83203125" style="70" customWidth="1"/>
    <col min="7172" max="7172" width="13" style="70" customWidth="1"/>
    <col min="7173" max="7173" width="13.1640625" style="70" customWidth="1"/>
    <col min="7174" max="7174" width="12.33203125" style="70" customWidth="1"/>
    <col min="7175" max="7175" width="11.33203125" style="70" customWidth="1"/>
    <col min="7176" max="7176" width="11.83203125" style="70" customWidth="1"/>
    <col min="7177" max="7177" width="10.83203125" style="70" customWidth="1"/>
    <col min="7178" max="7178" width="13.1640625" style="70" customWidth="1"/>
    <col min="7179" max="7179" width="11.5" style="70" customWidth="1"/>
    <col min="7180" max="7181" width="12.33203125" style="70" customWidth="1"/>
    <col min="7182" max="7182" width="13.1640625" style="70" customWidth="1"/>
    <col min="7183" max="7183" width="18.5" style="70" customWidth="1"/>
    <col min="7184" max="7184" width="7.33203125" style="70" customWidth="1"/>
    <col min="7185" max="7423" width="8.83203125" style="70"/>
    <col min="7424" max="7424" width="5.33203125" style="70" customWidth="1"/>
    <col min="7425" max="7425" width="5.5" style="70" customWidth="1"/>
    <col min="7426" max="7426" width="40.83203125" style="70" customWidth="1"/>
    <col min="7427" max="7427" width="9.83203125" style="70" customWidth="1"/>
    <col min="7428" max="7428" width="13" style="70" customWidth="1"/>
    <col min="7429" max="7429" width="13.1640625" style="70" customWidth="1"/>
    <col min="7430" max="7430" width="12.33203125" style="70" customWidth="1"/>
    <col min="7431" max="7431" width="11.33203125" style="70" customWidth="1"/>
    <col min="7432" max="7432" width="11.83203125" style="70" customWidth="1"/>
    <col min="7433" max="7433" width="10.83203125" style="70" customWidth="1"/>
    <col min="7434" max="7434" width="13.1640625" style="70" customWidth="1"/>
    <col min="7435" max="7435" width="11.5" style="70" customWidth="1"/>
    <col min="7436" max="7437" width="12.33203125" style="70" customWidth="1"/>
    <col min="7438" max="7438" width="13.1640625" style="70" customWidth="1"/>
    <col min="7439" max="7439" width="18.5" style="70" customWidth="1"/>
    <col min="7440" max="7440" width="7.33203125" style="70" customWidth="1"/>
    <col min="7441" max="7679" width="8.83203125" style="70"/>
    <col min="7680" max="7680" width="5.33203125" style="70" customWidth="1"/>
    <col min="7681" max="7681" width="5.5" style="70" customWidth="1"/>
    <col min="7682" max="7682" width="40.83203125" style="70" customWidth="1"/>
    <col min="7683" max="7683" width="9.83203125" style="70" customWidth="1"/>
    <col min="7684" max="7684" width="13" style="70" customWidth="1"/>
    <col min="7685" max="7685" width="13.1640625" style="70" customWidth="1"/>
    <col min="7686" max="7686" width="12.33203125" style="70" customWidth="1"/>
    <col min="7687" max="7687" width="11.33203125" style="70" customWidth="1"/>
    <col min="7688" max="7688" width="11.83203125" style="70" customWidth="1"/>
    <col min="7689" max="7689" width="10.83203125" style="70" customWidth="1"/>
    <col min="7690" max="7690" width="13.1640625" style="70" customWidth="1"/>
    <col min="7691" max="7691" width="11.5" style="70" customWidth="1"/>
    <col min="7692" max="7693" width="12.33203125" style="70" customWidth="1"/>
    <col min="7694" max="7694" width="13.1640625" style="70" customWidth="1"/>
    <col min="7695" max="7695" width="18.5" style="70" customWidth="1"/>
    <col min="7696" max="7696" width="7.33203125" style="70" customWidth="1"/>
    <col min="7697" max="7935" width="8.83203125" style="70"/>
    <col min="7936" max="7936" width="5.33203125" style="70" customWidth="1"/>
    <col min="7937" max="7937" width="5.5" style="70" customWidth="1"/>
    <col min="7938" max="7938" width="40.83203125" style="70" customWidth="1"/>
    <col min="7939" max="7939" width="9.83203125" style="70" customWidth="1"/>
    <col min="7940" max="7940" width="13" style="70" customWidth="1"/>
    <col min="7941" max="7941" width="13.1640625" style="70" customWidth="1"/>
    <col min="7942" max="7942" width="12.33203125" style="70" customWidth="1"/>
    <col min="7943" max="7943" width="11.33203125" style="70" customWidth="1"/>
    <col min="7944" max="7944" width="11.83203125" style="70" customWidth="1"/>
    <col min="7945" max="7945" width="10.83203125" style="70" customWidth="1"/>
    <col min="7946" max="7946" width="13.1640625" style="70" customWidth="1"/>
    <col min="7947" max="7947" width="11.5" style="70" customWidth="1"/>
    <col min="7948" max="7949" width="12.33203125" style="70" customWidth="1"/>
    <col min="7950" max="7950" width="13.1640625" style="70" customWidth="1"/>
    <col min="7951" max="7951" width="18.5" style="70" customWidth="1"/>
    <col min="7952" max="7952" width="7.33203125" style="70" customWidth="1"/>
    <col min="7953" max="8191" width="8.83203125" style="70"/>
    <col min="8192" max="8192" width="5.33203125" style="70" customWidth="1"/>
    <col min="8193" max="8193" width="5.5" style="70" customWidth="1"/>
    <col min="8194" max="8194" width="40.83203125" style="70" customWidth="1"/>
    <col min="8195" max="8195" width="9.83203125" style="70" customWidth="1"/>
    <col min="8196" max="8196" width="13" style="70" customWidth="1"/>
    <col min="8197" max="8197" width="13.1640625" style="70" customWidth="1"/>
    <col min="8198" max="8198" width="12.33203125" style="70" customWidth="1"/>
    <col min="8199" max="8199" width="11.33203125" style="70" customWidth="1"/>
    <col min="8200" max="8200" width="11.83203125" style="70" customWidth="1"/>
    <col min="8201" max="8201" width="10.83203125" style="70" customWidth="1"/>
    <col min="8202" max="8202" width="13.1640625" style="70" customWidth="1"/>
    <col min="8203" max="8203" width="11.5" style="70" customWidth="1"/>
    <col min="8204" max="8205" width="12.33203125" style="70" customWidth="1"/>
    <col min="8206" max="8206" width="13.1640625" style="70" customWidth="1"/>
    <col min="8207" max="8207" width="18.5" style="70" customWidth="1"/>
    <col min="8208" max="8208" width="7.33203125" style="70" customWidth="1"/>
    <col min="8209" max="8447" width="8.83203125" style="70"/>
    <col min="8448" max="8448" width="5.33203125" style="70" customWidth="1"/>
    <col min="8449" max="8449" width="5.5" style="70" customWidth="1"/>
    <col min="8450" max="8450" width="40.83203125" style="70" customWidth="1"/>
    <col min="8451" max="8451" width="9.83203125" style="70" customWidth="1"/>
    <col min="8452" max="8452" width="13" style="70" customWidth="1"/>
    <col min="8453" max="8453" width="13.1640625" style="70" customWidth="1"/>
    <col min="8454" max="8454" width="12.33203125" style="70" customWidth="1"/>
    <col min="8455" max="8455" width="11.33203125" style="70" customWidth="1"/>
    <col min="8456" max="8456" width="11.83203125" style="70" customWidth="1"/>
    <col min="8457" max="8457" width="10.83203125" style="70" customWidth="1"/>
    <col min="8458" max="8458" width="13.1640625" style="70" customWidth="1"/>
    <col min="8459" max="8459" width="11.5" style="70" customWidth="1"/>
    <col min="8460" max="8461" width="12.33203125" style="70" customWidth="1"/>
    <col min="8462" max="8462" width="13.1640625" style="70" customWidth="1"/>
    <col min="8463" max="8463" width="18.5" style="70" customWidth="1"/>
    <col min="8464" max="8464" width="7.33203125" style="70" customWidth="1"/>
    <col min="8465" max="8703" width="8.83203125" style="70"/>
    <col min="8704" max="8704" width="5.33203125" style="70" customWidth="1"/>
    <col min="8705" max="8705" width="5.5" style="70" customWidth="1"/>
    <col min="8706" max="8706" width="40.83203125" style="70" customWidth="1"/>
    <col min="8707" max="8707" width="9.83203125" style="70" customWidth="1"/>
    <col min="8708" max="8708" width="13" style="70" customWidth="1"/>
    <col min="8709" max="8709" width="13.1640625" style="70" customWidth="1"/>
    <col min="8710" max="8710" width="12.33203125" style="70" customWidth="1"/>
    <col min="8711" max="8711" width="11.33203125" style="70" customWidth="1"/>
    <col min="8712" max="8712" width="11.83203125" style="70" customWidth="1"/>
    <col min="8713" max="8713" width="10.83203125" style="70" customWidth="1"/>
    <col min="8714" max="8714" width="13.1640625" style="70" customWidth="1"/>
    <col min="8715" max="8715" width="11.5" style="70" customWidth="1"/>
    <col min="8716" max="8717" width="12.33203125" style="70" customWidth="1"/>
    <col min="8718" max="8718" width="13.1640625" style="70" customWidth="1"/>
    <col min="8719" max="8719" width="18.5" style="70" customWidth="1"/>
    <col min="8720" max="8720" width="7.33203125" style="70" customWidth="1"/>
    <col min="8721" max="8959" width="8.83203125" style="70"/>
    <col min="8960" max="8960" width="5.33203125" style="70" customWidth="1"/>
    <col min="8961" max="8961" width="5.5" style="70" customWidth="1"/>
    <col min="8962" max="8962" width="40.83203125" style="70" customWidth="1"/>
    <col min="8963" max="8963" width="9.83203125" style="70" customWidth="1"/>
    <col min="8964" max="8964" width="13" style="70" customWidth="1"/>
    <col min="8965" max="8965" width="13.1640625" style="70" customWidth="1"/>
    <col min="8966" max="8966" width="12.33203125" style="70" customWidth="1"/>
    <col min="8967" max="8967" width="11.33203125" style="70" customWidth="1"/>
    <col min="8968" max="8968" width="11.83203125" style="70" customWidth="1"/>
    <col min="8969" max="8969" width="10.83203125" style="70" customWidth="1"/>
    <col min="8970" max="8970" width="13.1640625" style="70" customWidth="1"/>
    <col min="8971" max="8971" width="11.5" style="70" customWidth="1"/>
    <col min="8972" max="8973" width="12.33203125" style="70" customWidth="1"/>
    <col min="8974" max="8974" width="13.1640625" style="70" customWidth="1"/>
    <col min="8975" max="8975" width="18.5" style="70" customWidth="1"/>
    <col min="8976" max="8976" width="7.33203125" style="70" customWidth="1"/>
    <col min="8977" max="9215" width="8.83203125" style="70"/>
    <col min="9216" max="9216" width="5.33203125" style="70" customWidth="1"/>
    <col min="9217" max="9217" width="5.5" style="70" customWidth="1"/>
    <col min="9218" max="9218" width="40.83203125" style="70" customWidth="1"/>
    <col min="9219" max="9219" width="9.83203125" style="70" customWidth="1"/>
    <col min="9220" max="9220" width="13" style="70" customWidth="1"/>
    <col min="9221" max="9221" width="13.1640625" style="70" customWidth="1"/>
    <col min="9222" max="9222" width="12.33203125" style="70" customWidth="1"/>
    <col min="9223" max="9223" width="11.33203125" style="70" customWidth="1"/>
    <col min="9224" max="9224" width="11.83203125" style="70" customWidth="1"/>
    <col min="9225" max="9225" width="10.83203125" style="70" customWidth="1"/>
    <col min="9226" max="9226" width="13.1640625" style="70" customWidth="1"/>
    <col min="9227" max="9227" width="11.5" style="70" customWidth="1"/>
    <col min="9228" max="9229" width="12.33203125" style="70" customWidth="1"/>
    <col min="9230" max="9230" width="13.1640625" style="70" customWidth="1"/>
    <col min="9231" max="9231" width="18.5" style="70" customWidth="1"/>
    <col min="9232" max="9232" width="7.33203125" style="70" customWidth="1"/>
    <col min="9233" max="9471" width="8.83203125" style="70"/>
    <col min="9472" max="9472" width="5.33203125" style="70" customWidth="1"/>
    <col min="9473" max="9473" width="5.5" style="70" customWidth="1"/>
    <col min="9474" max="9474" width="40.83203125" style="70" customWidth="1"/>
    <col min="9475" max="9475" width="9.83203125" style="70" customWidth="1"/>
    <col min="9476" max="9476" width="13" style="70" customWidth="1"/>
    <col min="9477" max="9477" width="13.1640625" style="70" customWidth="1"/>
    <col min="9478" max="9478" width="12.33203125" style="70" customWidth="1"/>
    <col min="9479" max="9479" width="11.33203125" style="70" customWidth="1"/>
    <col min="9480" max="9480" width="11.83203125" style="70" customWidth="1"/>
    <col min="9481" max="9481" width="10.83203125" style="70" customWidth="1"/>
    <col min="9482" max="9482" width="13.1640625" style="70" customWidth="1"/>
    <col min="9483" max="9483" width="11.5" style="70" customWidth="1"/>
    <col min="9484" max="9485" width="12.33203125" style="70" customWidth="1"/>
    <col min="9486" max="9486" width="13.1640625" style="70" customWidth="1"/>
    <col min="9487" max="9487" width="18.5" style="70" customWidth="1"/>
    <col min="9488" max="9488" width="7.33203125" style="70" customWidth="1"/>
    <col min="9489" max="9727" width="8.83203125" style="70"/>
    <col min="9728" max="9728" width="5.33203125" style="70" customWidth="1"/>
    <col min="9729" max="9729" width="5.5" style="70" customWidth="1"/>
    <col min="9730" max="9730" width="40.83203125" style="70" customWidth="1"/>
    <col min="9731" max="9731" width="9.83203125" style="70" customWidth="1"/>
    <col min="9732" max="9732" width="13" style="70" customWidth="1"/>
    <col min="9733" max="9733" width="13.1640625" style="70" customWidth="1"/>
    <col min="9734" max="9734" width="12.33203125" style="70" customWidth="1"/>
    <col min="9735" max="9735" width="11.33203125" style="70" customWidth="1"/>
    <col min="9736" max="9736" width="11.83203125" style="70" customWidth="1"/>
    <col min="9737" max="9737" width="10.83203125" style="70" customWidth="1"/>
    <col min="9738" max="9738" width="13.1640625" style="70" customWidth="1"/>
    <col min="9739" max="9739" width="11.5" style="70" customWidth="1"/>
    <col min="9740" max="9741" width="12.33203125" style="70" customWidth="1"/>
    <col min="9742" max="9742" width="13.1640625" style="70" customWidth="1"/>
    <col min="9743" max="9743" width="18.5" style="70" customWidth="1"/>
    <col min="9744" max="9744" width="7.33203125" style="70" customWidth="1"/>
    <col min="9745" max="9983" width="8.83203125" style="70"/>
    <col min="9984" max="9984" width="5.33203125" style="70" customWidth="1"/>
    <col min="9985" max="9985" width="5.5" style="70" customWidth="1"/>
    <col min="9986" max="9986" width="40.83203125" style="70" customWidth="1"/>
    <col min="9987" max="9987" width="9.83203125" style="70" customWidth="1"/>
    <col min="9988" max="9988" width="13" style="70" customWidth="1"/>
    <col min="9989" max="9989" width="13.1640625" style="70" customWidth="1"/>
    <col min="9990" max="9990" width="12.33203125" style="70" customWidth="1"/>
    <col min="9991" max="9991" width="11.33203125" style="70" customWidth="1"/>
    <col min="9992" max="9992" width="11.83203125" style="70" customWidth="1"/>
    <col min="9993" max="9993" width="10.83203125" style="70" customWidth="1"/>
    <col min="9994" max="9994" width="13.1640625" style="70" customWidth="1"/>
    <col min="9995" max="9995" width="11.5" style="70" customWidth="1"/>
    <col min="9996" max="9997" width="12.33203125" style="70" customWidth="1"/>
    <col min="9998" max="9998" width="13.1640625" style="70" customWidth="1"/>
    <col min="9999" max="9999" width="18.5" style="70" customWidth="1"/>
    <col min="10000" max="10000" width="7.33203125" style="70" customWidth="1"/>
    <col min="10001" max="10239" width="8.83203125" style="70"/>
    <col min="10240" max="10240" width="5.33203125" style="70" customWidth="1"/>
    <col min="10241" max="10241" width="5.5" style="70" customWidth="1"/>
    <col min="10242" max="10242" width="40.83203125" style="70" customWidth="1"/>
    <col min="10243" max="10243" width="9.83203125" style="70" customWidth="1"/>
    <col min="10244" max="10244" width="13" style="70" customWidth="1"/>
    <col min="10245" max="10245" width="13.1640625" style="70" customWidth="1"/>
    <col min="10246" max="10246" width="12.33203125" style="70" customWidth="1"/>
    <col min="10247" max="10247" width="11.33203125" style="70" customWidth="1"/>
    <col min="10248" max="10248" width="11.83203125" style="70" customWidth="1"/>
    <col min="10249" max="10249" width="10.83203125" style="70" customWidth="1"/>
    <col min="10250" max="10250" width="13.1640625" style="70" customWidth="1"/>
    <col min="10251" max="10251" width="11.5" style="70" customWidth="1"/>
    <col min="10252" max="10253" width="12.33203125" style="70" customWidth="1"/>
    <col min="10254" max="10254" width="13.1640625" style="70" customWidth="1"/>
    <col min="10255" max="10255" width="18.5" style="70" customWidth="1"/>
    <col min="10256" max="10256" width="7.33203125" style="70" customWidth="1"/>
    <col min="10257" max="10495" width="8.83203125" style="70"/>
    <col min="10496" max="10496" width="5.33203125" style="70" customWidth="1"/>
    <col min="10497" max="10497" width="5.5" style="70" customWidth="1"/>
    <col min="10498" max="10498" width="40.83203125" style="70" customWidth="1"/>
    <col min="10499" max="10499" width="9.83203125" style="70" customWidth="1"/>
    <col min="10500" max="10500" width="13" style="70" customWidth="1"/>
    <col min="10501" max="10501" width="13.1640625" style="70" customWidth="1"/>
    <col min="10502" max="10502" width="12.33203125" style="70" customWidth="1"/>
    <col min="10503" max="10503" width="11.33203125" style="70" customWidth="1"/>
    <col min="10504" max="10504" width="11.83203125" style="70" customWidth="1"/>
    <col min="10505" max="10505" width="10.83203125" style="70" customWidth="1"/>
    <col min="10506" max="10506" width="13.1640625" style="70" customWidth="1"/>
    <col min="10507" max="10507" width="11.5" style="70" customWidth="1"/>
    <col min="10508" max="10509" width="12.33203125" style="70" customWidth="1"/>
    <col min="10510" max="10510" width="13.1640625" style="70" customWidth="1"/>
    <col min="10511" max="10511" width="18.5" style="70" customWidth="1"/>
    <col min="10512" max="10512" width="7.33203125" style="70" customWidth="1"/>
    <col min="10513" max="10751" width="8.83203125" style="70"/>
    <col min="10752" max="10752" width="5.33203125" style="70" customWidth="1"/>
    <col min="10753" max="10753" width="5.5" style="70" customWidth="1"/>
    <col min="10754" max="10754" width="40.83203125" style="70" customWidth="1"/>
    <col min="10755" max="10755" width="9.83203125" style="70" customWidth="1"/>
    <col min="10756" max="10756" width="13" style="70" customWidth="1"/>
    <col min="10757" max="10757" width="13.1640625" style="70" customWidth="1"/>
    <col min="10758" max="10758" width="12.33203125" style="70" customWidth="1"/>
    <col min="10759" max="10759" width="11.33203125" style="70" customWidth="1"/>
    <col min="10760" max="10760" width="11.83203125" style="70" customWidth="1"/>
    <col min="10761" max="10761" width="10.83203125" style="70" customWidth="1"/>
    <col min="10762" max="10762" width="13.1640625" style="70" customWidth="1"/>
    <col min="10763" max="10763" width="11.5" style="70" customWidth="1"/>
    <col min="10764" max="10765" width="12.33203125" style="70" customWidth="1"/>
    <col min="10766" max="10766" width="13.1640625" style="70" customWidth="1"/>
    <col min="10767" max="10767" width="18.5" style="70" customWidth="1"/>
    <col min="10768" max="10768" width="7.33203125" style="70" customWidth="1"/>
    <col min="10769" max="11007" width="8.83203125" style="70"/>
    <col min="11008" max="11008" width="5.33203125" style="70" customWidth="1"/>
    <col min="11009" max="11009" width="5.5" style="70" customWidth="1"/>
    <col min="11010" max="11010" width="40.83203125" style="70" customWidth="1"/>
    <col min="11011" max="11011" width="9.83203125" style="70" customWidth="1"/>
    <col min="11012" max="11012" width="13" style="70" customWidth="1"/>
    <col min="11013" max="11013" width="13.1640625" style="70" customWidth="1"/>
    <col min="11014" max="11014" width="12.33203125" style="70" customWidth="1"/>
    <col min="11015" max="11015" width="11.33203125" style="70" customWidth="1"/>
    <col min="11016" max="11016" width="11.83203125" style="70" customWidth="1"/>
    <col min="11017" max="11017" width="10.83203125" style="70" customWidth="1"/>
    <col min="11018" max="11018" width="13.1640625" style="70" customWidth="1"/>
    <col min="11019" max="11019" width="11.5" style="70" customWidth="1"/>
    <col min="11020" max="11021" width="12.33203125" style="70" customWidth="1"/>
    <col min="11022" max="11022" width="13.1640625" style="70" customWidth="1"/>
    <col min="11023" max="11023" width="18.5" style="70" customWidth="1"/>
    <col min="11024" max="11024" width="7.33203125" style="70" customWidth="1"/>
    <col min="11025" max="11263" width="8.83203125" style="70"/>
    <col min="11264" max="11264" width="5.33203125" style="70" customWidth="1"/>
    <col min="11265" max="11265" width="5.5" style="70" customWidth="1"/>
    <col min="11266" max="11266" width="40.83203125" style="70" customWidth="1"/>
    <col min="11267" max="11267" width="9.83203125" style="70" customWidth="1"/>
    <col min="11268" max="11268" width="13" style="70" customWidth="1"/>
    <col min="11269" max="11269" width="13.1640625" style="70" customWidth="1"/>
    <col min="11270" max="11270" width="12.33203125" style="70" customWidth="1"/>
    <col min="11271" max="11271" width="11.33203125" style="70" customWidth="1"/>
    <col min="11272" max="11272" width="11.83203125" style="70" customWidth="1"/>
    <col min="11273" max="11273" width="10.83203125" style="70" customWidth="1"/>
    <col min="11274" max="11274" width="13.1640625" style="70" customWidth="1"/>
    <col min="11275" max="11275" width="11.5" style="70" customWidth="1"/>
    <col min="11276" max="11277" width="12.33203125" style="70" customWidth="1"/>
    <col min="11278" max="11278" width="13.1640625" style="70" customWidth="1"/>
    <col min="11279" max="11279" width="18.5" style="70" customWidth="1"/>
    <col min="11280" max="11280" width="7.33203125" style="70" customWidth="1"/>
    <col min="11281" max="11519" width="8.83203125" style="70"/>
    <col min="11520" max="11520" width="5.33203125" style="70" customWidth="1"/>
    <col min="11521" max="11521" width="5.5" style="70" customWidth="1"/>
    <col min="11522" max="11522" width="40.83203125" style="70" customWidth="1"/>
    <col min="11523" max="11523" width="9.83203125" style="70" customWidth="1"/>
    <col min="11524" max="11524" width="13" style="70" customWidth="1"/>
    <col min="11525" max="11525" width="13.1640625" style="70" customWidth="1"/>
    <col min="11526" max="11526" width="12.33203125" style="70" customWidth="1"/>
    <col min="11527" max="11527" width="11.33203125" style="70" customWidth="1"/>
    <col min="11528" max="11528" width="11.83203125" style="70" customWidth="1"/>
    <col min="11529" max="11529" width="10.83203125" style="70" customWidth="1"/>
    <col min="11530" max="11530" width="13.1640625" style="70" customWidth="1"/>
    <col min="11531" max="11531" width="11.5" style="70" customWidth="1"/>
    <col min="11532" max="11533" width="12.33203125" style="70" customWidth="1"/>
    <col min="11534" max="11534" width="13.1640625" style="70" customWidth="1"/>
    <col min="11535" max="11535" width="18.5" style="70" customWidth="1"/>
    <col min="11536" max="11536" width="7.33203125" style="70" customWidth="1"/>
    <col min="11537" max="11775" width="8.83203125" style="70"/>
    <col min="11776" max="11776" width="5.33203125" style="70" customWidth="1"/>
    <col min="11777" max="11777" width="5.5" style="70" customWidth="1"/>
    <col min="11778" max="11778" width="40.83203125" style="70" customWidth="1"/>
    <col min="11779" max="11779" width="9.83203125" style="70" customWidth="1"/>
    <col min="11780" max="11780" width="13" style="70" customWidth="1"/>
    <col min="11781" max="11781" width="13.1640625" style="70" customWidth="1"/>
    <col min="11782" max="11782" width="12.33203125" style="70" customWidth="1"/>
    <col min="11783" max="11783" width="11.33203125" style="70" customWidth="1"/>
    <col min="11784" max="11784" width="11.83203125" style="70" customWidth="1"/>
    <col min="11785" max="11785" width="10.83203125" style="70" customWidth="1"/>
    <col min="11786" max="11786" width="13.1640625" style="70" customWidth="1"/>
    <col min="11787" max="11787" width="11.5" style="70" customWidth="1"/>
    <col min="11788" max="11789" width="12.33203125" style="70" customWidth="1"/>
    <col min="11790" max="11790" width="13.1640625" style="70" customWidth="1"/>
    <col min="11791" max="11791" width="18.5" style="70" customWidth="1"/>
    <col min="11792" max="11792" width="7.33203125" style="70" customWidth="1"/>
    <col min="11793" max="12031" width="8.83203125" style="70"/>
    <col min="12032" max="12032" width="5.33203125" style="70" customWidth="1"/>
    <col min="12033" max="12033" width="5.5" style="70" customWidth="1"/>
    <col min="12034" max="12034" width="40.83203125" style="70" customWidth="1"/>
    <col min="12035" max="12035" width="9.83203125" style="70" customWidth="1"/>
    <col min="12036" max="12036" width="13" style="70" customWidth="1"/>
    <col min="12037" max="12037" width="13.1640625" style="70" customWidth="1"/>
    <col min="12038" max="12038" width="12.33203125" style="70" customWidth="1"/>
    <col min="12039" max="12039" width="11.33203125" style="70" customWidth="1"/>
    <col min="12040" max="12040" width="11.83203125" style="70" customWidth="1"/>
    <col min="12041" max="12041" width="10.83203125" style="70" customWidth="1"/>
    <col min="12042" max="12042" width="13.1640625" style="70" customWidth="1"/>
    <col min="12043" max="12043" width="11.5" style="70" customWidth="1"/>
    <col min="12044" max="12045" width="12.33203125" style="70" customWidth="1"/>
    <col min="12046" max="12046" width="13.1640625" style="70" customWidth="1"/>
    <col min="12047" max="12047" width="18.5" style="70" customWidth="1"/>
    <col min="12048" max="12048" width="7.33203125" style="70" customWidth="1"/>
    <col min="12049" max="12287" width="8.83203125" style="70"/>
    <col min="12288" max="12288" width="5.33203125" style="70" customWidth="1"/>
    <col min="12289" max="12289" width="5.5" style="70" customWidth="1"/>
    <col min="12290" max="12290" width="40.83203125" style="70" customWidth="1"/>
    <col min="12291" max="12291" width="9.83203125" style="70" customWidth="1"/>
    <col min="12292" max="12292" width="13" style="70" customWidth="1"/>
    <col min="12293" max="12293" width="13.1640625" style="70" customWidth="1"/>
    <col min="12294" max="12294" width="12.33203125" style="70" customWidth="1"/>
    <col min="12295" max="12295" width="11.33203125" style="70" customWidth="1"/>
    <col min="12296" max="12296" width="11.83203125" style="70" customWidth="1"/>
    <col min="12297" max="12297" width="10.83203125" style="70" customWidth="1"/>
    <col min="12298" max="12298" width="13.1640625" style="70" customWidth="1"/>
    <col min="12299" max="12299" width="11.5" style="70" customWidth="1"/>
    <col min="12300" max="12301" width="12.33203125" style="70" customWidth="1"/>
    <col min="12302" max="12302" width="13.1640625" style="70" customWidth="1"/>
    <col min="12303" max="12303" width="18.5" style="70" customWidth="1"/>
    <col min="12304" max="12304" width="7.33203125" style="70" customWidth="1"/>
    <col min="12305" max="12543" width="8.83203125" style="70"/>
    <col min="12544" max="12544" width="5.33203125" style="70" customWidth="1"/>
    <col min="12545" max="12545" width="5.5" style="70" customWidth="1"/>
    <col min="12546" max="12546" width="40.83203125" style="70" customWidth="1"/>
    <col min="12547" max="12547" width="9.83203125" style="70" customWidth="1"/>
    <col min="12548" max="12548" width="13" style="70" customWidth="1"/>
    <col min="12549" max="12549" width="13.1640625" style="70" customWidth="1"/>
    <col min="12550" max="12550" width="12.33203125" style="70" customWidth="1"/>
    <col min="12551" max="12551" width="11.33203125" style="70" customWidth="1"/>
    <col min="12552" max="12552" width="11.83203125" style="70" customWidth="1"/>
    <col min="12553" max="12553" width="10.83203125" style="70" customWidth="1"/>
    <col min="12554" max="12554" width="13.1640625" style="70" customWidth="1"/>
    <col min="12555" max="12555" width="11.5" style="70" customWidth="1"/>
    <col min="12556" max="12557" width="12.33203125" style="70" customWidth="1"/>
    <col min="12558" max="12558" width="13.1640625" style="70" customWidth="1"/>
    <col min="12559" max="12559" width="18.5" style="70" customWidth="1"/>
    <col min="12560" max="12560" width="7.33203125" style="70" customWidth="1"/>
    <col min="12561" max="12799" width="8.83203125" style="70"/>
    <col min="12800" max="12800" width="5.33203125" style="70" customWidth="1"/>
    <col min="12801" max="12801" width="5.5" style="70" customWidth="1"/>
    <col min="12802" max="12802" width="40.83203125" style="70" customWidth="1"/>
    <col min="12803" max="12803" width="9.83203125" style="70" customWidth="1"/>
    <col min="12804" max="12804" width="13" style="70" customWidth="1"/>
    <col min="12805" max="12805" width="13.1640625" style="70" customWidth="1"/>
    <col min="12806" max="12806" width="12.33203125" style="70" customWidth="1"/>
    <col min="12807" max="12807" width="11.33203125" style="70" customWidth="1"/>
    <col min="12808" max="12808" width="11.83203125" style="70" customWidth="1"/>
    <col min="12809" max="12809" width="10.83203125" style="70" customWidth="1"/>
    <col min="12810" max="12810" width="13.1640625" style="70" customWidth="1"/>
    <col min="12811" max="12811" width="11.5" style="70" customWidth="1"/>
    <col min="12812" max="12813" width="12.33203125" style="70" customWidth="1"/>
    <col min="12814" max="12814" width="13.1640625" style="70" customWidth="1"/>
    <col min="12815" max="12815" width="18.5" style="70" customWidth="1"/>
    <col min="12816" max="12816" width="7.33203125" style="70" customWidth="1"/>
    <col min="12817" max="13055" width="8.83203125" style="70"/>
    <col min="13056" max="13056" width="5.33203125" style="70" customWidth="1"/>
    <col min="13057" max="13057" width="5.5" style="70" customWidth="1"/>
    <col min="13058" max="13058" width="40.83203125" style="70" customWidth="1"/>
    <col min="13059" max="13059" width="9.83203125" style="70" customWidth="1"/>
    <col min="13060" max="13060" width="13" style="70" customWidth="1"/>
    <col min="13061" max="13061" width="13.1640625" style="70" customWidth="1"/>
    <col min="13062" max="13062" width="12.33203125" style="70" customWidth="1"/>
    <col min="13063" max="13063" width="11.33203125" style="70" customWidth="1"/>
    <col min="13064" max="13064" width="11.83203125" style="70" customWidth="1"/>
    <col min="13065" max="13065" width="10.83203125" style="70" customWidth="1"/>
    <col min="13066" max="13066" width="13.1640625" style="70" customWidth="1"/>
    <col min="13067" max="13067" width="11.5" style="70" customWidth="1"/>
    <col min="13068" max="13069" width="12.33203125" style="70" customWidth="1"/>
    <col min="13070" max="13070" width="13.1640625" style="70" customWidth="1"/>
    <col min="13071" max="13071" width="18.5" style="70" customWidth="1"/>
    <col min="13072" max="13072" width="7.33203125" style="70" customWidth="1"/>
    <col min="13073" max="13311" width="8.83203125" style="70"/>
    <col min="13312" max="13312" width="5.33203125" style="70" customWidth="1"/>
    <col min="13313" max="13313" width="5.5" style="70" customWidth="1"/>
    <col min="13314" max="13314" width="40.83203125" style="70" customWidth="1"/>
    <col min="13315" max="13315" width="9.83203125" style="70" customWidth="1"/>
    <col min="13316" max="13316" width="13" style="70" customWidth="1"/>
    <col min="13317" max="13317" width="13.1640625" style="70" customWidth="1"/>
    <col min="13318" max="13318" width="12.33203125" style="70" customWidth="1"/>
    <col min="13319" max="13319" width="11.33203125" style="70" customWidth="1"/>
    <col min="13320" max="13320" width="11.83203125" style="70" customWidth="1"/>
    <col min="13321" max="13321" width="10.83203125" style="70" customWidth="1"/>
    <col min="13322" max="13322" width="13.1640625" style="70" customWidth="1"/>
    <col min="13323" max="13323" width="11.5" style="70" customWidth="1"/>
    <col min="13324" max="13325" width="12.33203125" style="70" customWidth="1"/>
    <col min="13326" max="13326" width="13.1640625" style="70" customWidth="1"/>
    <col min="13327" max="13327" width="18.5" style="70" customWidth="1"/>
    <col min="13328" max="13328" width="7.33203125" style="70" customWidth="1"/>
    <col min="13329" max="13567" width="8.83203125" style="70"/>
    <col min="13568" max="13568" width="5.33203125" style="70" customWidth="1"/>
    <col min="13569" max="13569" width="5.5" style="70" customWidth="1"/>
    <col min="13570" max="13570" width="40.83203125" style="70" customWidth="1"/>
    <col min="13571" max="13571" width="9.83203125" style="70" customWidth="1"/>
    <col min="13572" max="13572" width="13" style="70" customWidth="1"/>
    <col min="13573" max="13573" width="13.1640625" style="70" customWidth="1"/>
    <col min="13574" max="13574" width="12.33203125" style="70" customWidth="1"/>
    <col min="13575" max="13575" width="11.33203125" style="70" customWidth="1"/>
    <col min="13576" max="13576" width="11.83203125" style="70" customWidth="1"/>
    <col min="13577" max="13577" width="10.83203125" style="70" customWidth="1"/>
    <col min="13578" max="13578" width="13.1640625" style="70" customWidth="1"/>
    <col min="13579" max="13579" width="11.5" style="70" customWidth="1"/>
    <col min="13580" max="13581" width="12.33203125" style="70" customWidth="1"/>
    <col min="13582" max="13582" width="13.1640625" style="70" customWidth="1"/>
    <col min="13583" max="13583" width="18.5" style="70" customWidth="1"/>
    <col min="13584" max="13584" width="7.33203125" style="70" customWidth="1"/>
    <col min="13585" max="13823" width="8.83203125" style="70"/>
    <col min="13824" max="13824" width="5.33203125" style="70" customWidth="1"/>
    <col min="13825" max="13825" width="5.5" style="70" customWidth="1"/>
    <col min="13826" max="13826" width="40.83203125" style="70" customWidth="1"/>
    <col min="13827" max="13827" width="9.83203125" style="70" customWidth="1"/>
    <col min="13828" max="13828" width="13" style="70" customWidth="1"/>
    <col min="13829" max="13829" width="13.1640625" style="70" customWidth="1"/>
    <col min="13830" max="13830" width="12.33203125" style="70" customWidth="1"/>
    <col min="13831" max="13831" width="11.33203125" style="70" customWidth="1"/>
    <col min="13832" max="13832" width="11.83203125" style="70" customWidth="1"/>
    <col min="13833" max="13833" width="10.83203125" style="70" customWidth="1"/>
    <col min="13834" max="13834" width="13.1640625" style="70" customWidth="1"/>
    <col min="13835" max="13835" width="11.5" style="70" customWidth="1"/>
    <col min="13836" max="13837" width="12.33203125" style="70" customWidth="1"/>
    <col min="13838" max="13838" width="13.1640625" style="70" customWidth="1"/>
    <col min="13839" max="13839" width="18.5" style="70" customWidth="1"/>
    <col min="13840" max="13840" width="7.33203125" style="70" customWidth="1"/>
    <col min="13841" max="14079" width="8.83203125" style="70"/>
    <col min="14080" max="14080" width="5.33203125" style="70" customWidth="1"/>
    <col min="14081" max="14081" width="5.5" style="70" customWidth="1"/>
    <col min="14082" max="14082" width="40.83203125" style="70" customWidth="1"/>
    <col min="14083" max="14083" width="9.83203125" style="70" customWidth="1"/>
    <col min="14084" max="14084" width="13" style="70" customWidth="1"/>
    <col min="14085" max="14085" width="13.1640625" style="70" customWidth="1"/>
    <col min="14086" max="14086" width="12.33203125" style="70" customWidth="1"/>
    <col min="14087" max="14087" width="11.33203125" style="70" customWidth="1"/>
    <col min="14088" max="14088" width="11.83203125" style="70" customWidth="1"/>
    <col min="14089" max="14089" width="10.83203125" style="70" customWidth="1"/>
    <col min="14090" max="14090" width="13.1640625" style="70" customWidth="1"/>
    <col min="14091" max="14091" width="11.5" style="70" customWidth="1"/>
    <col min="14092" max="14093" width="12.33203125" style="70" customWidth="1"/>
    <col min="14094" max="14094" width="13.1640625" style="70" customWidth="1"/>
    <col min="14095" max="14095" width="18.5" style="70" customWidth="1"/>
    <col min="14096" max="14096" width="7.33203125" style="70" customWidth="1"/>
    <col min="14097" max="14335" width="8.83203125" style="70"/>
    <col min="14336" max="14336" width="5.33203125" style="70" customWidth="1"/>
    <col min="14337" max="14337" width="5.5" style="70" customWidth="1"/>
    <col min="14338" max="14338" width="40.83203125" style="70" customWidth="1"/>
    <col min="14339" max="14339" width="9.83203125" style="70" customWidth="1"/>
    <col min="14340" max="14340" width="13" style="70" customWidth="1"/>
    <col min="14341" max="14341" width="13.1640625" style="70" customWidth="1"/>
    <col min="14342" max="14342" width="12.33203125" style="70" customWidth="1"/>
    <col min="14343" max="14343" width="11.33203125" style="70" customWidth="1"/>
    <col min="14344" max="14344" width="11.83203125" style="70" customWidth="1"/>
    <col min="14345" max="14345" width="10.83203125" style="70" customWidth="1"/>
    <col min="14346" max="14346" width="13.1640625" style="70" customWidth="1"/>
    <col min="14347" max="14347" width="11.5" style="70" customWidth="1"/>
    <col min="14348" max="14349" width="12.33203125" style="70" customWidth="1"/>
    <col min="14350" max="14350" width="13.1640625" style="70" customWidth="1"/>
    <col min="14351" max="14351" width="18.5" style="70" customWidth="1"/>
    <col min="14352" max="14352" width="7.33203125" style="70" customWidth="1"/>
    <col min="14353" max="14591" width="8.83203125" style="70"/>
    <col min="14592" max="14592" width="5.33203125" style="70" customWidth="1"/>
    <col min="14593" max="14593" width="5.5" style="70" customWidth="1"/>
    <col min="14594" max="14594" width="40.83203125" style="70" customWidth="1"/>
    <col min="14595" max="14595" width="9.83203125" style="70" customWidth="1"/>
    <col min="14596" max="14596" width="13" style="70" customWidth="1"/>
    <col min="14597" max="14597" width="13.1640625" style="70" customWidth="1"/>
    <col min="14598" max="14598" width="12.33203125" style="70" customWidth="1"/>
    <col min="14599" max="14599" width="11.33203125" style="70" customWidth="1"/>
    <col min="14600" max="14600" width="11.83203125" style="70" customWidth="1"/>
    <col min="14601" max="14601" width="10.83203125" style="70" customWidth="1"/>
    <col min="14602" max="14602" width="13.1640625" style="70" customWidth="1"/>
    <col min="14603" max="14603" width="11.5" style="70" customWidth="1"/>
    <col min="14604" max="14605" width="12.33203125" style="70" customWidth="1"/>
    <col min="14606" max="14606" width="13.1640625" style="70" customWidth="1"/>
    <col min="14607" max="14607" width="18.5" style="70" customWidth="1"/>
    <col min="14608" max="14608" width="7.33203125" style="70" customWidth="1"/>
    <col min="14609" max="14847" width="8.83203125" style="70"/>
    <col min="14848" max="14848" width="5.33203125" style="70" customWidth="1"/>
    <col min="14849" max="14849" width="5.5" style="70" customWidth="1"/>
    <col min="14850" max="14850" width="40.83203125" style="70" customWidth="1"/>
    <col min="14851" max="14851" width="9.83203125" style="70" customWidth="1"/>
    <col min="14852" max="14852" width="13" style="70" customWidth="1"/>
    <col min="14853" max="14853" width="13.1640625" style="70" customWidth="1"/>
    <col min="14854" max="14854" width="12.33203125" style="70" customWidth="1"/>
    <col min="14855" max="14855" width="11.33203125" style="70" customWidth="1"/>
    <col min="14856" max="14856" width="11.83203125" style="70" customWidth="1"/>
    <col min="14857" max="14857" width="10.83203125" style="70" customWidth="1"/>
    <col min="14858" max="14858" width="13.1640625" style="70" customWidth="1"/>
    <col min="14859" max="14859" width="11.5" style="70" customWidth="1"/>
    <col min="14860" max="14861" width="12.33203125" style="70" customWidth="1"/>
    <col min="14862" max="14862" width="13.1640625" style="70" customWidth="1"/>
    <col min="14863" max="14863" width="18.5" style="70" customWidth="1"/>
    <col min="14864" max="14864" width="7.33203125" style="70" customWidth="1"/>
    <col min="14865" max="15103" width="8.83203125" style="70"/>
    <col min="15104" max="15104" width="5.33203125" style="70" customWidth="1"/>
    <col min="15105" max="15105" width="5.5" style="70" customWidth="1"/>
    <col min="15106" max="15106" width="40.83203125" style="70" customWidth="1"/>
    <col min="15107" max="15107" width="9.83203125" style="70" customWidth="1"/>
    <col min="15108" max="15108" width="13" style="70" customWidth="1"/>
    <col min="15109" max="15109" width="13.1640625" style="70" customWidth="1"/>
    <col min="15110" max="15110" width="12.33203125" style="70" customWidth="1"/>
    <col min="15111" max="15111" width="11.33203125" style="70" customWidth="1"/>
    <col min="15112" max="15112" width="11.83203125" style="70" customWidth="1"/>
    <col min="15113" max="15113" width="10.83203125" style="70" customWidth="1"/>
    <col min="15114" max="15114" width="13.1640625" style="70" customWidth="1"/>
    <col min="15115" max="15115" width="11.5" style="70" customWidth="1"/>
    <col min="15116" max="15117" width="12.33203125" style="70" customWidth="1"/>
    <col min="15118" max="15118" width="13.1640625" style="70" customWidth="1"/>
    <col min="15119" max="15119" width="18.5" style="70" customWidth="1"/>
    <col min="15120" max="15120" width="7.33203125" style="70" customWidth="1"/>
    <col min="15121" max="15359" width="8.83203125" style="70"/>
    <col min="15360" max="15360" width="5.33203125" style="70" customWidth="1"/>
    <col min="15361" max="15361" width="5.5" style="70" customWidth="1"/>
    <col min="15362" max="15362" width="40.83203125" style="70" customWidth="1"/>
    <col min="15363" max="15363" width="9.83203125" style="70" customWidth="1"/>
    <col min="15364" max="15364" width="13" style="70" customWidth="1"/>
    <col min="15365" max="15365" width="13.1640625" style="70" customWidth="1"/>
    <col min="15366" max="15366" width="12.33203125" style="70" customWidth="1"/>
    <col min="15367" max="15367" width="11.33203125" style="70" customWidth="1"/>
    <col min="15368" max="15368" width="11.83203125" style="70" customWidth="1"/>
    <col min="15369" max="15369" width="10.83203125" style="70" customWidth="1"/>
    <col min="15370" max="15370" width="13.1640625" style="70" customWidth="1"/>
    <col min="15371" max="15371" width="11.5" style="70" customWidth="1"/>
    <col min="15372" max="15373" width="12.33203125" style="70" customWidth="1"/>
    <col min="15374" max="15374" width="13.1640625" style="70" customWidth="1"/>
    <col min="15375" max="15375" width="18.5" style="70" customWidth="1"/>
    <col min="15376" max="15376" width="7.33203125" style="70" customWidth="1"/>
    <col min="15377" max="15615" width="8.83203125" style="70"/>
    <col min="15616" max="15616" width="5.33203125" style="70" customWidth="1"/>
    <col min="15617" max="15617" width="5.5" style="70" customWidth="1"/>
    <col min="15618" max="15618" width="40.83203125" style="70" customWidth="1"/>
    <col min="15619" max="15619" width="9.83203125" style="70" customWidth="1"/>
    <col min="15620" max="15620" width="13" style="70" customWidth="1"/>
    <col min="15621" max="15621" width="13.1640625" style="70" customWidth="1"/>
    <col min="15622" max="15622" width="12.33203125" style="70" customWidth="1"/>
    <col min="15623" max="15623" width="11.33203125" style="70" customWidth="1"/>
    <col min="15624" max="15624" width="11.83203125" style="70" customWidth="1"/>
    <col min="15625" max="15625" width="10.83203125" style="70" customWidth="1"/>
    <col min="15626" max="15626" width="13.1640625" style="70" customWidth="1"/>
    <col min="15627" max="15627" width="11.5" style="70" customWidth="1"/>
    <col min="15628" max="15629" width="12.33203125" style="70" customWidth="1"/>
    <col min="15630" max="15630" width="13.1640625" style="70" customWidth="1"/>
    <col min="15631" max="15631" width="18.5" style="70" customWidth="1"/>
    <col min="15632" max="15632" width="7.33203125" style="70" customWidth="1"/>
    <col min="15633" max="15871" width="8.83203125" style="70"/>
    <col min="15872" max="15872" width="5.33203125" style="70" customWidth="1"/>
    <col min="15873" max="15873" width="5.5" style="70" customWidth="1"/>
    <col min="15874" max="15874" width="40.83203125" style="70" customWidth="1"/>
    <col min="15875" max="15875" width="9.83203125" style="70" customWidth="1"/>
    <col min="15876" max="15876" width="13" style="70" customWidth="1"/>
    <col min="15877" max="15877" width="13.1640625" style="70" customWidth="1"/>
    <col min="15878" max="15878" width="12.33203125" style="70" customWidth="1"/>
    <col min="15879" max="15879" width="11.33203125" style="70" customWidth="1"/>
    <col min="15880" max="15880" width="11.83203125" style="70" customWidth="1"/>
    <col min="15881" max="15881" width="10.83203125" style="70" customWidth="1"/>
    <col min="15882" max="15882" width="13.1640625" style="70" customWidth="1"/>
    <col min="15883" max="15883" width="11.5" style="70" customWidth="1"/>
    <col min="15884" max="15885" width="12.33203125" style="70" customWidth="1"/>
    <col min="15886" max="15886" width="13.1640625" style="70" customWidth="1"/>
    <col min="15887" max="15887" width="18.5" style="70" customWidth="1"/>
    <col min="15888" max="15888" width="7.33203125" style="70" customWidth="1"/>
    <col min="15889" max="16127" width="8.83203125" style="70"/>
    <col min="16128" max="16128" width="5.33203125" style="70" customWidth="1"/>
    <col min="16129" max="16129" width="5.5" style="70" customWidth="1"/>
    <col min="16130" max="16130" width="40.83203125" style="70" customWidth="1"/>
    <col min="16131" max="16131" width="9.83203125" style="70" customWidth="1"/>
    <col min="16132" max="16132" width="13" style="70" customWidth="1"/>
    <col min="16133" max="16133" width="13.1640625" style="70" customWidth="1"/>
    <col min="16134" max="16134" width="12.33203125" style="70" customWidth="1"/>
    <col min="16135" max="16135" width="11.33203125" style="70" customWidth="1"/>
    <col min="16136" max="16136" width="11.83203125" style="70" customWidth="1"/>
    <col min="16137" max="16137" width="10.83203125" style="70" customWidth="1"/>
    <col min="16138" max="16138" width="13.1640625" style="70" customWidth="1"/>
    <col min="16139" max="16139" width="11.5" style="70" customWidth="1"/>
    <col min="16140" max="16141" width="12.33203125" style="70" customWidth="1"/>
    <col min="16142" max="16142" width="13.1640625" style="70" customWidth="1"/>
    <col min="16143" max="16143" width="18.5" style="70" customWidth="1"/>
    <col min="16144" max="16144" width="7.33203125" style="70" customWidth="1"/>
    <col min="16145" max="16384" width="8.83203125" style="70"/>
  </cols>
  <sheetData>
    <row r="1" spans="1:15" ht="13.5" x14ac:dyDescent="0.25">
      <c r="A1" s="1006" t="s">
        <v>83</v>
      </c>
      <c r="B1" s="1006" t="s">
        <v>84</v>
      </c>
      <c r="C1" s="1005" t="s">
        <v>115</v>
      </c>
      <c r="D1" s="1006" t="s">
        <v>189</v>
      </c>
      <c r="E1" s="1008" t="s">
        <v>122</v>
      </c>
      <c r="F1" s="1008"/>
      <c r="G1" s="1008"/>
      <c r="H1" s="1008"/>
      <c r="I1" s="1008"/>
      <c r="J1" s="1008"/>
      <c r="K1" s="1008"/>
      <c r="L1" s="1009" t="s">
        <v>174</v>
      </c>
      <c r="M1" s="1009"/>
      <c r="N1" s="1009"/>
      <c r="O1" s="1005" t="s">
        <v>11</v>
      </c>
    </row>
    <row r="2" spans="1:15" s="73" customFormat="1" ht="69" customHeight="1" x14ac:dyDescent="0.2">
      <c r="A2" s="1006"/>
      <c r="B2" s="1006"/>
      <c r="C2" s="1005"/>
      <c r="D2" s="1007"/>
      <c r="E2" s="71" t="s">
        <v>12</v>
      </c>
      <c r="F2" s="71" t="s">
        <v>13</v>
      </c>
      <c r="G2" s="266" t="s">
        <v>14</v>
      </c>
      <c r="H2" s="72" t="s">
        <v>170</v>
      </c>
      <c r="I2" s="266" t="s">
        <v>171</v>
      </c>
      <c r="J2" s="266" t="s">
        <v>172</v>
      </c>
      <c r="K2" s="266" t="s">
        <v>173</v>
      </c>
      <c r="L2" s="266" t="s">
        <v>123</v>
      </c>
      <c r="M2" s="266" t="s">
        <v>124</v>
      </c>
      <c r="N2" s="266" t="s">
        <v>126</v>
      </c>
      <c r="O2" s="1005"/>
    </row>
    <row r="3" spans="1:15" s="73" customFormat="1" ht="12.95" customHeight="1" x14ac:dyDescent="0.2">
      <c r="A3" s="74">
        <v>1</v>
      </c>
      <c r="B3" s="74"/>
      <c r="C3" s="184" t="s">
        <v>160</v>
      </c>
      <c r="D3" s="185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</row>
    <row r="4" spans="1:15" s="73" customFormat="1" ht="12.95" customHeight="1" x14ac:dyDescent="0.2">
      <c r="A4" s="75">
        <v>1</v>
      </c>
      <c r="B4" s="75">
        <v>1</v>
      </c>
      <c r="C4" s="187" t="s">
        <v>3</v>
      </c>
      <c r="D4" s="76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</row>
    <row r="5" spans="1:15" s="78" customFormat="1" ht="13.5" customHeight="1" x14ac:dyDescent="0.2">
      <c r="A5" s="77">
        <v>1</v>
      </c>
      <c r="B5" s="77">
        <v>12</v>
      </c>
      <c r="C5" s="189" t="s">
        <v>94</v>
      </c>
      <c r="D5" s="190"/>
      <c r="E5" s="191"/>
      <c r="F5" s="191"/>
      <c r="G5" s="192"/>
      <c r="H5" s="192"/>
      <c r="I5" s="192"/>
      <c r="J5" s="192"/>
      <c r="K5" s="192"/>
      <c r="L5" s="192"/>
      <c r="M5" s="192"/>
      <c r="N5" s="192"/>
      <c r="O5" s="192"/>
    </row>
    <row r="6" spans="1:15" s="78" customFormat="1" ht="24.95" customHeight="1" x14ac:dyDescent="0.2">
      <c r="A6" s="77"/>
      <c r="B6" s="77"/>
      <c r="C6" s="193" t="s">
        <v>190</v>
      </c>
      <c r="D6" s="194"/>
      <c r="E6" s="191"/>
      <c r="F6" s="191"/>
      <c r="G6" s="192"/>
      <c r="H6" s="192"/>
      <c r="I6" s="192"/>
      <c r="J6" s="192"/>
      <c r="K6" s="192"/>
      <c r="L6" s="192"/>
      <c r="M6" s="192"/>
      <c r="N6" s="192"/>
      <c r="O6" s="192"/>
    </row>
    <row r="7" spans="1:15" s="78" customFormat="1" ht="17.100000000000001" customHeight="1" x14ac:dyDescent="0.2">
      <c r="A7" s="75"/>
      <c r="B7" s="75"/>
      <c r="C7" s="195" t="s">
        <v>191</v>
      </c>
      <c r="D7" s="196" t="s">
        <v>192</v>
      </c>
      <c r="E7" s="192"/>
      <c r="F7" s="192"/>
      <c r="G7" s="192"/>
      <c r="H7" s="192">
        <f>24381+táj1!H7</f>
        <v>24381</v>
      </c>
      <c r="I7" s="192"/>
      <c r="J7" s="192"/>
      <c r="K7" s="192"/>
      <c r="L7" s="192"/>
      <c r="M7" s="192"/>
      <c r="N7" s="192"/>
      <c r="O7" s="192">
        <f>SUM(H7:N7)</f>
        <v>24381</v>
      </c>
    </row>
    <row r="8" spans="1:15" s="78" customFormat="1" ht="13.5" customHeight="1" x14ac:dyDescent="0.2">
      <c r="A8" s="79"/>
      <c r="B8" s="79"/>
      <c r="C8" s="197" t="s">
        <v>193</v>
      </c>
      <c r="D8" s="198"/>
      <c r="E8" s="198">
        <f t="shared" ref="E8:K8" si="0">SUM(E5:E7)</f>
        <v>0</v>
      </c>
      <c r="F8" s="198">
        <f t="shared" si="0"/>
        <v>0</v>
      </c>
      <c r="G8" s="198">
        <f t="shared" si="0"/>
        <v>0</v>
      </c>
      <c r="H8" s="198">
        <f t="shared" si="0"/>
        <v>24381</v>
      </c>
      <c r="I8" s="198">
        <f t="shared" si="0"/>
        <v>0</v>
      </c>
      <c r="J8" s="198">
        <f t="shared" si="0"/>
        <v>0</v>
      </c>
      <c r="K8" s="198">
        <f t="shared" si="0"/>
        <v>0</v>
      </c>
      <c r="L8" s="198"/>
      <c r="M8" s="198"/>
      <c r="N8" s="198">
        <f>SUM(N7:N7)</f>
        <v>0</v>
      </c>
      <c r="O8" s="198">
        <f>SUM(O7:O7)</f>
        <v>24381</v>
      </c>
    </row>
    <row r="9" spans="1:15" s="78" customFormat="1" ht="13.5" customHeight="1" x14ac:dyDescent="0.2">
      <c r="A9" s="76">
        <v>1</v>
      </c>
      <c r="B9" s="76">
        <v>13</v>
      </c>
      <c r="C9" s="189" t="s">
        <v>95</v>
      </c>
      <c r="D9" s="196"/>
      <c r="E9" s="80"/>
      <c r="F9" s="199"/>
      <c r="G9" s="199"/>
      <c r="H9" s="199"/>
      <c r="I9" s="199"/>
      <c r="J9" s="199"/>
      <c r="K9" s="199"/>
      <c r="L9" s="199"/>
      <c r="M9" s="199"/>
      <c r="N9" s="199"/>
      <c r="O9" s="199"/>
    </row>
    <row r="10" spans="1:15" s="78" customFormat="1" ht="24.95" customHeight="1" x14ac:dyDescent="0.2">
      <c r="A10" s="76"/>
      <c r="B10" s="76"/>
      <c r="C10" s="520" t="s">
        <v>194</v>
      </c>
      <c r="D10" s="521" t="s">
        <v>82</v>
      </c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201"/>
    </row>
    <row r="11" spans="1:15" s="78" customFormat="1" ht="24.95" customHeight="1" x14ac:dyDescent="0.2">
      <c r="A11" s="76"/>
      <c r="B11" s="76"/>
      <c r="C11" s="520" t="s">
        <v>195</v>
      </c>
      <c r="D11" s="522">
        <v>131703</v>
      </c>
      <c r="E11" s="192"/>
      <c r="F11" s="192"/>
      <c r="G11" s="192"/>
      <c r="H11" s="192">
        <f>9101+táj1!H11</f>
        <v>9101</v>
      </c>
      <c r="I11" s="192"/>
      <c r="J11" s="192"/>
      <c r="K11" s="192"/>
      <c r="L11" s="192"/>
      <c r="M11" s="192"/>
      <c r="N11" s="192"/>
      <c r="O11" s="192">
        <f>SUM(E11:N11)</f>
        <v>9101</v>
      </c>
    </row>
    <row r="12" spans="1:15" s="78" customFormat="1" ht="25.5" customHeight="1" x14ac:dyDescent="0.2">
      <c r="A12" s="76"/>
      <c r="B12" s="76"/>
      <c r="C12" s="523" t="s">
        <v>346</v>
      </c>
      <c r="D12" s="522"/>
      <c r="E12" s="267"/>
      <c r="F12" s="267"/>
      <c r="G12" s="267"/>
      <c r="H12" s="192"/>
      <c r="I12" s="192"/>
      <c r="J12" s="192"/>
      <c r="K12" s="192"/>
      <c r="L12" s="192"/>
      <c r="M12" s="192"/>
      <c r="N12" s="192"/>
      <c r="O12" s="192"/>
    </row>
    <row r="13" spans="1:15" s="78" customFormat="1" ht="24.95" customHeight="1" x14ac:dyDescent="0.2">
      <c r="A13" s="76"/>
      <c r="B13" s="76"/>
      <c r="C13" s="524" t="s">
        <v>853</v>
      </c>
      <c r="D13" s="522">
        <v>132949</v>
      </c>
      <c r="E13" s="192"/>
      <c r="F13" s="267"/>
      <c r="G13" s="267"/>
      <c r="H13" s="192"/>
      <c r="I13" s="192"/>
      <c r="J13" s="192"/>
      <c r="K13" s="192">
        <f>13224+táj1!K13</f>
        <v>13224</v>
      </c>
      <c r="L13" s="192"/>
      <c r="M13" s="192"/>
      <c r="N13" s="192"/>
      <c r="O13" s="192">
        <f t="shared" ref="O13:O28" si="1">SUM(E13:N13)</f>
        <v>13224</v>
      </c>
    </row>
    <row r="14" spans="1:15" s="78" customFormat="1" ht="24.75" customHeight="1" x14ac:dyDescent="0.2">
      <c r="A14" s="76"/>
      <c r="B14" s="76"/>
      <c r="C14" s="525" t="s">
        <v>638</v>
      </c>
      <c r="D14" s="522"/>
      <c r="E14" s="192"/>
      <c r="F14" s="267"/>
      <c r="G14" s="267"/>
      <c r="H14" s="192"/>
      <c r="I14" s="192"/>
      <c r="J14" s="192"/>
      <c r="K14" s="192"/>
      <c r="L14" s="192"/>
      <c r="M14" s="192"/>
      <c r="N14" s="192"/>
      <c r="O14" s="192"/>
    </row>
    <row r="15" spans="1:15" s="78" customFormat="1" ht="27.6" customHeight="1" x14ac:dyDescent="0.2">
      <c r="A15" s="472"/>
      <c r="B15" s="472"/>
      <c r="C15" s="523" t="s">
        <v>639</v>
      </c>
      <c r="D15" s="522">
        <v>131508</v>
      </c>
      <c r="E15" s="192">
        <f>72125+táj1!E15</f>
        <v>72125</v>
      </c>
      <c r="F15" s="192"/>
      <c r="G15" s="192"/>
      <c r="H15" s="192"/>
      <c r="I15" s="473"/>
      <c r="J15" s="473"/>
      <c r="K15" s="473"/>
      <c r="L15" s="473"/>
      <c r="M15" s="473"/>
      <c r="N15" s="473"/>
      <c r="O15" s="192">
        <f t="shared" si="1"/>
        <v>72125</v>
      </c>
    </row>
    <row r="16" spans="1:15" s="78" customFormat="1" ht="25.9" customHeight="1" x14ac:dyDescent="0.2">
      <c r="A16" s="472"/>
      <c r="B16" s="472"/>
      <c r="C16" s="523" t="s">
        <v>640</v>
      </c>
      <c r="D16" s="522">
        <v>131509</v>
      </c>
      <c r="E16" s="192">
        <f>16250+táj1!E16</f>
        <v>16250</v>
      </c>
      <c r="F16" s="474"/>
      <c r="G16" s="474"/>
      <c r="H16" s="474"/>
      <c r="I16" s="473"/>
      <c r="J16" s="473"/>
      <c r="K16" s="473"/>
      <c r="L16" s="473"/>
      <c r="M16" s="473"/>
      <c r="N16" s="473"/>
      <c r="O16" s="192">
        <f t="shared" si="1"/>
        <v>16250</v>
      </c>
    </row>
    <row r="17" spans="1:15" s="78" customFormat="1" ht="25.9" customHeight="1" x14ac:dyDescent="0.2">
      <c r="A17" s="654"/>
      <c r="B17" s="654"/>
      <c r="C17" s="655" t="s">
        <v>1079</v>
      </c>
      <c r="D17" s="756">
        <v>131513</v>
      </c>
      <c r="E17" s="192">
        <f>150000+táj1!E17</f>
        <v>150000</v>
      </c>
      <c r="F17" s="657"/>
      <c r="G17" s="657"/>
      <c r="H17" s="657"/>
      <c r="I17" s="656"/>
      <c r="J17" s="656"/>
      <c r="K17" s="656"/>
      <c r="L17" s="656"/>
      <c r="M17" s="656"/>
      <c r="N17" s="656"/>
      <c r="O17" s="192">
        <f t="shared" si="1"/>
        <v>150000</v>
      </c>
    </row>
    <row r="18" spans="1:15" s="78" customFormat="1" ht="25.9" customHeight="1" x14ac:dyDescent="0.2">
      <c r="A18" s="654"/>
      <c r="B18" s="654"/>
      <c r="C18" s="658" t="s">
        <v>317</v>
      </c>
      <c r="D18" s="659"/>
      <c r="E18" s="192"/>
      <c r="F18" s="657"/>
      <c r="G18" s="657"/>
      <c r="H18" s="657"/>
      <c r="I18" s="656"/>
      <c r="J18" s="656"/>
      <c r="K18" s="656"/>
      <c r="L18" s="656"/>
      <c r="M18" s="656"/>
      <c r="N18" s="656"/>
      <c r="O18" s="192"/>
    </row>
    <row r="19" spans="1:15" s="78" customFormat="1" ht="25.9" customHeight="1" x14ac:dyDescent="0.2">
      <c r="A19" s="654"/>
      <c r="B19" s="654"/>
      <c r="C19" s="655" t="s">
        <v>980</v>
      </c>
      <c r="D19" s="659">
        <v>132941</v>
      </c>
      <c r="E19" s="192"/>
      <c r="F19" s="192">
        <f>6000+táj1!F19</f>
        <v>6000</v>
      </c>
      <c r="G19" s="657"/>
      <c r="H19" s="657"/>
      <c r="I19" s="656"/>
      <c r="J19" s="656"/>
      <c r="K19" s="656"/>
      <c r="L19" s="656"/>
      <c r="M19" s="656"/>
      <c r="N19" s="656"/>
      <c r="O19" s="192">
        <f t="shared" si="1"/>
        <v>6000</v>
      </c>
    </row>
    <row r="20" spans="1:15" s="78" customFormat="1" ht="25.9" customHeight="1" x14ac:dyDescent="0.2">
      <c r="A20" s="795"/>
      <c r="B20" s="795"/>
      <c r="C20" s="798" t="s">
        <v>1172</v>
      </c>
      <c r="D20" s="850">
        <v>131721</v>
      </c>
      <c r="E20" s="796"/>
      <c r="F20" s="796"/>
      <c r="G20" s="797"/>
      <c r="H20" s="797"/>
      <c r="I20" s="796"/>
      <c r="J20" s="796">
        <f>0+táj1!J20</f>
        <v>3435</v>
      </c>
      <c r="K20" s="796"/>
      <c r="L20" s="796"/>
      <c r="M20" s="796"/>
      <c r="N20" s="796"/>
      <c r="O20" s="192">
        <f t="shared" si="1"/>
        <v>3435</v>
      </c>
    </row>
    <row r="21" spans="1:15" s="78" customFormat="1" ht="25.9" customHeight="1" x14ac:dyDescent="0.2">
      <c r="A21" s="795"/>
      <c r="B21" s="795"/>
      <c r="C21" s="798" t="s">
        <v>1170</v>
      </c>
      <c r="D21" s="851">
        <v>131329</v>
      </c>
      <c r="E21" s="796"/>
      <c r="F21" s="796"/>
      <c r="G21" s="796"/>
      <c r="H21" s="796"/>
      <c r="I21" s="796"/>
      <c r="J21" s="796">
        <f>0+táj1!J21</f>
        <v>2500</v>
      </c>
      <c r="K21" s="796"/>
      <c r="L21" s="796"/>
      <c r="M21" s="796"/>
      <c r="N21" s="796"/>
      <c r="O21" s="192">
        <f t="shared" si="1"/>
        <v>2500</v>
      </c>
    </row>
    <row r="22" spans="1:15" s="78" customFormat="1" ht="25.9" customHeight="1" x14ac:dyDescent="0.2">
      <c r="A22" s="795"/>
      <c r="B22" s="795"/>
      <c r="C22" s="798" t="s">
        <v>1171</v>
      </c>
      <c r="D22" s="851">
        <v>131365</v>
      </c>
      <c r="E22" s="796">
        <f>0+táj1!E22</f>
        <v>3000</v>
      </c>
      <c r="F22" s="796"/>
      <c r="G22" s="797"/>
      <c r="H22" s="797"/>
      <c r="I22" s="796"/>
      <c r="J22" s="796"/>
      <c r="K22" s="796"/>
      <c r="L22" s="796"/>
      <c r="M22" s="796"/>
      <c r="N22" s="796"/>
      <c r="O22" s="192">
        <f t="shared" si="1"/>
        <v>3000</v>
      </c>
    </row>
    <row r="23" spans="1:15" s="78" customFormat="1" ht="25.9" customHeight="1" x14ac:dyDescent="0.2">
      <c r="A23" s="729"/>
      <c r="B23" s="729"/>
      <c r="C23" s="359" t="s">
        <v>382</v>
      </c>
      <c r="D23" s="414"/>
      <c r="E23" s="339"/>
      <c r="F23" s="192"/>
      <c r="G23" s="346"/>
      <c r="H23" s="346"/>
      <c r="I23" s="339"/>
      <c r="J23" s="339"/>
      <c r="K23" s="339"/>
      <c r="L23" s="339"/>
      <c r="M23" s="339"/>
      <c r="N23" s="339"/>
      <c r="O23" s="192"/>
    </row>
    <row r="24" spans="1:15" s="78" customFormat="1" ht="25.9" customHeight="1" x14ac:dyDescent="0.2">
      <c r="A24" s="729"/>
      <c r="B24" s="729"/>
      <c r="C24" s="546" t="s">
        <v>1064</v>
      </c>
      <c r="D24" s="414">
        <v>191801</v>
      </c>
      <c r="E24" s="192">
        <f>120000+táj1!E24</f>
        <v>120000</v>
      </c>
      <c r="F24" s="192"/>
      <c r="G24" s="346"/>
      <c r="H24" s="346"/>
      <c r="I24" s="339"/>
      <c r="J24" s="339"/>
      <c r="K24" s="339"/>
      <c r="L24" s="339"/>
      <c r="M24" s="339"/>
      <c r="N24" s="339"/>
      <c r="O24" s="192">
        <f t="shared" si="1"/>
        <v>120000</v>
      </c>
    </row>
    <row r="25" spans="1:15" s="78" customFormat="1" ht="25.9" customHeight="1" x14ac:dyDescent="0.2">
      <c r="A25" s="654"/>
      <c r="B25" s="654"/>
      <c r="C25" s="691" t="s">
        <v>1048</v>
      </c>
      <c r="D25" s="659"/>
      <c r="E25" s="656"/>
      <c r="F25" s="192"/>
      <c r="G25" s="657"/>
      <c r="H25" s="657"/>
      <c r="I25" s="656"/>
      <c r="J25" s="656"/>
      <c r="K25" s="656"/>
      <c r="L25" s="656"/>
      <c r="M25" s="656"/>
      <c r="N25" s="656"/>
      <c r="O25" s="192"/>
    </row>
    <row r="26" spans="1:15" s="78" customFormat="1" ht="25.9" customHeight="1" x14ac:dyDescent="0.2">
      <c r="A26" s="654"/>
      <c r="B26" s="654"/>
      <c r="C26" s="727" t="s">
        <v>1046</v>
      </c>
      <c r="D26" s="659">
        <v>121319</v>
      </c>
      <c r="E26" s="656"/>
      <c r="F26" s="192"/>
      <c r="G26" s="192"/>
      <c r="H26" s="192"/>
      <c r="I26" s="192"/>
      <c r="J26" s="192">
        <f>4380+táj1!J26</f>
        <v>8760</v>
      </c>
      <c r="K26" s="656"/>
      <c r="L26" s="656"/>
      <c r="M26" s="656"/>
      <c r="N26" s="656"/>
      <c r="O26" s="192">
        <f t="shared" si="1"/>
        <v>8760</v>
      </c>
    </row>
    <row r="27" spans="1:15" s="78" customFormat="1" ht="25.9" customHeight="1" x14ac:dyDescent="0.2">
      <c r="A27" s="795"/>
      <c r="B27" s="795"/>
      <c r="C27" s="798" t="s">
        <v>1123</v>
      </c>
      <c r="D27" s="799"/>
      <c r="E27" s="796"/>
      <c r="F27" s="796"/>
      <c r="G27" s="796"/>
      <c r="H27" s="796"/>
      <c r="I27" s="796"/>
      <c r="J27" s="796"/>
      <c r="K27" s="796"/>
      <c r="L27" s="796"/>
      <c r="M27" s="796"/>
      <c r="N27" s="796"/>
      <c r="O27" s="192"/>
    </row>
    <row r="28" spans="1:15" s="78" customFormat="1" ht="25.9" customHeight="1" x14ac:dyDescent="0.2">
      <c r="A28" s="795"/>
      <c r="B28" s="795"/>
      <c r="C28" s="800" t="s">
        <v>1124</v>
      </c>
      <c r="D28" s="799">
        <v>131717</v>
      </c>
      <c r="E28" s="796">
        <f>5300+táj1!E28</f>
        <v>5300</v>
      </c>
      <c r="F28" s="796"/>
      <c r="G28" s="796"/>
      <c r="H28" s="796"/>
      <c r="I28" s="796"/>
      <c r="J28" s="796"/>
      <c r="K28" s="796"/>
      <c r="L28" s="796"/>
      <c r="M28" s="796"/>
      <c r="N28" s="796"/>
      <c r="O28" s="192">
        <f t="shared" si="1"/>
        <v>5300</v>
      </c>
    </row>
    <row r="29" spans="1:15" s="78" customFormat="1" ht="13.5" customHeight="1" x14ac:dyDescent="0.2">
      <c r="A29" s="79"/>
      <c r="B29" s="79"/>
      <c r="C29" s="197" t="s">
        <v>196</v>
      </c>
      <c r="D29" s="202"/>
      <c r="E29" s="198">
        <f>SUM(E9:E28)</f>
        <v>366675</v>
      </c>
      <c r="F29" s="198">
        <f t="shared" ref="F29:O29" si="2">SUM(F9:F28)</f>
        <v>6000</v>
      </c>
      <c r="G29" s="198">
        <f t="shared" si="2"/>
        <v>0</v>
      </c>
      <c r="H29" s="198">
        <f t="shared" si="2"/>
        <v>9101</v>
      </c>
      <c r="I29" s="198">
        <f t="shared" si="2"/>
        <v>0</v>
      </c>
      <c r="J29" s="198">
        <f t="shared" si="2"/>
        <v>14695</v>
      </c>
      <c r="K29" s="198">
        <f t="shared" si="2"/>
        <v>13224</v>
      </c>
      <c r="L29" s="198">
        <f t="shared" si="2"/>
        <v>0</v>
      </c>
      <c r="M29" s="198">
        <f t="shared" si="2"/>
        <v>0</v>
      </c>
      <c r="N29" s="198">
        <f t="shared" si="2"/>
        <v>0</v>
      </c>
      <c r="O29" s="198">
        <f t="shared" si="2"/>
        <v>409695</v>
      </c>
    </row>
    <row r="30" spans="1:15" s="78" customFormat="1" ht="13.5" customHeight="1" x14ac:dyDescent="0.2">
      <c r="A30" s="203">
        <v>1</v>
      </c>
      <c r="B30" s="203">
        <v>14</v>
      </c>
      <c r="C30" s="204" t="s">
        <v>162</v>
      </c>
      <c r="D30" s="203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</row>
    <row r="31" spans="1:15" s="78" customFormat="1" ht="28.5" customHeight="1" x14ac:dyDescent="0.2">
      <c r="A31" s="76"/>
      <c r="B31" s="76"/>
      <c r="C31" s="200" t="s">
        <v>1080</v>
      </c>
      <c r="D31" s="203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</row>
    <row r="32" spans="1:15" s="78" customFormat="1" ht="24.75" customHeight="1" x14ac:dyDescent="0.2">
      <c r="A32" s="76"/>
      <c r="B32" s="76"/>
      <c r="C32" s="205" t="s">
        <v>198</v>
      </c>
      <c r="D32" s="77">
        <v>171967</v>
      </c>
      <c r="E32" s="192"/>
      <c r="F32" s="192"/>
      <c r="G32" s="192"/>
      <c r="H32" s="192">
        <f>5080+táj1!H32</f>
        <v>5080</v>
      </c>
      <c r="I32" s="192"/>
      <c r="J32" s="192"/>
      <c r="K32" s="192"/>
      <c r="L32" s="192"/>
      <c r="M32" s="192"/>
      <c r="N32" s="192"/>
      <c r="O32" s="192">
        <f>SUM(E32:N32)</f>
        <v>5080</v>
      </c>
    </row>
    <row r="33" spans="1:16" s="78" customFormat="1" ht="15.75" customHeight="1" x14ac:dyDescent="0.2">
      <c r="A33" s="76"/>
      <c r="B33" s="76"/>
      <c r="C33" s="206" t="s">
        <v>854</v>
      </c>
      <c r="D33" s="207">
        <v>164903</v>
      </c>
      <c r="E33" s="180"/>
      <c r="F33" s="180"/>
      <c r="G33" s="180"/>
      <c r="H33" s="192"/>
      <c r="I33" s="192"/>
      <c r="J33" s="192"/>
      <c r="K33" s="192"/>
      <c r="L33" s="192"/>
      <c r="M33" s="192">
        <f>4051+táj1!M33</f>
        <v>4051</v>
      </c>
      <c r="N33" s="180"/>
      <c r="O33" s="180">
        <f>SUM(E33:N33)</f>
        <v>4051</v>
      </c>
      <c r="P33" s="297"/>
    </row>
    <row r="34" spans="1:16" s="78" customFormat="1" ht="13.5" customHeight="1" x14ac:dyDescent="0.2">
      <c r="A34" s="85"/>
      <c r="B34" s="85"/>
      <c r="C34" s="197" t="s">
        <v>199</v>
      </c>
      <c r="D34" s="268"/>
      <c r="E34" s="210">
        <f t="shared" ref="E34:G34" si="3">SUM(E32:E33)</f>
        <v>0</v>
      </c>
      <c r="F34" s="210">
        <f t="shared" si="3"/>
        <v>0</v>
      </c>
      <c r="G34" s="210">
        <f t="shared" si="3"/>
        <v>0</v>
      </c>
      <c r="H34" s="210">
        <f>SUM(H32:H33)</f>
        <v>5080</v>
      </c>
      <c r="I34" s="210">
        <f t="shared" ref="I34:O34" si="4">SUM(I32:I33)</f>
        <v>0</v>
      </c>
      <c r="J34" s="210">
        <f t="shared" si="4"/>
        <v>0</v>
      </c>
      <c r="K34" s="210">
        <f t="shared" si="4"/>
        <v>0</v>
      </c>
      <c r="L34" s="210">
        <f t="shared" si="4"/>
        <v>0</v>
      </c>
      <c r="M34" s="210">
        <f t="shared" si="4"/>
        <v>4051</v>
      </c>
      <c r="N34" s="210">
        <f t="shared" si="4"/>
        <v>0</v>
      </c>
      <c r="O34" s="210">
        <f t="shared" si="4"/>
        <v>9131</v>
      </c>
    </row>
    <row r="35" spans="1:16" s="73" customFormat="1" ht="13.5" customHeight="1" x14ac:dyDescent="0.2">
      <c r="A35" s="81">
        <v>1</v>
      </c>
      <c r="B35" s="81">
        <v>15</v>
      </c>
      <c r="C35" s="187" t="s">
        <v>118</v>
      </c>
      <c r="D35" s="86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</row>
    <row r="36" spans="1:16" s="73" customFormat="1" ht="24.95" customHeight="1" x14ac:dyDescent="0.2">
      <c r="A36" s="81"/>
      <c r="B36" s="81"/>
      <c r="C36" s="523" t="s">
        <v>200</v>
      </c>
      <c r="D36" s="530"/>
      <c r="E36" s="87"/>
      <c r="F36" s="180"/>
      <c r="G36" s="180"/>
      <c r="H36" s="180"/>
      <c r="I36" s="180"/>
      <c r="J36" s="180"/>
      <c r="K36" s="180"/>
      <c r="L36" s="180"/>
      <c r="M36" s="180"/>
      <c r="N36" s="180"/>
      <c r="O36" s="180"/>
    </row>
    <row r="37" spans="1:16" s="73" customFormat="1" ht="18.600000000000001" customHeight="1" x14ac:dyDescent="0.2">
      <c r="A37" s="81"/>
      <c r="B37" s="81"/>
      <c r="C37" s="443" t="s">
        <v>775</v>
      </c>
      <c r="D37" s="530">
        <v>151906</v>
      </c>
      <c r="E37" s="180"/>
      <c r="F37" s="180"/>
      <c r="G37" s="180"/>
      <c r="H37" s="180">
        <f>17780+táj1!H37</f>
        <v>13824</v>
      </c>
      <c r="I37" s="269"/>
      <c r="J37" s="269"/>
      <c r="K37" s="269"/>
      <c r="L37" s="269"/>
      <c r="M37" s="269"/>
      <c r="N37" s="180"/>
      <c r="O37" s="180">
        <f>SUM(E37:N37)</f>
        <v>13824</v>
      </c>
    </row>
    <row r="38" spans="1:16" s="73" customFormat="1" ht="15" customHeight="1" x14ac:dyDescent="0.2">
      <c r="A38" s="81"/>
      <c r="B38" s="81"/>
      <c r="C38" s="531" t="s">
        <v>201</v>
      </c>
      <c r="D38" s="532" t="s">
        <v>202</v>
      </c>
      <c r="E38" s="180"/>
      <c r="F38" s="180"/>
      <c r="G38" s="180"/>
      <c r="H38" s="180">
        <f>266700+táj1!H38</f>
        <v>254159</v>
      </c>
      <c r="I38" s="269"/>
      <c r="J38" s="269"/>
      <c r="K38" s="269"/>
      <c r="L38" s="269"/>
      <c r="M38" s="269"/>
      <c r="N38" s="180"/>
      <c r="O38" s="180">
        <f>SUM(E38:N38)</f>
        <v>254159</v>
      </c>
    </row>
    <row r="39" spans="1:16" s="73" customFormat="1" ht="15" customHeight="1" x14ac:dyDescent="0.2">
      <c r="A39" s="801"/>
      <c r="B39" s="801"/>
      <c r="C39" s="853" t="s">
        <v>1173</v>
      </c>
      <c r="D39" s="854">
        <v>151909</v>
      </c>
      <c r="E39" s="796"/>
      <c r="F39" s="796"/>
      <c r="G39" s="796"/>
      <c r="H39" s="796">
        <f>0+táj1!H39</f>
        <v>15874</v>
      </c>
      <c r="I39" s="797"/>
      <c r="J39" s="797"/>
      <c r="K39" s="797"/>
      <c r="L39" s="797"/>
      <c r="M39" s="797"/>
      <c r="N39" s="796"/>
      <c r="O39" s="180">
        <f>SUM(E39:N39)</f>
        <v>15874</v>
      </c>
    </row>
    <row r="40" spans="1:16" s="73" customFormat="1" ht="15" customHeight="1" x14ac:dyDescent="0.2">
      <c r="A40" s="340"/>
      <c r="B40" s="340"/>
      <c r="C40" s="442" t="s">
        <v>203</v>
      </c>
      <c r="D40" s="533"/>
      <c r="E40" s="339"/>
      <c r="F40" s="339"/>
      <c r="G40" s="339"/>
      <c r="H40" s="180"/>
      <c r="I40" s="346"/>
      <c r="J40" s="346"/>
      <c r="K40" s="346"/>
      <c r="L40" s="346"/>
      <c r="M40" s="346"/>
      <c r="N40" s="339"/>
      <c r="O40" s="180"/>
    </row>
    <row r="41" spans="1:16" s="73" customFormat="1" ht="15" customHeight="1" x14ac:dyDescent="0.2">
      <c r="A41" s="81"/>
      <c r="B41" s="81"/>
      <c r="C41" s="531" t="s">
        <v>1169</v>
      </c>
      <c r="D41" s="532" t="s">
        <v>205</v>
      </c>
      <c r="E41" s="180"/>
      <c r="F41" s="180"/>
      <c r="G41" s="180"/>
      <c r="H41" s="180">
        <f>1270+táj1!H41</f>
        <v>1270</v>
      </c>
      <c r="I41" s="269"/>
      <c r="J41" s="269"/>
      <c r="K41" s="269"/>
      <c r="L41" s="269"/>
      <c r="M41" s="269"/>
      <c r="N41" s="180"/>
      <c r="O41" s="180">
        <f t="shared" ref="O41:O48" si="5">SUM(E41:N41)</f>
        <v>1270</v>
      </c>
    </row>
    <row r="42" spans="1:16" s="73" customFormat="1" ht="15" customHeight="1" x14ac:dyDescent="0.2">
      <c r="A42" s="81"/>
      <c r="B42" s="81"/>
      <c r="C42" s="534" t="s">
        <v>206</v>
      </c>
      <c r="D42" s="532" t="s">
        <v>207</v>
      </c>
      <c r="E42" s="180"/>
      <c r="F42" s="180"/>
      <c r="G42" s="180"/>
      <c r="H42" s="180">
        <f>635+táj1!H42</f>
        <v>635</v>
      </c>
      <c r="I42" s="269"/>
      <c r="J42" s="269"/>
      <c r="K42" s="269"/>
      <c r="L42" s="269"/>
      <c r="M42" s="269"/>
      <c r="N42" s="180"/>
      <c r="O42" s="180">
        <f t="shared" si="5"/>
        <v>635</v>
      </c>
    </row>
    <row r="43" spans="1:16" s="73" customFormat="1" ht="15" customHeight="1" x14ac:dyDescent="0.2">
      <c r="A43" s="81"/>
      <c r="B43" s="81"/>
      <c r="C43" s="535" t="s">
        <v>438</v>
      </c>
      <c r="D43" s="527" t="s">
        <v>641</v>
      </c>
      <c r="E43" s="180"/>
      <c r="F43" s="180"/>
      <c r="G43" s="180"/>
      <c r="H43" s="180"/>
      <c r="I43" s="180"/>
      <c r="J43" s="180"/>
      <c r="K43" s="180"/>
      <c r="L43" s="180"/>
      <c r="M43" s="180">
        <f>37113+táj1!M43</f>
        <v>37113</v>
      </c>
      <c r="N43" s="180"/>
      <c r="O43" s="180">
        <f t="shared" si="5"/>
        <v>37113</v>
      </c>
    </row>
    <row r="44" spans="1:16" s="73" customFormat="1" ht="18" customHeight="1" x14ac:dyDescent="0.2">
      <c r="A44" s="81"/>
      <c r="B44" s="81"/>
      <c r="C44" s="536" t="s">
        <v>1081</v>
      </c>
      <c r="D44" s="527"/>
      <c r="E44" s="180"/>
      <c r="F44" s="180"/>
      <c r="G44" s="180"/>
      <c r="H44" s="180"/>
      <c r="I44" s="269"/>
      <c r="J44" s="269"/>
      <c r="K44" s="269"/>
      <c r="L44" s="269"/>
      <c r="M44" s="180"/>
      <c r="N44" s="180"/>
      <c r="O44" s="180"/>
    </row>
    <row r="45" spans="1:16" s="73" customFormat="1" ht="18" customHeight="1" x14ac:dyDescent="0.2">
      <c r="A45" s="340"/>
      <c r="B45" s="340"/>
      <c r="C45" s="536" t="s">
        <v>776</v>
      </c>
      <c r="D45" s="527" t="s">
        <v>777</v>
      </c>
      <c r="E45" s="339"/>
      <c r="F45" s="339"/>
      <c r="G45" s="339"/>
      <c r="H45" s="180">
        <f>3175+táj1!H45</f>
        <v>3175</v>
      </c>
      <c r="I45" s="346"/>
      <c r="J45" s="346"/>
      <c r="K45" s="346"/>
      <c r="L45" s="346"/>
      <c r="M45" s="339"/>
      <c r="N45" s="339"/>
      <c r="O45" s="180">
        <f t="shared" si="5"/>
        <v>3175</v>
      </c>
    </row>
    <row r="46" spans="1:16" s="73" customFormat="1" ht="27.75" customHeight="1" x14ac:dyDescent="0.2">
      <c r="A46" s="340"/>
      <c r="B46" s="340"/>
      <c r="C46" s="640" t="s">
        <v>966</v>
      </c>
      <c r="D46" s="639" t="s">
        <v>967</v>
      </c>
      <c r="E46" s="339"/>
      <c r="F46" s="339"/>
      <c r="G46" s="339"/>
      <c r="H46" s="180"/>
      <c r="I46" s="180"/>
      <c r="J46" s="180"/>
      <c r="K46" s="180">
        <f>10916+táj1!K46</f>
        <v>10916</v>
      </c>
      <c r="L46" s="346"/>
      <c r="M46" s="339"/>
      <c r="N46" s="339"/>
      <c r="O46" s="180">
        <f t="shared" si="5"/>
        <v>10916</v>
      </c>
    </row>
    <row r="47" spans="1:16" s="73" customFormat="1" ht="18" customHeight="1" x14ac:dyDescent="0.2">
      <c r="A47" s="340"/>
      <c r="B47" s="340"/>
      <c r="C47" s="536" t="s">
        <v>208</v>
      </c>
      <c r="D47" s="527"/>
      <c r="E47" s="339"/>
      <c r="F47" s="339"/>
      <c r="G47" s="339"/>
      <c r="H47" s="180"/>
      <c r="I47" s="346"/>
      <c r="J47" s="346"/>
      <c r="K47" s="346"/>
      <c r="L47" s="346"/>
      <c r="M47" s="339"/>
      <c r="N47" s="339"/>
      <c r="O47" s="180"/>
    </row>
    <row r="48" spans="1:16" s="73" customFormat="1" ht="18" customHeight="1" x14ac:dyDescent="0.2">
      <c r="A48" s="340"/>
      <c r="B48" s="340"/>
      <c r="C48" s="536" t="s">
        <v>855</v>
      </c>
      <c r="D48" s="527" t="s">
        <v>991</v>
      </c>
      <c r="E48" s="339"/>
      <c r="F48" s="339"/>
      <c r="G48" s="339"/>
      <c r="H48" s="180">
        <f>4318+táj1!H48</f>
        <v>4318</v>
      </c>
      <c r="I48" s="346"/>
      <c r="J48" s="346"/>
      <c r="K48" s="346"/>
      <c r="L48" s="346"/>
      <c r="M48" s="339"/>
      <c r="N48" s="339"/>
      <c r="O48" s="180">
        <f t="shared" si="5"/>
        <v>4318</v>
      </c>
    </row>
    <row r="49" spans="1:15" s="73" customFormat="1" ht="18" customHeight="1" x14ac:dyDescent="0.2">
      <c r="A49" s="340"/>
      <c r="B49" s="340"/>
      <c r="C49" s="535" t="s">
        <v>440</v>
      </c>
      <c r="D49" s="527" t="s">
        <v>856</v>
      </c>
      <c r="E49" s="339"/>
      <c r="F49" s="339"/>
      <c r="G49" s="339"/>
      <c r="H49" s="180">
        <f>51918+táj1!H49</f>
        <v>60623</v>
      </c>
      <c r="I49" s="346"/>
      <c r="J49" s="346"/>
      <c r="K49" s="346"/>
      <c r="L49" s="346"/>
      <c r="M49" s="339"/>
      <c r="N49" s="339"/>
      <c r="O49" s="180">
        <f t="shared" ref="O49:O59" si="6">SUM(E49:N49)</f>
        <v>60623</v>
      </c>
    </row>
    <row r="50" spans="1:15" s="73" customFormat="1" ht="18" customHeight="1" x14ac:dyDescent="0.2">
      <c r="A50" s="692"/>
      <c r="B50" s="692"/>
      <c r="C50" s="670" t="s">
        <v>995</v>
      </c>
      <c r="D50" s="693" t="s">
        <v>996</v>
      </c>
      <c r="E50" s="656"/>
      <c r="F50" s="656"/>
      <c r="G50" s="656"/>
      <c r="H50" s="180">
        <f>6001+táj1!H50</f>
        <v>12567</v>
      </c>
      <c r="I50" s="657"/>
      <c r="J50" s="657"/>
      <c r="K50" s="657"/>
      <c r="L50" s="657"/>
      <c r="M50" s="656"/>
      <c r="N50" s="656"/>
      <c r="O50" s="180">
        <f t="shared" si="6"/>
        <v>12567</v>
      </c>
    </row>
    <row r="51" spans="1:15" s="73" customFormat="1" ht="18" customHeight="1" x14ac:dyDescent="0.2">
      <c r="A51" s="340"/>
      <c r="B51" s="340"/>
      <c r="C51" s="641" t="s">
        <v>804</v>
      </c>
      <c r="D51" s="641"/>
      <c r="E51" s="339"/>
      <c r="F51" s="339"/>
      <c r="G51" s="339"/>
      <c r="H51" s="180"/>
      <c r="I51" s="346"/>
      <c r="J51" s="346"/>
      <c r="K51" s="346"/>
      <c r="L51" s="346"/>
      <c r="M51" s="339"/>
      <c r="N51" s="339"/>
      <c r="O51" s="180"/>
    </row>
    <row r="52" spans="1:15" s="73" customFormat="1" ht="18" customHeight="1" x14ac:dyDescent="0.2">
      <c r="A52" s="340"/>
      <c r="B52" s="340"/>
      <c r="C52" s="642" t="s">
        <v>989</v>
      </c>
      <c r="D52" s="643" t="s">
        <v>968</v>
      </c>
      <c r="E52" s="339"/>
      <c r="F52" s="339"/>
      <c r="G52" s="339"/>
      <c r="H52" s="180">
        <f>1080+táj1!H52</f>
        <v>1080</v>
      </c>
      <c r="I52" s="180">
        <f>4000+táj1!I52</f>
        <v>4000</v>
      </c>
      <c r="J52" s="346"/>
      <c r="K52" s="346"/>
      <c r="L52" s="346"/>
      <c r="M52" s="339"/>
      <c r="N52" s="339"/>
      <c r="O52" s="180">
        <f t="shared" si="6"/>
        <v>5080</v>
      </c>
    </row>
    <row r="53" spans="1:15" s="73" customFormat="1" ht="27" customHeight="1" x14ac:dyDescent="0.2">
      <c r="A53" s="692"/>
      <c r="B53" s="692"/>
      <c r="C53" s="708" t="s">
        <v>1043</v>
      </c>
      <c r="D53" s="726" t="s">
        <v>1042</v>
      </c>
      <c r="E53" s="656"/>
      <c r="F53" s="656"/>
      <c r="G53" s="656"/>
      <c r="H53" s="656"/>
      <c r="I53" s="180"/>
      <c r="J53" s="180"/>
      <c r="K53" s="180">
        <f>1748+táj1!K53</f>
        <v>1971</v>
      </c>
      <c r="L53" s="657"/>
      <c r="M53" s="656"/>
      <c r="N53" s="656"/>
      <c r="O53" s="180">
        <f t="shared" si="6"/>
        <v>1971</v>
      </c>
    </row>
    <row r="54" spans="1:15" s="73" customFormat="1" ht="23.25" customHeight="1" x14ac:dyDescent="0.2">
      <c r="A54" s="526"/>
      <c r="B54" s="526"/>
      <c r="C54" s="443" t="s">
        <v>209</v>
      </c>
      <c r="D54" s="527"/>
      <c r="E54" s="528"/>
      <c r="F54" s="528"/>
      <c r="G54" s="528"/>
      <c r="H54" s="180"/>
      <c r="I54" s="529"/>
      <c r="J54" s="529"/>
      <c r="K54" s="529"/>
      <c r="L54" s="529"/>
      <c r="M54" s="528"/>
      <c r="N54" s="528"/>
      <c r="O54" s="180"/>
    </row>
    <row r="55" spans="1:15" s="73" customFormat="1" ht="29.45" customHeight="1" x14ac:dyDescent="0.2">
      <c r="A55" s="526"/>
      <c r="B55" s="526"/>
      <c r="C55" s="525" t="s">
        <v>210</v>
      </c>
      <c r="D55" s="537" t="s">
        <v>211</v>
      </c>
      <c r="E55" s="528"/>
      <c r="F55" s="528"/>
      <c r="G55" s="528"/>
      <c r="H55" s="180">
        <f>466725+táj1!H55</f>
        <v>466725</v>
      </c>
      <c r="I55" s="529"/>
      <c r="J55" s="529"/>
      <c r="K55" s="529"/>
      <c r="L55" s="529"/>
      <c r="M55" s="528"/>
      <c r="N55" s="528"/>
      <c r="O55" s="180">
        <f t="shared" si="6"/>
        <v>466725</v>
      </c>
    </row>
    <row r="56" spans="1:15" s="73" customFormat="1" ht="17.25" customHeight="1" x14ac:dyDescent="0.2">
      <c r="A56" s="801"/>
      <c r="B56" s="801"/>
      <c r="C56" s="826" t="s">
        <v>449</v>
      </c>
      <c r="D56" s="825"/>
      <c r="E56" s="796"/>
      <c r="F56" s="796"/>
      <c r="G56" s="796"/>
      <c r="H56" s="796"/>
      <c r="I56" s="797"/>
      <c r="J56" s="797"/>
      <c r="K56" s="797"/>
      <c r="L56" s="797"/>
      <c r="M56" s="796"/>
      <c r="N56" s="796"/>
      <c r="O56" s="796"/>
    </row>
    <row r="57" spans="1:15" s="73" customFormat="1" ht="22.5" customHeight="1" x14ac:dyDescent="0.2">
      <c r="A57" s="801"/>
      <c r="B57" s="801"/>
      <c r="C57" s="826" t="s">
        <v>1142</v>
      </c>
      <c r="D57" s="825" t="s">
        <v>1143</v>
      </c>
      <c r="E57" s="796"/>
      <c r="F57" s="796"/>
      <c r="G57" s="796"/>
      <c r="H57" s="796">
        <f>31200+táj1!H57</f>
        <v>31200</v>
      </c>
      <c r="I57" s="797"/>
      <c r="J57" s="797"/>
      <c r="K57" s="797"/>
      <c r="L57" s="797"/>
      <c r="M57" s="796"/>
      <c r="N57" s="796"/>
      <c r="O57" s="796">
        <f>SUM(E57:N57)</f>
        <v>31200</v>
      </c>
    </row>
    <row r="58" spans="1:15" s="73" customFormat="1" ht="30" customHeight="1" x14ac:dyDescent="0.2">
      <c r="A58" s="801"/>
      <c r="B58" s="801"/>
      <c r="C58" s="1004" t="s">
        <v>1125</v>
      </c>
      <c r="D58" s="1004"/>
      <c r="E58" s="796"/>
      <c r="F58" s="796"/>
      <c r="G58" s="796"/>
      <c r="H58" s="796"/>
      <c r="I58" s="797"/>
      <c r="J58" s="797"/>
      <c r="K58" s="797"/>
      <c r="L58" s="797"/>
      <c r="M58" s="796"/>
      <c r="N58" s="796"/>
      <c r="O58" s="180"/>
    </row>
    <row r="59" spans="1:15" s="73" customFormat="1" ht="29.45" customHeight="1" x14ac:dyDescent="0.2">
      <c r="A59" s="801"/>
      <c r="B59" s="801"/>
      <c r="C59" s="804" t="s">
        <v>413</v>
      </c>
      <c r="D59" s="802">
        <v>151401</v>
      </c>
      <c r="E59" s="796"/>
      <c r="F59" s="796"/>
      <c r="G59" s="796"/>
      <c r="H59" s="796">
        <f>3505+táj1!H59</f>
        <v>3505</v>
      </c>
      <c r="I59" s="797"/>
      <c r="J59" s="797"/>
      <c r="K59" s="797"/>
      <c r="L59" s="797"/>
      <c r="M59" s="796"/>
      <c r="N59" s="796"/>
      <c r="O59" s="180">
        <f t="shared" si="6"/>
        <v>3505</v>
      </c>
    </row>
    <row r="60" spans="1:15" s="73" customFormat="1" ht="12.95" customHeight="1" x14ac:dyDescent="0.2">
      <c r="A60" s="85"/>
      <c r="B60" s="85"/>
      <c r="C60" s="294" t="s">
        <v>212</v>
      </c>
      <c r="D60" s="85"/>
      <c r="E60" s="210">
        <f t="shared" ref="E60:O60" si="7">SUM(E36:E59)</f>
        <v>0</v>
      </c>
      <c r="F60" s="210">
        <f t="shared" si="7"/>
        <v>0</v>
      </c>
      <c r="G60" s="210">
        <f t="shared" si="7"/>
        <v>0</v>
      </c>
      <c r="H60" s="210">
        <f t="shared" si="7"/>
        <v>868955</v>
      </c>
      <c r="I60" s="210">
        <f t="shared" si="7"/>
        <v>4000</v>
      </c>
      <c r="J60" s="210">
        <f t="shared" si="7"/>
        <v>0</v>
      </c>
      <c r="K60" s="210">
        <f t="shared" si="7"/>
        <v>12887</v>
      </c>
      <c r="L60" s="210">
        <f t="shared" si="7"/>
        <v>0</v>
      </c>
      <c r="M60" s="210">
        <f t="shared" si="7"/>
        <v>37113</v>
      </c>
      <c r="N60" s="210">
        <f t="shared" si="7"/>
        <v>0</v>
      </c>
      <c r="O60" s="210">
        <f t="shared" si="7"/>
        <v>922955</v>
      </c>
    </row>
    <row r="61" spans="1:15" s="73" customFormat="1" ht="12.95" customHeight="1" x14ac:dyDescent="0.2">
      <c r="A61" s="81">
        <v>1</v>
      </c>
      <c r="B61" s="81" t="s">
        <v>80</v>
      </c>
      <c r="C61" s="187" t="s">
        <v>108</v>
      </c>
      <c r="D61" s="86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</row>
    <row r="62" spans="1:15" s="73" customFormat="1" ht="25.5" customHeight="1" x14ac:dyDescent="0.2">
      <c r="A62" s="81"/>
      <c r="B62" s="81"/>
      <c r="C62" s="443" t="s">
        <v>213</v>
      </c>
      <c r="D62" s="530"/>
      <c r="E62" s="270"/>
      <c r="F62" s="180"/>
      <c r="G62" s="180"/>
      <c r="H62" s="180"/>
      <c r="I62" s="180"/>
      <c r="J62" s="180"/>
      <c r="K62" s="180"/>
      <c r="L62" s="180"/>
      <c r="M62" s="180"/>
      <c r="N62" s="180"/>
      <c r="O62" s="180"/>
    </row>
    <row r="63" spans="1:15" s="73" customFormat="1" ht="26.25" customHeight="1" x14ac:dyDescent="0.2">
      <c r="A63" s="81"/>
      <c r="B63" s="81"/>
      <c r="C63" s="525" t="s">
        <v>857</v>
      </c>
      <c r="D63" s="538">
        <v>161909</v>
      </c>
      <c r="E63" s="208"/>
      <c r="F63" s="208"/>
      <c r="G63" s="208"/>
      <c r="H63" s="208">
        <f>59533+táj1!H63</f>
        <v>59533</v>
      </c>
      <c r="I63" s="208"/>
      <c r="J63" s="208"/>
      <c r="K63" s="208"/>
      <c r="L63" s="208"/>
      <c r="M63" s="208">
        <f>50307+táj1!M63</f>
        <v>50307</v>
      </c>
      <c r="N63" s="208"/>
      <c r="O63" s="180">
        <f>SUM(E63:N63)</f>
        <v>109840</v>
      </c>
    </row>
    <row r="64" spans="1:15" s="73" customFormat="1" ht="25.9" customHeight="1" x14ac:dyDescent="0.2">
      <c r="A64" s="81"/>
      <c r="B64" s="81"/>
      <c r="C64" s="525" t="s">
        <v>631</v>
      </c>
      <c r="D64" s="538">
        <v>164106</v>
      </c>
      <c r="E64" s="208"/>
      <c r="F64" s="208"/>
      <c r="G64" s="208"/>
      <c r="H64" s="208">
        <f>659162+táj1!H64</f>
        <v>657409</v>
      </c>
      <c r="I64" s="208"/>
      <c r="J64" s="208"/>
      <c r="K64" s="208"/>
      <c r="L64" s="208"/>
      <c r="M64" s="208">
        <f>24796+táj1!M64</f>
        <v>24796</v>
      </c>
      <c r="N64" s="208"/>
      <c r="O64" s="180">
        <f>SUM(E64:N64)</f>
        <v>682205</v>
      </c>
    </row>
    <row r="65" spans="1:15" s="73" customFormat="1" ht="27.6" customHeight="1" x14ac:dyDescent="0.2">
      <c r="A65" s="81"/>
      <c r="B65" s="81"/>
      <c r="C65" s="525" t="s">
        <v>632</v>
      </c>
      <c r="D65" s="538">
        <v>164204</v>
      </c>
      <c r="E65" s="208"/>
      <c r="F65" s="208"/>
      <c r="G65" s="208"/>
      <c r="H65" s="208">
        <f>188908+táj1!H65</f>
        <v>190661</v>
      </c>
      <c r="I65" s="208"/>
      <c r="J65" s="208"/>
      <c r="K65" s="208"/>
      <c r="L65" s="208"/>
      <c r="M65" s="208">
        <f>15381+táj1!M65</f>
        <v>15381</v>
      </c>
      <c r="N65" s="208"/>
      <c r="O65" s="180">
        <f>SUM(E65:N65)</f>
        <v>206042</v>
      </c>
    </row>
    <row r="66" spans="1:15" s="73" customFormat="1" ht="35.450000000000003" customHeight="1" x14ac:dyDescent="0.2">
      <c r="A66" s="81"/>
      <c r="B66" s="81"/>
      <c r="C66" s="444" t="s">
        <v>214</v>
      </c>
      <c r="D66" s="538">
        <v>164206</v>
      </c>
      <c r="E66" s="208"/>
      <c r="F66" s="208">
        <f>2816+táj1!F66</f>
        <v>2816</v>
      </c>
      <c r="G66" s="208"/>
      <c r="H66" s="208"/>
      <c r="I66" s="208"/>
      <c r="J66" s="208"/>
      <c r="K66" s="208"/>
      <c r="L66" s="208"/>
      <c r="M66" s="208">
        <f>135+táj1!M66</f>
        <v>135</v>
      </c>
      <c r="O66" s="180">
        <f>SUM(E66:N66)</f>
        <v>2951</v>
      </c>
    </row>
    <row r="67" spans="1:15" s="73" customFormat="1" ht="31.15" customHeight="1" x14ac:dyDescent="0.2">
      <c r="A67" s="81"/>
      <c r="B67" s="81"/>
      <c r="C67" s="444" t="s">
        <v>718</v>
      </c>
      <c r="D67" s="538">
        <v>164109</v>
      </c>
      <c r="E67" s="208"/>
      <c r="F67" s="208">
        <f>19173+táj1!F67</f>
        <v>19173</v>
      </c>
      <c r="G67" s="208"/>
      <c r="H67" s="208"/>
      <c r="I67" s="208"/>
      <c r="J67" s="208"/>
      <c r="K67" s="208"/>
      <c r="L67" s="208"/>
      <c r="M67" s="208"/>
      <c r="N67" s="208"/>
      <c r="O67" s="180">
        <f t="shared" ref="O67:O70" si="8">SUM(E67:N67)</f>
        <v>19173</v>
      </c>
    </row>
    <row r="68" spans="1:15" s="73" customFormat="1" ht="37.9" customHeight="1" x14ac:dyDescent="0.2">
      <c r="A68" s="289"/>
      <c r="B68" s="289"/>
      <c r="C68" s="444" t="s">
        <v>724</v>
      </c>
      <c r="D68" s="538">
        <v>164207</v>
      </c>
      <c r="E68" s="290"/>
      <c r="F68" s="290"/>
      <c r="G68" s="290"/>
      <c r="H68" s="208">
        <f>0+táj1!H68</f>
        <v>0</v>
      </c>
      <c r="I68" s="290"/>
      <c r="J68" s="290"/>
      <c r="K68" s="290"/>
      <c r="L68" s="290"/>
      <c r="M68" s="208">
        <f>22535+táj1!M68</f>
        <v>22535</v>
      </c>
      <c r="N68" s="290"/>
      <c r="O68" s="180">
        <f t="shared" si="8"/>
        <v>22535</v>
      </c>
    </row>
    <row r="69" spans="1:15" s="73" customFormat="1" ht="29.45" customHeight="1" x14ac:dyDescent="0.2">
      <c r="A69" s="289"/>
      <c r="B69" s="289"/>
      <c r="C69" s="443" t="s">
        <v>215</v>
      </c>
      <c r="D69" s="539"/>
      <c r="E69" s="290"/>
      <c r="F69" s="290"/>
      <c r="G69" s="290"/>
      <c r="H69" s="290"/>
      <c r="I69" s="290"/>
      <c r="J69" s="290"/>
      <c r="K69" s="290"/>
      <c r="L69" s="290"/>
      <c r="M69" s="208"/>
      <c r="N69" s="290"/>
      <c r="O69" s="180"/>
    </row>
    <row r="70" spans="1:15" s="73" customFormat="1" ht="75" customHeight="1" x14ac:dyDescent="0.2">
      <c r="A70" s="81"/>
      <c r="B70" s="81"/>
      <c r="C70" s="540" t="s">
        <v>216</v>
      </c>
      <c r="D70" s="337">
        <v>163607</v>
      </c>
      <c r="E70" s="208"/>
      <c r="F70" s="208"/>
      <c r="G70" s="208"/>
      <c r="H70" s="208"/>
      <c r="I70" s="208"/>
      <c r="J70" s="208"/>
      <c r="K70" s="208"/>
      <c r="L70" s="208"/>
      <c r="M70" s="208">
        <f>300+táj1!M70</f>
        <v>300</v>
      </c>
      <c r="N70" s="208"/>
      <c r="O70" s="180">
        <f t="shared" si="8"/>
        <v>300</v>
      </c>
    </row>
    <row r="71" spans="1:15" s="73" customFormat="1" ht="28.15" customHeight="1" x14ac:dyDescent="0.2">
      <c r="A71" s="81"/>
      <c r="B71" s="81"/>
      <c r="C71" s="424" t="s">
        <v>699</v>
      </c>
      <c r="D71" s="343">
        <v>163625</v>
      </c>
      <c r="E71" s="208"/>
      <c r="F71" s="208"/>
      <c r="G71" s="208"/>
      <c r="H71" s="208"/>
      <c r="I71" s="208"/>
      <c r="J71" s="208"/>
      <c r="K71" s="208"/>
      <c r="L71" s="208"/>
      <c r="M71" s="208">
        <f>31513+táj1!M71</f>
        <v>31513</v>
      </c>
      <c r="N71" s="208"/>
      <c r="O71" s="180">
        <f t="shared" ref="O71:O100" si="9">SUM(E71:N71)</f>
        <v>31513</v>
      </c>
    </row>
    <row r="72" spans="1:15" s="73" customFormat="1" ht="41.25" customHeight="1" x14ac:dyDescent="0.2">
      <c r="A72" s="81"/>
      <c r="B72" s="81"/>
      <c r="C72" s="440" t="s">
        <v>217</v>
      </c>
      <c r="D72" s="343">
        <v>163626</v>
      </c>
      <c r="E72" s="208"/>
      <c r="F72" s="208"/>
      <c r="G72" s="208"/>
      <c r="H72" s="208">
        <f>1+táj1!H72</f>
        <v>1</v>
      </c>
      <c r="I72" s="208"/>
      <c r="J72" s="208"/>
      <c r="K72" s="208"/>
      <c r="L72" s="208"/>
      <c r="M72" s="208">
        <f>2+táj1!M72</f>
        <v>2</v>
      </c>
      <c r="N72" s="208"/>
      <c r="O72" s="180">
        <f t="shared" si="9"/>
        <v>3</v>
      </c>
    </row>
    <row r="73" spans="1:15" s="73" customFormat="1" ht="19.899999999999999" customHeight="1" x14ac:dyDescent="0.2">
      <c r="A73" s="81"/>
      <c r="B73" s="81"/>
      <c r="C73" s="541" t="s">
        <v>778</v>
      </c>
      <c r="D73" s="342">
        <v>163658</v>
      </c>
      <c r="E73" s="208"/>
      <c r="F73" s="208"/>
      <c r="G73" s="208"/>
      <c r="H73" s="208"/>
      <c r="I73" s="208"/>
      <c r="J73" s="208"/>
      <c r="K73" s="208"/>
      <c r="L73" s="208"/>
      <c r="M73" s="208">
        <f>404+táj1!M73</f>
        <v>404</v>
      </c>
      <c r="N73" s="208"/>
      <c r="O73" s="180">
        <f t="shared" si="9"/>
        <v>404</v>
      </c>
    </row>
    <row r="74" spans="1:15" s="73" customFormat="1" ht="30" customHeight="1" x14ac:dyDescent="0.2">
      <c r="A74" s="81"/>
      <c r="B74" s="81"/>
      <c r="C74" s="542" t="s">
        <v>741</v>
      </c>
      <c r="D74" s="342">
        <v>163662</v>
      </c>
      <c r="E74" s="208"/>
      <c r="F74" s="208"/>
      <c r="G74" s="208"/>
      <c r="H74" s="208"/>
      <c r="I74" s="208"/>
      <c r="J74" s="208"/>
      <c r="K74" s="208"/>
      <c r="L74" s="208"/>
      <c r="M74" s="208">
        <f>799187+táj1!M74</f>
        <v>799187</v>
      </c>
      <c r="N74" s="208"/>
      <c r="O74" s="180">
        <f t="shared" si="9"/>
        <v>799187</v>
      </c>
    </row>
    <row r="75" spans="1:15" s="73" customFormat="1" ht="31.9" customHeight="1" x14ac:dyDescent="0.2">
      <c r="A75" s="81"/>
      <c r="B75" s="81"/>
      <c r="C75" s="368" t="s">
        <v>858</v>
      </c>
      <c r="D75" s="543">
        <v>163679</v>
      </c>
      <c r="E75" s="208">
        <f>27301+táj1!E75</f>
        <v>8066</v>
      </c>
      <c r="F75" s="208">
        <f>72699+táj1!F75</f>
        <v>91934</v>
      </c>
      <c r="G75" s="208"/>
      <c r="H75" s="208"/>
      <c r="I75" s="208"/>
      <c r="J75" s="208"/>
      <c r="K75" s="208"/>
      <c r="L75" s="208"/>
      <c r="M75" s="208"/>
      <c r="N75" s="208"/>
      <c r="O75" s="180">
        <f t="shared" si="9"/>
        <v>100000</v>
      </c>
    </row>
    <row r="76" spans="1:15" s="73" customFormat="1" ht="29.45" customHeight="1" x14ac:dyDescent="0.2">
      <c r="A76" s="81"/>
      <c r="B76" s="81"/>
      <c r="C76" s="368" t="s">
        <v>859</v>
      </c>
      <c r="D76" s="543">
        <v>163680</v>
      </c>
      <c r="E76" s="208">
        <f>104310+táj1!E76</f>
        <v>104310</v>
      </c>
      <c r="F76" s="208">
        <f>286689+táj1!F76</f>
        <v>286689</v>
      </c>
      <c r="G76" s="208"/>
      <c r="H76" s="208"/>
      <c r="I76" s="208"/>
      <c r="J76" s="208"/>
      <c r="K76" s="208"/>
      <c r="L76" s="208"/>
      <c r="M76" s="208">
        <f>4835+táj1!M76</f>
        <v>4835</v>
      </c>
      <c r="N76" s="208"/>
      <c r="O76" s="180">
        <f t="shared" si="9"/>
        <v>395834</v>
      </c>
    </row>
    <row r="77" spans="1:15" s="73" customFormat="1" ht="29.45" customHeight="1" x14ac:dyDescent="0.2">
      <c r="A77" s="340"/>
      <c r="B77" s="340"/>
      <c r="C77" s="368" t="s">
        <v>860</v>
      </c>
      <c r="D77" s="543">
        <v>163681</v>
      </c>
      <c r="E77" s="208">
        <f>66310+táj1!E77</f>
        <v>66310</v>
      </c>
      <c r="F77" s="208">
        <f>224631+táj1!F77</f>
        <v>224631</v>
      </c>
      <c r="G77" s="338"/>
      <c r="H77" s="338"/>
      <c r="I77" s="338"/>
      <c r="J77" s="338"/>
      <c r="K77" s="338"/>
      <c r="L77" s="338"/>
      <c r="M77" s="208"/>
      <c r="N77" s="338"/>
      <c r="O77" s="180">
        <f t="shared" si="9"/>
        <v>290941</v>
      </c>
    </row>
    <row r="78" spans="1:15" s="73" customFormat="1" ht="39.75" customHeight="1" x14ac:dyDescent="0.2">
      <c r="A78" s="81"/>
      <c r="B78" s="81"/>
      <c r="C78" s="368" t="s">
        <v>861</v>
      </c>
      <c r="D78" s="543">
        <v>163682</v>
      </c>
      <c r="E78" s="208">
        <f>13053+táj1!E78</f>
        <v>13053</v>
      </c>
      <c r="F78" s="208">
        <f>236947+táj1!F78</f>
        <v>236947</v>
      </c>
      <c r="G78" s="208"/>
      <c r="H78" s="208"/>
      <c r="I78" s="208"/>
      <c r="J78" s="208"/>
      <c r="K78" s="208"/>
      <c r="L78" s="208"/>
      <c r="M78" s="208"/>
      <c r="N78" s="208"/>
      <c r="O78" s="180">
        <f t="shared" si="9"/>
        <v>250000</v>
      </c>
    </row>
    <row r="79" spans="1:15" s="73" customFormat="1" ht="39.75" customHeight="1" x14ac:dyDescent="0.2">
      <c r="A79" s="340"/>
      <c r="B79" s="340"/>
      <c r="C79" s="645" t="s">
        <v>969</v>
      </c>
      <c r="D79" s="644">
        <v>163666</v>
      </c>
      <c r="E79" s="208">
        <f>109334+táj1!E79</f>
        <v>109334</v>
      </c>
      <c r="F79" s="208">
        <f>387288+táj1!F79</f>
        <v>387288</v>
      </c>
      <c r="G79" s="338"/>
      <c r="H79" s="338"/>
      <c r="I79" s="338"/>
      <c r="J79" s="338"/>
      <c r="K79" s="338"/>
      <c r="L79" s="338"/>
      <c r="M79" s="338"/>
      <c r="N79" s="338"/>
      <c r="O79" s="180">
        <f t="shared" si="9"/>
        <v>496622</v>
      </c>
    </row>
    <row r="80" spans="1:15" s="73" customFormat="1" ht="31.9" customHeight="1" x14ac:dyDescent="0.2">
      <c r="A80" s="692"/>
      <c r="B80" s="692"/>
      <c r="C80" s="696" t="s">
        <v>997</v>
      </c>
      <c r="D80" s="695">
        <v>163671</v>
      </c>
      <c r="E80" s="208">
        <f>5510+táj1!E80</f>
        <v>5510</v>
      </c>
      <c r="F80" s="208">
        <f>94490+táj1!F80</f>
        <v>94490</v>
      </c>
      <c r="G80" s="694"/>
      <c r="H80" s="694"/>
      <c r="I80" s="694"/>
      <c r="J80" s="694"/>
      <c r="K80" s="694"/>
      <c r="L80" s="694"/>
      <c r="M80" s="694"/>
      <c r="N80" s="694"/>
      <c r="O80" s="180">
        <f t="shared" si="9"/>
        <v>100000</v>
      </c>
    </row>
    <row r="81" spans="1:15" s="73" customFormat="1" ht="31.9" customHeight="1" x14ac:dyDescent="0.2">
      <c r="A81" s="692"/>
      <c r="B81" s="692"/>
      <c r="C81" s="774" t="s">
        <v>1082</v>
      </c>
      <c r="D81" s="695">
        <v>163672</v>
      </c>
      <c r="E81" s="694">
        <f>10198+táj1!E81</f>
        <v>10198</v>
      </c>
      <c r="F81" s="208">
        <f>193802+táj1!F81</f>
        <v>193802</v>
      </c>
      <c r="G81" s="694"/>
      <c r="H81" s="694"/>
      <c r="I81" s="694"/>
      <c r="J81" s="694"/>
      <c r="K81" s="694"/>
      <c r="L81" s="694"/>
      <c r="M81" s="694"/>
      <c r="N81" s="694"/>
      <c r="O81" s="180">
        <f t="shared" si="9"/>
        <v>204000</v>
      </c>
    </row>
    <row r="82" spans="1:15" s="73" customFormat="1" ht="43.5" customHeight="1" x14ac:dyDescent="0.2">
      <c r="A82" s="692"/>
      <c r="B82" s="692"/>
      <c r="C82" s="774" t="s">
        <v>1083</v>
      </c>
      <c r="D82" s="695">
        <v>163665</v>
      </c>
      <c r="E82" s="694">
        <f>62742+táj1!E82</f>
        <v>62742</v>
      </c>
      <c r="F82" s="208">
        <f>893258+táj1!F82</f>
        <v>893258</v>
      </c>
      <c r="G82" s="208"/>
      <c r="H82" s="208">
        <f>246256+táj1!H82</f>
        <v>248401</v>
      </c>
      <c r="I82" s="694"/>
      <c r="J82" s="694"/>
      <c r="K82" s="694"/>
      <c r="L82" s="694"/>
      <c r="M82" s="694"/>
      <c r="N82" s="694"/>
      <c r="O82" s="180">
        <f t="shared" si="9"/>
        <v>1204401</v>
      </c>
    </row>
    <row r="83" spans="1:15" s="73" customFormat="1" ht="30" customHeight="1" x14ac:dyDescent="0.2">
      <c r="A83" s="692"/>
      <c r="B83" s="692"/>
      <c r="C83" s="774" t="s">
        <v>1085</v>
      </c>
      <c r="D83" s="695">
        <v>163685</v>
      </c>
      <c r="E83" s="694">
        <f>10327+táj1!E83</f>
        <v>10327</v>
      </c>
      <c r="F83" s="208">
        <f>175673+táj1!F83</f>
        <v>175673</v>
      </c>
      <c r="G83" s="694"/>
      <c r="H83" s="694"/>
      <c r="I83" s="694"/>
      <c r="J83" s="694"/>
      <c r="K83" s="694"/>
      <c r="L83" s="694"/>
      <c r="M83" s="694"/>
      <c r="N83" s="694"/>
      <c r="O83" s="180">
        <f t="shared" si="9"/>
        <v>186000</v>
      </c>
    </row>
    <row r="84" spans="1:15" s="73" customFormat="1" ht="29.25" customHeight="1" x14ac:dyDescent="0.2">
      <c r="A84" s="692"/>
      <c r="B84" s="692"/>
      <c r="C84" s="774" t="s">
        <v>1107</v>
      </c>
      <c r="D84" s="775">
        <v>163684</v>
      </c>
      <c r="E84" s="694">
        <f>21646+táj1!E84</f>
        <v>21646</v>
      </c>
      <c r="F84" s="694">
        <f>338354+táj1!F84</f>
        <v>338354</v>
      </c>
      <c r="G84" s="694"/>
      <c r="H84" s="694"/>
      <c r="I84" s="694"/>
      <c r="J84" s="694"/>
      <c r="K84" s="694"/>
      <c r="L84" s="694"/>
      <c r="M84" s="694"/>
      <c r="N84" s="694"/>
      <c r="O84" s="180">
        <f t="shared" si="9"/>
        <v>360000</v>
      </c>
    </row>
    <row r="85" spans="1:15" s="73" customFormat="1" ht="29.25" customHeight="1" x14ac:dyDescent="0.2">
      <c r="A85" s="801"/>
      <c r="B85" s="772"/>
      <c r="C85" s="806" t="s">
        <v>1126</v>
      </c>
      <c r="D85" s="775">
        <v>163686</v>
      </c>
      <c r="E85" s="776">
        <f>16847+táj1!E85</f>
        <v>16847</v>
      </c>
      <c r="F85" s="776">
        <f>354359+táj1!F85</f>
        <v>354359</v>
      </c>
      <c r="G85" s="805"/>
      <c r="H85" s="805"/>
      <c r="I85" s="805"/>
      <c r="J85" s="805"/>
      <c r="K85" s="805"/>
      <c r="L85" s="805"/>
      <c r="M85" s="805"/>
      <c r="N85" s="805"/>
      <c r="O85" s="180">
        <f t="shared" si="9"/>
        <v>371206</v>
      </c>
    </row>
    <row r="86" spans="1:15" s="73" customFormat="1" ht="29.25" customHeight="1" x14ac:dyDescent="0.2">
      <c r="A86" s="801"/>
      <c r="B86" s="772"/>
      <c r="C86" s="858" t="s">
        <v>1176</v>
      </c>
      <c r="D86" s="857">
        <v>163673</v>
      </c>
      <c r="E86" s="776">
        <f>táj1!E86</f>
        <v>13681</v>
      </c>
      <c r="F86" s="776">
        <f>táj1!F86</f>
        <v>166319</v>
      </c>
      <c r="G86" s="805"/>
      <c r="H86" s="805"/>
      <c r="I86" s="805"/>
      <c r="J86" s="805"/>
      <c r="K86" s="805"/>
      <c r="L86" s="805"/>
      <c r="M86" s="805"/>
      <c r="N86" s="805"/>
      <c r="O86" s="180">
        <f t="shared" si="9"/>
        <v>180000</v>
      </c>
    </row>
    <row r="87" spans="1:15" s="73" customFormat="1" ht="29.25" customHeight="1" x14ac:dyDescent="0.2">
      <c r="A87" s="801"/>
      <c r="B87" s="772"/>
      <c r="C87" s="806" t="s">
        <v>1177</v>
      </c>
      <c r="D87" s="857">
        <v>163687</v>
      </c>
      <c r="E87" s="776">
        <f>0+táj1!E87</f>
        <v>8584</v>
      </c>
      <c r="F87" s="776">
        <f>0+táj1!F87</f>
        <v>191416</v>
      </c>
      <c r="G87" s="776">
        <f>0+táj1!G87</f>
        <v>0</v>
      </c>
      <c r="H87" s="805"/>
      <c r="I87" s="805"/>
      <c r="J87" s="805"/>
      <c r="K87" s="805"/>
      <c r="L87" s="805"/>
      <c r="M87" s="805"/>
      <c r="N87" s="805"/>
      <c r="O87" s="180">
        <f t="shared" si="9"/>
        <v>200000</v>
      </c>
    </row>
    <row r="88" spans="1:15" s="73" customFormat="1" ht="50.25" customHeight="1" x14ac:dyDescent="0.2">
      <c r="A88" s="801"/>
      <c r="B88" s="772"/>
      <c r="C88" s="806" t="s">
        <v>1178</v>
      </c>
      <c r="D88" s="857">
        <v>163678</v>
      </c>
      <c r="E88" s="776">
        <f>0+táj1!E88</f>
        <v>66518</v>
      </c>
      <c r="F88" s="776">
        <f>0+táj1!F88</f>
        <v>14299</v>
      </c>
      <c r="G88" s="805"/>
      <c r="H88" s="805"/>
      <c r="I88" s="805"/>
      <c r="J88" s="805"/>
      <c r="K88" s="805"/>
      <c r="L88" s="805"/>
      <c r="M88" s="805"/>
      <c r="N88" s="805"/>
      <c r="O88" s="180">
        <f t="shared" si="9"/>
        <v>80817</v>
      </c>
    </row>
    <row r="89" spans="1:15" s="73" customFormat="1" ht="38.450000000000003" customHeight="1" x14ac:dyDescent="0.2">
      <c r="A89" s="81"/>
      <c r="B89" s="772"/>
      <c r="C89" s="856" t="s">
        <v>218</v>
      </c>
      <c r="D89" s="777">
        <v>163621</v>
      </c>
      <c r="E89" s="778"/>
      <c r="F89" s="208"/>
      <c r="G89" s="208"/>
      <c r="H89" s="208">
        <f>70077+táj1!H89</f>
        <v>82941</v>
      </c>
      <c r="I89" s="208"/>
      <c r="J89" s="208"/>
      <c r="K89" s="208"/>
      <c r="L89" s="208"/>
      <c r="M89" s="208">
        <f>66793+táj1!M89</f>
        <v>66793</v>
      </c>
      <c r="N89" s="208">
        <f>861000+táj1!N89</f>
        <v>861000</v>
      </c>
      <c r="O89" s="180">
        <f t="shared" si="9"/>
        <v>1010734</v>
      </c>
    </row>
    <row r="90" spans="1:15" s="73" customFormat="1" ht="27.6" customHeight="1" x14ac:dyDescent="0.2">
      <c r="A90" s="340"/>
      <c r="B90" s="340"/>
      <c r="C90" s="440" t="s">
        <v>219</v>
      </c>
      <c r="D90" s="343">
        <v>163702</v>
      </c>
      <c r="E90" s="338"/>
      <c r="F90" s="338"/>
      <c r="G90" s="338"/>
      <c r="H90" s="208">
        <f>0+táj1!H90</f>
        <v>0</v>
      </c>
      <c r="I90" s="338"/>
      <c r="J90" s="338"/>
      <c r="K90" s="338"/>
      <c r="L90" s="338"/>
      <c r="M90" s="208">
        <f>38350+táj1!M90</f>
        <v>38350</v>
      </c>
      <c r="N90" s="338"/>
      <c r="O90" s="180">
        <f t="shared" si="9"/>
        <v>38350</v>
      </c>
    </row>
    <row r="91" spans="1:15" s="73" customFormat="1" ht="39.75" customHeight="1" x14ac:dyDescent="0.2">
      <c r="A91" s="81"/>
      <c r="B91" s="81"/>
      <c r="C91" s="441" t="s">
        <v>716</v>
      </c>
      <c r="D91" s="342">
        <v>163650</v>
      </c>
      <c r="E91" s="208"/>
      <c r="F91" s="208"/>
      <c r="G91" s="208"/>
      <c r="H91" s="208">
        <f>351556+táj1!H91</f>
        <v>351556</v>
      </c>
      <c r="I91" s="208"/>
      <c r="J91" s="208"/>
      <c r="K91" s="208"/>
      <c r="L91" s="208"/>
      <c r="M91" s="208">
        <f>129945+táj1!M91</f>
        <v>129945</v>
      </c>
      <c r="N91" s="208">
        <f>3175710+táj1!N91</f>
        <v>3175710</v>
      </c>
      <c r="O91" s="180">
        <f t="shared" si="9"/>
        <v>3657211</v>
      </c>
    </row>
    <row r="92" spans="1:15" s="73" customFormat="1" ht="39.75" customHeight="1" x14ac:dyDescent="0.2">
      <c r="A92" s="692"/>
      <c r="B92" s="692"/>
      <c r="C92" s="397" t="s">
        <v>1121</v>
      </c>
      <c r="D92" s="695">
        <v>164959</v>
      </c>
      <c r="E92" s="694"/>
      <c r="F92" s="694">
        <f>93556+táj1!F92</f>
        <v>93556</v>
      </c>
      <c r="G92" s="694"/>
      <c r="H92" s="694"/>
      <c r="I92" s="694"/>
      <c r="J92" s="694"/>
      <c r="K92" s="694"/>
      <c r="L92" s="694"/>
      <c r="M92" s="694"/>
      <c r="N92" s="694"/>
      <c r="O92" s="180">
        <f t="shared" si="9"/>
        <v>93556</v>
      </c>
    </row>
    <row r="93" spans="1:15" s="73" customFormat="1" ht="39.75" customHeight="1" x14ac:dyDescent="0.2">
      <c r="A93" s="692"/>
      <c r="B93" s="692"/>
      <c r="C93" s="655" t="s">
        <v>1122</v>
      </c>
      <c r="D93" s="695">
        <v>164958</v>
      </c>
      <c r="E93" s="694"/>
      <c r="F93" s="694">
        <f>184642+táj1!F93</f>
        <v>184642</v>
      </c>
      <c r="G93" s="694"/>
      <c r="H93" s="694"/>
      <c r="I93" s="694"/>
      <c r="J93" s="694"/>
      <c r="K93" s="694"/>
      <c r="L93" s="694"/>
      <c r="M93" s="694"/>
      <c r="N93" s="694"/>
      <c r="O93" s="180">
        <f t="shared" si="9"/>
        <v>184642</v>
      </c>
    </row>
    <row r="94" spans="1:15" s="73" customFormat="1" ht="50.45" customHeight="1" x14ac:dyDescent="0.2">
      <c r="A94" s="81"/>
      <c r="B94" s="81"/>
      <c r="C94" s="440" t="s">
        <v>742</v>
      </c>
      <c r="D94" s="344">
        <v>163654</v>
      </c>
      <c r="E94" s="208"/>
      <c r="F94" s="208"/>
      <c r="G94" s="208"/>
      <c r="H94" s="208">
        <f>441783+táj1!H94</f>
        <v>441783</v>
      </c>
      <c r="I94" s="208"/>
      <c r="J94" s="208"/>
      <c r="K94" s="208"/>
      <c r="L94" s="208"/>
      <c r="M94" s="208">
        <f>1636233+táj1!M94</f>
        <v>1636233</v>
      </c>
      <c r="N94" s="208"/>
      <c r="O94" s="180">
        <f t="shared" si="9"/>
        <v>2078016</v>
      </c>
    </row>
    <row r="95" spans="1:15" s="73" customFormat="1" ht="53.45" customHeight="1" x14ac:dyDescent="0.2">
      <c r="A95" s="81"/>
      <c r="B95" s="81"/>
      <c r="C95" s="440" t="s">
        <v>743</v>
      </c>
      <c r="D95" s="343">
        <v>163661</v>
      </c>
      <c r="E95" s="208">
        <f>245540+táj1!E95</f>
        <v>245540</v>
      </c>
      <c r="F95" s="208">
        <f>754460+táj1!F95</f>
        <v>754460</v>
      </c>
      <c r="G95" s="208"/>
      <c r="H95" s="208"/>
      <c r="I95" s="208"/>
      <c r="J95" s="208"/>
      <c r="K95" s="208"/>
      <c r="L95" s="208"/>
      <c r="M95" s="208"/>
      <c r="N95" s="208"/>
      <c r="O95" s="180">
        <f t="shared" si="9"/>
        <v>1000000</v>
      </c>
    </row>
    <row r="96" spans="1:15" s="73" customFormat="1" ht="62.25" customHeight="1" x14ac:dyDescent="0.2">
      <c r="A96" s="81"/>
      <c r="B96" s="81"/>
      <c r="C96" s="440" t="s">
        <v>862</v>
      </c>
      <c r="D96" s="343">
        <v>163683</v>
      </c>
      <c r="E96" s="208"/>
      <c r="F96" s="208"/>
      <c r="G96" s="208"/>
      <c r="H96" s="208"/>
      <c r="I96" s="208"/>
      <c r="J96" s="208"/>
      <c r="K96" s="208"/>
      <c r="L96" s="208"/>
      <c r="M96" s="208">
        <f>900000+táj1!M96</f>
        <v>900000</v>
      </c>
      <c r="N96" s="208"/>
      <c r="O96" s="180">
        <f t="shared" si="9"/>
        <v>900000</v>
      </c>
    </row>
    <row r="97" spans="1:15" s="73" customFormat="1" ht="29.45" customHeight="1" x14ac:dyDescent="0.2">
      <c r="A97" s="81"/>
      <c r="B97" s="81"/>
      <c r="C97" s="439" t="s">
        <v>740</v>
      </c>
      <c r="D97" s="414">
        <v>132937</v>
      </c>
      <c r="E97" s="208"/>
      <c r="F97" s="208">
        <f>68205+táj1!F97</f>
        <v>68205</v>
      </c>
      <c r="G97" s="208"/>
      <c r="H97" s="208"/>
      <c r="I97" s="208"/>
      <c r="J97" s="208"/>
      <c r="K97" s="208"/>
      <c r="L97" s="208"/>
      <c r="M97" s="208">
        <f>1407+táj1!M97</f>
        <v>1407</v>
      </c>
      <c r="N97" s="208"/>
      <c r="O97" s="180">
        <f t="shared" si="9"/>
        <v>69612</v>
      </c>
    </row>
    <row r="98" spans="1:15" s="73" customFormat="1" ht="18" customHeight="1" x14ac:dyDescent="0.2">
      <c r="A98" s="81"/>
      <c r="B98" s="81"/>
      <c r="C98" s="439" t="s">
        <v>779</v>
      </c>
      <c r="D98" s="414">
        <v>163663</v>
      </c>
      <c r="E98" s="208"/>
      <c r="F98" s="208"/>
      <c r="G98" s="208"/>
      <c r="H98" s="208"/>
      <c r="I98" s="208"/>
      <c r="J98" s="208"/>
      <c r="K98" s="208"/>
      <c r="L98" s="208"/>
      <c r="M98" s="208">
        <f>3807+táj1!M98</f>
        <v>3807</v>
      </c>
      <c r="N98" s="208"/>
      <c r="O98" s="180">
        <f t="shared" si="9"/>
        <v>3807</v>
      </c>
    </row>
    <row r="99" spans="1:15" s="73" customFormat="1" ht="30" customHeight="1" x14ac:dyDescent="0.2">
      <c r="A99" s="81"/>
      <c r="B99" s="81"/>
      <c r="C99" s="424" t="s">
        <v>780</v>
      </c>
      <c r="D99" s="414">
        <v>163664</v>
      </c>
      <c r="E99" s="208"/>
      <c r="F99" s="208"/>
      <c r="G99" s="208"/>
      <c r="H99" s="208">
        <f>33091+táj1!H99</f>
        <v>33410</v>
      </c>
      <c r="I99" s="208"/>
      <c r="J99" s="208"/>
      <c r="K99" s="208"/>
      <c r="L99" s="208"/>
      <c r="M99" s="208">
        <f>408553+táj1!M99</f>
        <v>408553</v>
      </c>
      <c r="N99" s="208"/>
      <c r="O99" s="180">
        <f t="shared" si="9"/>
        <v>441963</v>
      </c>
    </row>
    <row r="100" spans="1:15" s="73" customFormat="1" ht="30" customHeight="1" x14ac:dyDescent="0.2">
      <c r="A100" s="692"/>
      <c r="B100" s="692"/>
      <c r="C100" s="697" t="s">
        <v>998</v>
      </c>
      <c r="D100" s="659">
        <v>162987</v>
      </c>
      <c r="E100" s="694"/>
      <c r="F100" s="694"/>
      <c r="G100" s="694"/>
      <c r="H100" s="208"/>
      <c r="I100" s="208"/>
      <c r="J100" s="208"/>
      <c r="K100" s="208">
        <f>500+táj1!K100</f>
        <v>500</v>
      </c>
      <c r="L100" s="694"/>
      <c r="M100" s="694"/>
      <c r="N100" s="694"/>
      <c r="O100" s="180">
        <f t="shared" si="9"/>
        <v>500</v>
      </c>
    </row>
    <row r="101" spans="1:15" s="73" customFormat="1" ht="15" customHeight="1" x14ac:dyDescent="0.2">
      <c r="A101" s="85"/>
      <c r="B101" s="85"/>
      <c r="C101" s="209" t="s">
        <v>220</v>
      </c>
      <c r="D101" s="85"/>
      <c r="E101" s="210">
        <f t="shared" ref="E101:O101" si="10">SUM(E62:E100)</f>
        <v>762666</v>
      </c>
      <c r="F101" s="210">
        <f t="shared" si="10"/>
        <v>4772311</v>
      </c>
      <c r="G101" s="210">
        <f t="shared" si="10"/>
        <v>0</v>
      </c>
      <c r="H101" s="210">
        <f t="shared" si="10"/>
        <v>2065695</v>
      </c>
      <c r="I101" s="210">
        <f t="shared" si="10"/>
        <v>0</v>
      </c>
      <c r="J101" s="210">
        <f t="shared" si="10"/>
        <v>0</v>
      </c>
      <c r="K101" s="210">
        <f t="shared" si="10"/>
        <v>500</v>
      </c>
      <c r="L101" s="210">
        <f t="shared" si="10"/>
        <v>0</v>
      </c>
      <c r="M101" s="210">
        <f t="shared" si="10"/>
        <v>4134483</v>
      </c>
      <c r="N101" s="210">
        <f t="shared" si="10"/>
        <v>4036710</v>
      </c>
      <c r="O101" s="210">
        <f t="shared" si="10"/>
        <v>15772365</v>
      </c>
    </row>
    <row r="102" spans="1:15" s="73" customFormat="1" ht="15" customHeight="1" x14ac:dyDescent="0.2">
      <c r="A102" s="81">
        <v>1</v>
      </c>
      <c r="B102" s="81">
        <v>17</v>
      </c>
      <c r="C102" s="211" t="s">
        <v>119</v>
      </c>
      <c r="D102" s="86"/>
      <c r="E102" s="180"/>
      <c r="F102" s="180"/>
      <c r="G102" s="180"/>
      <c r="H102" s="180"/>
      <c r="I102" s="180"/>
      <c r="J102" s="180"/>
      <c r="K102" s="180"/>
      <c r="L102" s="180"/>
      <c r="M102" s="180"/>
      <c r="N102" s="180"/>
      <c r="O102" s="180"/>
    </row>
    <row r="103" spans="1:15" s="73" customFormat="1" ht="27" customHeight="1" x14ac:dyDescent="0.2">
      <c r="A103" s="81"/>
      <c r="B103" s="81"/>
      <c r="C103" s="84" t="s">
        <v>215</v>
      </c>
      <c r="D103" s="212"/>
      <c r="E103" s="87"/>
      <c r="F103" s="180"/>
      <c r="G103" s="180"/>
      <c r="H103" s="180"/>
      <c r="I103" s="180"/>
      <c r="J103" s="180"/>
      <c r="K103" s="180"/>
      <c r="L103" s="180"/>
      <c r="M103" s="180"/>
      <c r="N103" s="180"/>
      <c r="O103" s="180"/>
    </row>
    <row r="104" spans="1:15" s="73" customFormat="1" ht="15" customHeight="1" x14ac:dyDescent="0.2">
      <c r="A104" s="81"/>
      <c r="B104" s="81"/>
      <c r="C104" s="88" t="s">
        <v>221</v>
      </c>
      <c r="D104" s="213">
        <v>171907</v>
      </c>
      <c r="E104" s="180"/>
      <c r="F104" s="180"/>
      <c r="G104" s="180"/>
      <c r="H104" s="180">
        <f>32694+táj1!H104</f>
        <v>32694</v>
      </c>
      <c r="I104" s="180">
        <f>147492+táj1!I104</f>
        <v>147492</v>
      </c>
      <c r="J104" s="180"/>
      <c r="K104" s="180"/>
      <c r="L104" s="180"/>
      <c r="M104" s="180"/>
      <c r="N104" s="180"/>
      <c r="O104" s="180">
        <f>SUM(E104:N104)</f>
        <v>180186</v>
      </c>
    </row>
    <row r="105" spans="1:15" s="73" customFormat="1" ht="27" customHeight="1" x14ac:dyDescent="0.2">
      <c r="A105" s="81"/>
      <c r="B105" s="81"/>
      <c r="C105" s="214" t="s">
        <v>723</v>
      </c>
      <c r="D105" s="213">
        <v>171923</v>
      </c>
      <c r="E105" s="180"/>
      <c r="F105" s="180"/>
      <c r="G105" s="180"/>
      <c r="H105" s="180"/>
      <c r="I105" s="180">
        <f>53000+táj1!I105</f>
        <v>53000</v>
      </c>
      <c r="J105" s="180"/>
      <c r="K105" s="180"/>
      <c r="L105" s="180"/>
      <c r="M105" s="180"/>
      <c r="N105" s="180"/>
      <c r="O105" s="180">
        <f>SUM(E105:N105)</f>
        <v>53000</v>
      </c>
    </row>
    <row r="106" spans="1:15" s="73" customFormat="1" ht="27" customHeight="1" x14ac:dyDescent="0.2">
      <c r="A106" s="692"/>
      <c r="B106" s="692"/>
      <c r="C106" s="757" t="s">
        <v>1086</v>
      </c>
      <c r="D106" s="669">
        <v>171972</v>
      </c>
      <c r="E106" s="656"/>
      <c r="F106" s="656"/>
      <c r="G106" s="656"/>
      <c r="H106" s="180">
        <f>10804+táj1!H106</f>
        <v>10804</v>
      </c>
      <c r="I106" s="180">
        <f>40016+táj1!I106</f>
        <v>40016</v>
      </c>
      <c r="J106" s="656"/>
      <c r="K106" s="656"/>
      <c r="L106" s="656"/>
      <c r="M106" s="656"/>
      <c r="N106" s="656"/>
      <c r="O106" s="180">
        <f>SUM(E106:N106)</f>
        <v>50820</v>
      </c>
    </row>
    <row r="107" spans="1:15" s="73" customFormat="1" ht="27.6" customHeight="1" x14ac:dyDescent="0.2">
      <c r="A107" s="81"/>
      <c r="B107" s="81"/>
      <c r="C107" s="214" t="s">
        <v>222</v>
      </c>
      <c r="D107" s="215"/>
      <c r="E107" s="180"/>
      <c r="F107" s="180"/>
      <c r="G107" s="180"/>
      <c r="H107" s="180"/>
      <c r="I107" s="180"/>
      <c r="J107" s="180"/>
      <c r="K107" s="180"/>
      <c r="L107" s="180"/>
      <c r="M107" s="180"/>
      <c r="N107" s="180"/>
      <c r="O107" s="180"/>
    </row>
    <row r="108" spans="1:15" s="73" customFormat="1" ht="14.1" customHeight="1" x14ac:dyDescent="0.2">
      <c r="A108" s="81"/>
      <c r="B108" s="81"/>
      <c r="C108" s="216" t="s">
        <v>223</v>
      </c>
      <c r="D108" s="217">
        <v>171980</v>
      </c>
      <c r="E108" s="180"/>
      <c r="F108" s="180"/>
      <c r="G108" s="180"/>
      <c r="H108" s="180">
        <f>67310+táj1!H108</f>
        <v>67310</v>
      </c>
      <c r="I108" s="269"/>
      <c r="J108" s="269"/>
      <c r="K108" s="269"/>
      <c r="L108" s="269"/>
      <c r="M108" s="269"/>
      <c r="N108" s="269"/>
      <c r="O108" s="180">
        <f>SUM(E108:N108)</f>
        <v>67310</v>
      </c>
    </row>
    <row r="109" spans="1:15" s="73" customFormat="1" ht="26.25" customHeight="1" x14ac:dyDescent="0.2">
      <c r="A109" s="89"/>
      <c r="B109" s="89"/>
      <c r="C109" s="84" t="s">
        <v>215</v>
      </c>
      <c r="D109" s="212"/>
      <c r="E109" s="180"/>
      <c r="F109" s="180"/>
      <c r="G109" s="180"/>
      <c r="H109" s="180"/>
      <c r="I109" s="269"/>
      <c r="J109" s="269"/>
      <c r="K109" s="269"/>
      <c r="L109" s="269"/>
      <c r="M109" s="269"/>
      <c r="N109" s="269"/>
      <c r="O109" s="180"/>
    </row>
    <row r="110" spans="1:15" s="73" customFormat="1" ht="29.25" customHeight="1" x14ac:dyDescent="0.2">
      <c r="A110" s="81"/>
      <c r="B110" s="81"/>
      <c r="C110" s="218" t="s">
        <v>224</v>
      </c>
      <c r="D110" s="213">
        <v>171905</v>
      </c>
      <c r="E110" s="180"/>
      <c r="F110" s="180"/>
      <c r="G110" s="180"/>
      <c r="H110" s="180">
        <f>134645+táj1!H110</f>
        <v>134645</v>
      </c>
      <c r="I110" s="269"/>
      <c r="J110" s="269"/>
      <c r="K110" s="269"/>
      <c r="L110" s="269"/>
      <c r="M110" s="269"/>
      <c r="N110" s="269"/>
      <c r="O110" s="180">
        <f t="shared" ref="O110:O124" si="11">SUM(E110:N110)</f>
        <v>134645</v>
      </c>
    </row>
    <row r="111" spans="1:15" s="73" customFormat="1" ht="14.1" customHeight="1" x14ac:dyDescent="0.2">
      <c r="A111" s="74"/>
      <c r="B111" s="74"/>
      <c r="C111" s="219" t="s">
        <v>225</v>
      </c>
      <c r="D111" s="213">
        <v>171909</v>
      </c>
      <c r="E111" s="180"/>
      <c r="F111" s="180"/>
      <c r="G111" s="180"/>
      <c r="H111" s="180">
        <f>19812+táj1!H111</f>
        <v>19812</v>
      </c>
      <c r="I111" s="269"/>
      <c r="J111" s="269"/>
      <c r="K111" s="269"/>
      <c r="L111" s="269"/>
      <c r="M111" s="269"/>
      <c r="N111" s="269"/>
      <c r="O111" s="180">
        <f t="shared" si="11"/>
        <v>19812</v>
      </c>
    </row>
    <row r="112" spans="1:15" s="73" customFormat="1" ht="14.1" customHeight="1" x14ac:dyDescent="0.2">
      <c r="A112" s="74"/>
      <c r="B112" s="74"/>
      <c r="C112" s="219" t="s">
        <v>226</v>
      </c>
      <c r="D112" s="213">
        <v>171904</v>
      </c>
      <c r="E112" s="180"/>
      <c r="F112" s="180"/>
      <c r="G112" s="180"/>
      <c r="H112" s="180">
        <f>2000+táj1!H112</f>
        <v>2000</v>
      </c>
      <c r="I112" s="269"/>
      <c r="J112" s="269"/>
      <c r="K112" s="269"/>
      <c r="L112" s="269"/>
      <c r="M112" s="269"/>
      <c r="N112" s="269"/>
      <c r="O112" s="180">
        <f t="shared" si="11"/>
        <v>2000</v>
      </c>
    </row>
    <row r="113" spans="1:15" s="73" customFormat="1" ht="14.1" customHeight="1" x14ac:dyDescent="0.2">
      <c r="A113" s="668"/>
      <c r="B113" s="668"/>
      <c r="C113" s="759" t="s">
        <v>1089</v>
      </c>
      <c r="D113" s="669">
        <v>172901</v>
      </c>
      <c r="E113" s="656"/>
      <c r="F113" s="656"/>
      <c r="G113" s="656"/>
      <c r="H113" s="180"/>
      <c r="I113" s="180">
        <f>67361+táj1!I113</f>
        <v>67361</v>
      </c>
      <c r="J113" s="657"/>
      <c r="K113" s="657"/>
      <c r="L113" s="657"/>
      <c r="M113" s="657"/>
      <c r="N113" s="657"/>
      <c r="O113" s="180">
        <f t="shared" si="11"/>
        <v>67361</v>
      </c>
    </row>
    <row r="114" spans="1:15" s="73" customFormat="1" ht="14.1" customHeight="1" x14ac:dyDescent="0.2">
      <c r="A114" s="74"/>
      <c r="B114" s="74"/>
      <c r="C114" s="219" t="s">
        <v>781</v>
      </c>
      <c r="D114" s="213">
        <v>172909</v>
      </c>
      <c r="E114" s="180"/>
      <c r="F114" s="180"/>
      <c r="G114" s="180"/>
      <c r="H114" s="180">
        <f>160492+táj1!H114</f>
        <v>160492</v>
      </c>
      <c r="I114" s="269"/>
      <c r="J114" s="269"/>
      <c r="K114" s="269"/>
      <c r="L114" s="269"/>
      <c r="M114" s="269"/>
      <c r="N114" s="269"/>
      <c r="O114" s="180">
        <f t="shared" si="11"/>
        <v>160492</v>
      </c>
    </row>
    <row r="115" spans="1:15" s="73" customFormat="1" ht="14.1" customHeight="1" x14ac:dyDescent="0.2">
      <c r="A115" s="772"/>
      <c r="B115" s="772"/>
      <c r="C115" s="807" t="s">
        <v>1127</v>
      </c>
      <c r="D115" s="802">
        <v>172920</v>
      </c>
      <c r="E115" s="796"/>
      <c r="F115" s="796"/>
      <c r="G115" s="796"/>
      <c r="H115" s="796">
        <f>3900+táj1!H115</f>
        <v>3900</v>
      </c>
      <c r="I115" s="797"/>
      <c r="J115" s="797"/>
      <c r="K115" s="797"/>
      <c r="L115" s="797"/>
      <c r="M115" s="797"/>
      <c r="N115" s="797"/>
      <c r="O115" s="180">
        <f t="shared" si="11"/>
        <v>3900</v>
      </c>
    </row>
    <row r="116" spans="1:15" s="73" customFormat="1" ht="14.1" customHeight="1" x14ac:dyDescent="0.2">
      <c r="A116" s="772"/>
      <c r="B116" s="772"/>
      <c r="C116" s="807" t="s">
        <v>1128</v>
      </c>
      <c r="D116" s="802">
        <v>172921</v>
      </c>
      <c r="E116" s="796"/>
      <c r="F116" s="796"/>
      <c r="G116" s="796"/>
      <c r="H116" s="796"/>
      <c r="I116" s="796">
        <f>22498+táj1!I116</f>
        <v>22498</v>
      </c>
      <c r="J116" s="797"/>
      <c r="K116" s="797"/>
      <c r="L116" s="797"/>
      <c r="M116" s="797"/>
      <c r="N116" s="797"/>
      <c r="O116" s="180">
        <f t="shared" si="11"/>
        <v>22498</v>
      </c>
    </row>
    <row r="117" spans="1:15" s="73" customFormat="1" ht="14.1" customHeight="1" x14ac:dyDescent="0.2">
      <c r="A117" s="74"/>
      <c r="B117" s="74"/>
      <c r="C117" s="219" t="s">
        <v>227</v>
      </c>
      <c r="D117" s="213">
        <v>131857</v>
      </c>
      <c r="E117" s="180"/>
      <c r="F117" s="180"/>
      <c r="G117" s="180"/>
      <c r="H117" s="180">
        <f>15240+táj1!H117</f>
        <v>15240</v>
      </c>
      <c r="I117" s="269"/>
      <c r="J117" s="269"/>
      <c r="K117" s="269"/>
      <c r="L117" s="269"/>
      <c r="M117" s="269"/>
      <c r="N117" s="269"/>
      <c r="O117" s="180">
        <f t="shared" si="11"/>
        <v>15240</v>
      </c>
    </row>
    <row r="118" spans="1:15" s="73" customFormat="1" ht="14.1" customHeight="1" x14ac:dyDescent="0.2">
      <c r="A118" s="74"/>
      <c r="B118" s="74"/>
      <c r="C118" s="219" t="s">
        <v>228</v>
      </c>
      <c r="D118" s="213">
        <v>172922</v>
      </c>
      <c r="E118" s="180"/>
      <c r="F118" s="180"/>
      <c r="G118" s="180"/>
      <c r="H118" s="180">
        <f>57512+táj1!H118</f>
        <v>57512</v>
      </c>
      <c r="I118" s="269"/>
      <c r="J118" s="269"/>
      <c r="K118" s="269"/>
      <c r="L118" s="269"/>
      <c r="M118" s="269"/>
      <c r="N118" s="269"/>
      <c r="O118" s="180">
        <f t="shared" si="11"/>
        <v>57512</v>
      </c>
    </row>
    <row r="119" spans="1:15" s="73" customFormat="1" ht="14.1" customHeight="1" x14ac:dyDescent="0.2">
      <c r="A119" s="74"/>
      <c r="B119" s="74"/>
      <c r="C119" s="219" t="s">
        <v>717</v>
      </c>
      <c r="D119" s="213">
        <v>171977</v>
      </c>
      <c r="E119" s="180"/>
      <c r="F119" s="180"/>
      <c r="G119" s="180"/>
      <c r="H119" s="180">
        <f>63551+táj1!H119</f>
        <v>63551</v>
      </c>
      <c r="I119" s="269"/>
      <c r="J119" s="269"/>
      <c r="K119" s="269"/>
      <c r="L119" s="269"/>
      <c r="M119" s="269"/>
      <c r="N119" s="269"/>
      <c r="O119" s="180">
        <f t="shared" si="11"/>
        <v>63551</v>
      </c>
    </row>
    <row r="120" spans="1:15" s="73" customFormat="1" ht="14.1" customHeight="1" x14ac:dyDescent="0.2">
      <c r="A120" s="74"/>
      <c r="B120" s="74"/>
      <c r="C120" s="219" t="s">
        <v>702</v>
      </c>
      <c r="D120" s="213">
        <v>171978</v>
      </c>
      <c r="E120" s="180"/>
      <c r="F120" s="180"/>
      <c r="G120" s="180"/>
      <c r="H120" s="180">
        <f>30857+táj1!H120</f>
        <v>30857</v>
      </c>
      <c r="I120" s="269"/>
      <c r="J120" s="269"/>
      <c r="K120" s="269"/>
      <c r="L120" s="269"/>
      <c r="M120" s="269"/>
      <c r="N120" s="269"/>
      <c r="O120" s="180">
        <f t="shared" si="11"/>
        <v>30857</v>
      </c>
    </row>
    <row r="121" spans="1:15" s="73" customFormat="1" ht="15.6" customHeight="1" x14ac:dyDescent="0.2">
      <c r="A121" s="74"/>
      <c r="B121" s="74"/>
      <c r="C121" s="220" t="s">
        <v>729</v>
      </c>
      <c r="D121" s="213">
        <v>171979</v>
      </c>
      <c r="E121" s="180"/>
      <c r="F121" s="180"/>
      <c r="G121" s="180"/>
      <c r="H121" s="180">
        <f>10668+táj1!H121</f>
        <v>10668</v>
      </c>
      <c r="I121" s="269"/>
      <c r="J121" s="269"/>
      <c r="K121" s="269"/>
      <c r="L121" s="269"/>
      <c r="M121" s="269"/>
      <c r="N121" s="269"/>
      <c r="O121" s="180">
        <f t="shared" si="11"/>
        <v>10668</v>
      </c>
    </row>
    <row r="122" spans="1:15" s="73" customFormat="1" ht="14.1" customHeight="1" x14ac:dyDescent="0.2">
      <c r="A122" s="74"/>
      <c r="B122" s="74"/>
      <c r="C122" s="219" t="s">
        <v>1129</v>
      </c>
      <c r="D122" s="213">
        <v>171982</v>
      </c>
      <c r="E122" s="180"/>
      <c r="F122" s="180"/>
      <c r="G122" s="180"/>
      <c r="H122" s="180">
        <f>20389+táj1!H122</f>
        <v>20389</v>
      </c>
      <c r="I122" s="269"/>
      <c r="J122" s="269"/>
      <c r="K122" s="269"/>
      <c r="L122" s="269"/>
      <c r="M122" s="269"/>
      <c r="N122" s="269"/>
      <c r="O122" s="180">
        <f t="shared" si="11"/>
        <v>20389</v>
      </c>
    </row>
    <row r="123" spans="1:15" s="73" customFormat="1" ht="24.75" customHeight="1" x14ac:dyDescent="0.2">
      <c r="A123" s="668"/>
      <c r="B123" s="668"/>
      <c r="C123" s="697" t="s">
        <v>549</v>
      </c>
      <c r="D123" s="669">
        <v>171902</v>
      </c>
      <c r="E123" s="656"/>
      <c r="F123" s="656"/>
      <c r="G123" s="656"/>
      <c r="H123" s="180">
        <f>590+táj1!H123</f>
        <v>590</v>
      </c>
      <c r="I123" s="657"/>
      <c r="J123" s="657"/>
      <c r="K123" s="657"/>
      <c r="L123" s="657"/>
      <c r="M123" s="657"/>
      <c r="N123" s="657"/>
      <c r="O123" s="180">
        <f t="shared" si="11"/>
        <v>590</v>
      </c>
    </row>
    <row r="124" spans="1:15" s="73" customFormat="1" ht="27" customHeight="1" x14ac:dyDescent="0.2">
      <c r="A124" s="668"/>
      <c r="B124" s="668"/>
      <c r="C124" s="728" t="s">
        <v>999</v>
      </c>
      <c r="D124" s="669">
        <v>171986</v>
      </c>
      <c r="E124" s="656"/>
      <c r="F124" s="656"/>
      <c r="G124" s="656"/>
      <c r="H124" s="180">
        <f>643049+táj1!H124</f>
        <v>643049</v>
      </c>
      <c r="I124" s="180">
        <f>43000+táj1!I124</f>
        <v>43000</v>
      </c>
      <c r="J124" s="657"/>
      <c r="K124" s="657"/>
      <c r="L124" s="657"/>
      <c r="M124" s="657"/>
      <c r="N124" s="657"/>
      <c r="O124" s="180">
        <f t="shared" si="11"/>
        <v>686049</v>
      </c>
    </row>
    <row r="125" spans="1:15" s="73" customFormat="1" ht="24.95" customHeight="1" x14ac:dyDescent="0.2">
      <c r="A125" s="74"/>
      <c r="B125" s="74"/>
      <c r="C125" s="220" t="s">
        <v>229</v>
      </c>
      <c r="D125" s="215"/>
      <c r="E125" s="180"/>
      <c r="F125" s="180"/>
      <c r="G125" s="180"/>
      <c r="H125" s="180"/>
      <c r="I125" s="269"/>
      <c r="J125" s="269"/>
      <c r="K125" s="269"/>
      <c r="L125" s="269"/>
      <c r="M125" s="269"/>
      <c r="N125" s="269"/>
      <c r="O125" s="180"/>
    </row>
    <row r="126" spans="1:15" s="73" customFormat="1" ht="15" customHeight="1" x14ac:dyDescent="0.2">
      <c r="A126" s="74"/>
      <c r="B126" s="74"/>
      <c r="C126" s="88" t="s">
        <v>230</v>
      </c>
      <c r="D126" s="213">
        <v>171901</v>
      </c>
      <c r="E126" s="180"/>
      <c r="F126" s="180"/>
      <c r="G126" s="180"/>
      <c r="H126" s="180">
        <f>21336+táj1!H126</f>
        <v>21336</v>
      </c>
      <c r="I126" s="269"/>
      <c r="J126" s="269"/>
      <c r="K126" s="269"/>
      <c r="L126" s="269"/>
      <c r="M126" s="269"/>
      <c r="N126" s="269"/>
      <c r="O126" s="180">
        <f>SUM(E126:N126)</f>
        <v>21336</v>
      </c>
    </row>
    <row r="127" spans="1:15" s="73" customFormat="1" ht="24.95" customHeight="1" x14ac:dyDescent="0.2">
      <c r="A127" s="81"/>
      <c r="B127" s="81"/>
      <c r="C127" s="221" t="s">
        <v>231</v>
      </c>
      <c r="D127" s="222"/>
      <c r="E127" s="180"/>
      <c r="F127" s="180"/>
      <c r="G127" s="180"/>
      <c r="H127" s="180"/>
      <c r="I127" s="269"/>
      <c r="J127" s="269"/>
      <c r="K127" s="269"/>
      <c r="L127" s="269"/>
      <c r="M127" s="269"/>
      <c r="N127" s="269"/>
      <c r="O127" s="180"/>
    </row>
    <row r="128" spans="1:15" s="73" customFormat="1" ht="22.15" customHeight="1" x14ac:dyDescent="0.2">
      <c r="A128" s="81"/>
      <c r="B128" s="81"/>
      <c r="C128" s="220" t="s">
        <v>782</v>
      </c>
      <c r="D128" s="223">
        <v>171908</v>
      </c>
      <c r="E128" s="180"/>
      <c r="F128" s="180"/>
      <c r="G128" s="180"/>
      <c r="H128" s="180">
        <f>167405+táj1!H128</f>
        <v>167405</v>
      </c>
      <c r="I128" s="269"/>
      <c r="J128" s="269"/>
      <c r="K128" s="269"/>
      <c r="L128" s="269"/>
      <c r="M128" s="269"/>
      <c r="N128" s="269"/>
      <c r="O128" s="180">
        <f>SUM(E128:N128)</f>
        <v>167405</v>
      </c>
    </row>
    <row r="129" spans="1:15" s="73" customFormat="1" ht="22.15" customHeight="1" x14ac:dyDescent="0.2">
      <c r="A129" s="692"/>
      <c r="B129" s="692"/>
      <c r="C129" s="670" t="s">
        <v>1000</v>
      </c>
      <c r="D129" s="692">
        <v>171912</v>
      </c>
      <c r="E129" s="656"/>
      <c r="F129" s="656"/>
      <c r="G129" s="656"/>
      <c r="H129" s="180">
        <f>250000+táj1!H129</f>
        <v>250000</v>
      </c>
      <c r="I129" s="657"/>
      <c r="J129" s="657"/>
      <c r="K129" s="657"/>
      <c r="L129" s="657"/>
      <c r="M129" s="657"/>
      <c r="N129" s="657"/>
      <c r="O129" s="180">
        <f>SUM(E129:N129)</f>
        <v>250000</v>
      </c>
    </row>
    <row r="130" spans="1:15" s="73" customFormat="1" ht="15.75" customHeight="1" x14ac:dyDescent="0.2">
      <c r="A130" s="81"/>
      <c r="B130" s="81"/>
      <c r="C130" s="293" t="s">
        <v>232</v>
      </c>
      <c r="D130" s="217"/>
      <c r="E130" s="180"/>
      <c r="F130" s="180"/>
      <c r="G130" s="180"/>
      <c r="H130" s="180"/>
      <c r="I130" s="269"/>
      <c r="J130" s="269"/>
      <c r="K130" s="269"/>
      <c r="L130" s="269"/>
      <c r="M130" s="269"/>
      <c r="N130" s="269"/>
      <c r="O130" s="180"/>
    </row>
    <row r="131" spans="1:15" s="73" customFormat="1" ht="15.75" customHeight="1" x14ac:dyDescent="0.2">
      <c r="A131" s="81"/>
      <c r="B131" s="81"/>
      <c r="C131" s="84" t="s">
        <v>233</v>
      </c>
      <c r="D131" s="212"/>
      <c r="E131" s="180"/>
      <c r="F131" s="180"/>
      <c r="G131" s="180"/>
      <c r="H131" s="180"/>
      <c r="I131" s="269"/>
      <c r="J131" s="269"/>
      <c r="K131" s="269"/>
      <c r="L131" s="269"/>
      <c r="M131" s="269"/>
      <c r="N131" s="269"/>
      <c r="O131" s="180"/>
    </row>
    <row r="132" spans="1:15" s="73" customFormat="1" ht="24.95" customHeight="1" x14ac:dyDescent="0.2">
      <c r="A132" s="81"/>
      <c r="B132" s="81"/>
      <c r="C132" s="214" t="s">
        <v>698</v>
      </c>
      <c r="D132" s="223">
        <v>121401</v>
      </c>
      <c r="E132" s="180"/>
      <c r="F132" s="180"/>
      <c r="G132" s="180"/>
      <c r="H132" s="180"/>
      <c r="I132" s="180"/>
      <c r="J132" s="180"/>
      <c r="K132" s="180">
        <f>2000+táj1!K132</f>
        <v>2000</v>
      </c>
      <c r="L132" s="269"/>
      <c r="M132" s="269"/>
      <c r="N132" s="269"/>
      <c r="O132" s="180">
        <f>SUM(E132:N132)</f>
        <v>2000</v>
      </c>
    </row>
    <row r="133" spans="1:15" s="73" customFormat="1" ht="24.6" customHeight="1" x14ac:dyDescent="0.2">
      <c r="A133" s="81"/>
      <c r="B133" s="81"/>
      <c r="C133" s="214" t="s">
        <v>638</v>
      </c>
      <c r="D133" s="215"/>
      <c r="E133" s="180"/>
      <c r="F133" s="180"/>
      <c r="G133" s="180"/>
      <c r="H133" s="269"/>
      <c r="I133" s="269"/>
      <c r="J133" s="269"/>
      <c r="K133" s="180"/>
      <c r="L133" s="269"/>
      <c r="M133" s="269"/>
      <c r="N133" s="269"/>
      <c r="O133" s="180"/>
    </row>
    <row r="134" spans="1:15" s="73" customFormat="1" ht="16.5" customHeight="1" x14ac:dyDescent="0.2">
      <c r="A134" s="81"/>
      <c r="B134" s="81"/>
      <c r="C134" s="220" t="s">
        <v>234</v>
      </c>
      <c r="D134" s="223">
        <v>176902</v>
      </c>
      <c r="E134" s="180"/>
      <c r="F134" s="180"/>
      <c r="G134" s="180"/>
      <c r="H134" s="269"/>
      <c r="I134" s="269"/>
      <c r="J134" s="269"/>
      <c r="K134" s="180"/>
      <c r="L134" s="180"/>
      <c r="M134" s="180">
        <f>7820+táj1!M134</f>
        <v>7820</v>
      </c>
      <c r="N134" s="180">
        <f>52803+táj1!N134</f>
        <v>52803</v>
      </c>
      <c r="O134" s="180">
        <f>SUM(E134:N134)</f>
        <v>60623</v>
      </c>
    </row>
    <row r="135" spans="1:15" s="73" customFormat="1" ht="12.6" customHeight="1" x14ac:dyDescent="0.2">
      <c r="A135" s="85"/>
      <c r="B135" s="85"/>
      <c r="C135" s="209" t="s">
        <v>235</v>
      </c>
      <c r="D135" s="85"/>
      <c r="E135" s="210">
        <f t="shared" ref="E135:O135" si="12">SUM(E102:E134)</f>
        <v>0</v>
      </c>
      <c r="F135" s="210">
        <f t="shared" si="12"/>
        <v>0</v>
      </c>
      <c r="G135" s="210">
        <f t="shared" si="12"/>
        <v>0</v>
      </c>
      <c r="H135" s="210">
        <f t="shared" si="12"/>
        <v>1712254</v>
      </c>
      <c r="I135" s="210">
        <f t="shared" si="12"/>
        <v>373367</v>
      </c>
      <c r="J135" s="210">
        <f t="shared" si="12"/>
        <v>0</v>
      </c>
      <c r="K135" s="210">
        <f t="shared" si="12"/>
        <v>2000</v>
      </c>
      <c r="L135" s="210">
        <f t="shared" si="12"/>
        <v>0</v>
      </c>
      <c r="M135" s="210">
        <f t="shared" si="12"/>
        <v>7820</v>
      </c>
      <c r="N135" s="210">
        <f t="shared" si="12"/>
        <v>52803</v>
      </c>
      <c r="O135" s="210">
        <f t="shared" si="12"/>
        <v>2148244</v>
      </c>
    </row>
    <row r="136" spans="1:15" s="73" customFormat="1" ht="12.6" customHeight="1" x14ac:dyDescent="0.2">
      <c r="A136" s="86">
        <v>1</v>
      </c>
      <c r="B136" s="86">
        <v>18</v>
      </c>
      <c r="C136" s="214" t="s">
        <v>236</v>
      </c>
      <c r="D136" s="215"/>
      <c r="E136" s="224"/>
      <c r="F136" s="224"/>
      <c r="G136" s="224"/>
      <c r="H136" s="224"/>
      <c r="I136" s="224"/>
      <c r="J136" s="224"/>
      <c r="K136" s="224"/>
      <c r="L136" s="224"/>
      <c r="M136" s="224"/>
      <c r="N136" s="224"/>
      <c r="O136" s="224"/>
    </row>
    <row r="137" spans="1:15" s="73" customFormat="1" ht="24.95" customHeight="1" x14ac:dyDescent="0.2">
      <c r="A137" s="81"/>
      <c r="B137" s="81"/>
      <c r="C137" s="84" t="s">
        <v>215</v>
      </c>
      <c r="D137" s="212"/>
      <c r="E137" s="208"/>
      <c r="F137" s="208"/>
      <c r="G137" s="208"/>
      <c r="H137" s="180"/>
      <c r="I137" s="180"/>
      <c r="J137" s="180"/>
      <c r="K137" s="180"/>
      <c r="L137" s="180"/>
      <c r="M137" s="180"/>
      <c r="N137" s="180"/>
      <c r="O137" s="180"/>
    </row>
    <row r="138" spans="1:15" s="73" customFormat="1" ht="24.95" customHeight="1" x14ac:dyDescent="0.2">
      <c r="A138" s="81"/>
      <c r="B138" s="81"/>
      <c r="C138" s="84" t="s">
        <v>237</v>
      </c>
      <c r="D138" s="212" t="s">
        <v>238</v>
      </c>
      <c r="E138" s="208"/>
      <c r="F138" s="208"/>
      <c r="G138" s="208"/>
      <c r="H138" s="208">
        <f>43460+táj1!H138</f>
        <v>46200</v>
      </c>
      <c r="I138" s="271"/>
      <c r="J138" s="208"/>
      <c r="K138" s="208"/>
      <c r="L138" s="208"/>
      <c r="M138" s="208"/>
      <c r="N138" s="208"/>
      <c r="O138" s="180">
        <f t="shared" ref="O138:O142" si="13">SUM(E138:N138)</f>
        <v>46200</v>
      </c>
    </row>
    <row r="139" spans="1:15" s="73" customFormat="1" ht="12.6" customHeight="1" x14ac:dyDescent="0.2">
      <c r="A139" s="81"/>
      <c r="B139" s="81"/>
      <c r="C139" s="214" t="s">
        <v>239</v>
      </c>
      <c r="D139" s="223">
        <v>181905</v>
      </c>
      <c r="E139" s="208"/>
      <c r="F139" s="208"/>
      <c r="G139" s="208">
        <f>30700+táj1!G139</f>
        <v>30700</v>
      </c>
      <c r="H139" s="208"/>
      <c r="I139" s="271"/>
      <c r="J139" s="208"/>
      <c r="K139" s="208"/>
      <c r="L139" s="208"/>
      <c r="M139" s="208"/>
      <c r="N139" s="208"/>
      <c r="O139" s="180">
        <f t="shared" si="13"/>
        <v>30700</v>
      </c>
    </row>
    <row r="140" spans="1:15" s="73" customFormat="1" ht="15" customHeight="1" x14ac:dyDescent="0.2">
      <c r="A140" s="81"/>
      <c r="B140" s="81"/>
      <c r="C140" s="84" t="s">
        <v>240</v>
      </c>
      <c r="D140" s="212">
        <v>181903</v>
      </c>
      <c r="E140" s="208"/>
      <c r="F140" s="208"/>
      <c r="G140" s="208">
        <f>200+táj1!G140</f>
        <v>608</v>
      </c>
      <c r="H140" s="208"/>
      <c r="I140" s="271"/>
      <c r="J140" s="208"/>
      <c r="K140" s="208"/>
      <c r="L140" s="208"/>
      <c r="M140" s="208"/>
      <c r="N140" s="208"/>
      <c r="O140" s="180">
        <f t="shared" si="13"/>
        <v>608</v>
      </c>
    </row>
    <row r="141" spans="1:15" s="73" customFormat="1" ht="24" customHeight="1" x14ac:dyDescent="0.2">
      <c r="A141" s="81"/>
      <c r="B141" s="81"/>
      <c r="C141" s="84" t="s">
        <v>241</v>
      </c>
      <c r="D141" s="212">
        <v>181904</v>
      </c>
      <c r="E141" s="208"/>
      <c r="F141" s="208"/>
      <c r="G141" s="208"/>
      <c r="H141" s="208">
        <f>400+táj1!H141</f>
        <v>1017</v>
      </c>
      <c r="I141" s="271"/>
      <c r="J141" s="208"/>
      <c r="K141" s="208"/>
      <c r="L141" s="208"/>
      <c r="M141" s="208"/>
      <c r="N141" s="208"/>
      <c r="O141" s="180">
        <f t="shared" si="13"/>
        <v>1017</v>
      </c>
    </row>
    <row r="142" spans="1:15" s="73" customFormat="1" ht="15" customHeight="1" x14ac:dyDescent="0.2">
      <c r="A142" s="81" t="s">
        <v>82</v>
      </c>
      <c r="B142" s="81"/>
      <c r="C142" s="214" t="s">
        <v>242</v>
      </c>
      <c r="D142" s="223">
        <v>181902</v>
      </c>
      <c r="E142" s="208"/>
      <c r="F142" s="208"/>
      <c r="G142" s="208">
        <f>65000+táj1!G142</f>
        <v>65000</v>
      </c>
      <c r="H142" s="208"/>
      <c r="I142" s="271"/>
      <c r="J142" s="208"/>
      <c r="K142" s="208"/>
      <c r="L142" s="208"/>
      <c r="M142" s="208"/>
      <c r="N142" s="208"/>
      <c r="O142" s="180">
        <f t="shared" si="13"/>
        <v>65000</v>
      </c>
    </row>
    <row r="143" spans="1:15" s="73" customFormat="1" ht="14.25" customHeight="1" x14ac:dyDescent="0.2">
      <c r="A143" s="85"/>
      <c r="B143" s="85"/>
      <c r="C143" s="209" t="s">
        <v>243</v>
      </c>
      <c r="D143" s="85"/>
      <c r="E143" s="225">
        <f t="shared" ref="E143:O143" si="14">SUM(E138:E142)</f>
        <v>0</v>
      </c>
      <c r="F143" s="225">
        <f t="shared" si="14"/>
        <v>0</v>
      </c>
      <c r="G143" s="225">
        <f t="shared" si="14"/>
        <v>96308</v>
      </c>
      <c r="H143" s="225">
        <f t="shared" si="14"/>
        <v>47217</v>
      </c>
      <c r="I143" s="225">
        <f t="shared" si="14"/>
        <v>0</v>
      </c>
      <c r="J143" s="225">
        <f t="shared" si="14"/>
        <v>0</v>
      </c>
      <c r="K143" s="225">
        <f t="shared" si="14"/>
        <v>0</v>
      </c>
      <c r="L143" s="225">
        <f t="shared" si="14"/>
        <v>0</v>
      </c>
      <c r="M143" s="225">
        <f t="shared" si="14"/>
        <v>0</v>
      </c>
      <c r="N143" s="225">
        <f t="shared" si="14"/>
        <v>0</v>
      </c>
      <c r="O143" s="225">
        <f t="shared" si="14"/>
        <v>143525</v>
      </c>
    </row>
    <row r="144" spans="1:15" s="73" customFormat="1" ht="12.6" customHeight="1" x14ac:dyDescent="0.2">
      <c r="A144" s="81">
        <v>1</v>
      </c>
      <c r="B144" s="81">
        <v>19</v>
      </c>
      <c r="C144" s="211" t="s">
        <v>81</v>
      </c>
      <c r="D144" s="86"/>
      <c r="E144" s="180"/>
      <c r="F144" s="180"/>
      <c r="G144" s="180"/>
      <c r="H144" s="180"/>
      <c r="I144" s="180"/>
      <c r="J144" s="180"/>
      <c r="K144" s="180"/>
      <c r="L144" s="180"/>
      <c r="M144" s="180"/>
      <c r="N144" s="180"/>
      <c r="O144" s="180"/>
    </row>
    <row r="145" spans="1:15" s="73" customFormat="1" ht="26.25" customHeight="1" x14ac:dyDescent="0.2">
      <c r="A145" s="81"/>
      <c r="B145" s="81"/>
      <c r="C145" s="292" t="s">
        <v>244</v>
      </c>
      <c r="D145" s="222"/>
      <c r="E145" s="180"/>
      <c r="F145" s="180"/>
      <c r="G145" s="180"/>
      <c r="H145" s="180"/>
      <c r="I145" s="180"/>
      <c r="J145" s="180"/>
      <c r="K145" s="180"/>
      <c r="L145" s="180"/>
      <c r="M145" s="180"/>
      <c r="N145" s="180"/>
      <c r="O145" s="180"/>
    </row>
    <row r="146" spans="1:15" s="73" customFormat="1" ht="15.6" customHeight="1" x14ac:dyDescent="0.2">
      <c r="A146" s="81"/>
      <c r="B146" s="81"/>
      <c r="C146" s="88" t="s">
        <v>783</v>
      </c>
      <c r="D146" s="213">
        <v>196919</v>
      </c>
      <c r="E146" s="208"/>
      <c r="F146" s="208"/>
      <c r="G146" s="208"/>
      <c r="H146" s="208">
        <f>101000+táj1!H146</f>
        <v>101000</v>
      </c>
      <c r="I146" s="208"/>
      <c r="J146" s="208"/>
      <c r="K146" s="208"/>
      <c r="L146" s="208"/>
      <c r="M146" s="208"/>
      <c r="N146" s="208">
        <f>5000000+táj1!N146</f>
        <v>5000000</v>
      </c>
      <c r="O146" s="180">
        <f>SUM(H146:N146)</f>
        <v>5101000</v>
      </c>
    </row>
    <row r="147" spans="1:15" s="73" customFormat="1" ht="24.95" customHeight="1" x14ac:dyDescent="0.2">
      <c r="A147" s="81"/>
      <c r="B147" s="81"/>
      <c r="C147" s="214" t="s">
        <v>190</v>
      </c>
      <c r="D147" s="215"/>
      <c r="E147" s="208"/>
      <c r="F147" s="208"/>
      <c r="G147" s="208"/>
      <c r="H147" s="208"/>
      <c r="I147" s="208"/>
      <c r="J147" s="208"/>
      <c r="K147" s="208"/>
      <c r="L147" s="208"/>
      <c r="M147" s="208"/>
      <c r="N147" s="208"/>
      <c r="O147" s="180"/>
    </row>
    <row r="148" spans="1:15" s="73" customFormat="1" ht="25.5" x14ac:dyDescent="0.2">
      <c r="A148" s="81" t="s">
        <v>82</v>
      </c>
      <c r="B148" s="81"/>
      <c r="C148" s="214" t="s">
        <v>245</v>
      </c>
      <c r="D148" s="213">
        <v>191102</v>
      </c>
      <c r="E148" s="208"/>
      <c r="F148" s="208"/>
      <c r="G148" s="208"/>
      <c r="H148" s="208">
        <f>5447+táj1!H148</f>
        <v>8447</v>
      </c>
      <c r="I148" s="208"/>
      <c r="J148" s="208"/>
      <c r="K148" s="208"/>
      <c r="L148" s="208"/>
      <c r="M148" s="208"/>
      <c r="N148" s="208"/>
      <c r="O148" s="180">
        <f t="shared" ref="O148:O151" si="15">SUM(E148:N148)</f>
        <v>8447</v>
      </c>
    </row>
    <row r="149" spans="1:15" s="73" customFormat="1" ht="17.25" customHeight="1" x14ac:dyDescent="0.2">
      <c r="A149" s="81"/>
      <c r="B149" s="81"/>
      <c r="C149" s="88" t="s">
        <v>246</v>
      </c>
      <c r="D149" s="213">
        <v>191103</v>
      </c>
      <c r="E149" s="208"/>
      <c r="F149" s="208"/>
      <c r="G149" s="208"/>
      <c r="H149" s="208">
        <f>126817+táj1!H149</f>
        <v>148349</v>
      </c>
      <c r="I149" s="208"/>
      <c r="J149" s="208"/>
      <c r="K149" s="208"/>
      <c r="L149" s="208"/>
      <c r="M149" s="208"/>
      <c r="N149" s="208"/>
      <c r="O149" s="180">
        <f t="shared" si="15"/>
        <v>148349</v>
      </c>
    </row>
    <row r="150" spans="1:15" s="73" customFormat="1" ht="25.5" x14ac:dyDescent="0.2">
      <c r="A150" s="81"/>
      <c r="B150" s="81"/>
      <c r="C150" s="214" t="s">
        <v>863</v>
      </c>
      <c r="D150" s="223">
        <v>191196</v>
      </c>
      <c r="E150" s="208"/>
      <c r="F150" s="208"/>
      <c r="G150" s="208"/>
      <c r="H150" s="208"/>
      <c r="I150" s="208"/>
      <c r="J150" s="208"/>
      <c r="K150" s="208"/>
      <c r="L150" s="208"/>
      <c r="M150" s="208">
        <f>1461662+táj1!M150</f>
        <v>1461662</v>
      </c>
      <c r="N150" s="208">
        <f>1800000+táj1!N150</f>
        <v>1800000</v>
      </c>
      <c r="O150" s="180">
        <f t="shared" si="15"/>
        <v>3261662</v>
      </c>
    </row>
    <row r="151" spans="1:15" s="73" customFormat="1" ht="25.5" x14ac:dyDescent="0.2">
      <c r="A151" s="340"/>
      <c r="B151" s="340"/>
      <c r="C151" s="350" t="s">
        <v>864</v>
      </c>
      <c r="D151" s="345">
        <v>322909</v>
      </c>
      <c r="E151" s="338"/>
      <c r="F151" s="338"/>
      <c r="G151" s="338"/>
      <c r="H151" s="208"/>
      <c r="I151" s="338"/>
      <c r="J151" s="338"/>
      <c r="K151" s="338"/>
      <c r="L151" s="338"/>
      <c r="M151" s="208">
        <f>821306+táj1!M151</f>
        <v>821306</v>
      </c>
      <c r="N151" s="208"/>
      <c r="O151" s="180">
        <f t="shared" si="15"/>
        <v>821306</v>
      </c>
    </row>
    <row r="152" spans="1:15" s="73" customFormat="1" ht="24.95" customHeight="1" x14ac:dyDescent="0.2">
      <c r="A152" s="81"/>
      <c r="B152" s="81"/>
      <c r="C152" s="214" t="s">
        <v>247</v>
      </c>
      <c r="D152" s="215"/>
      <c r="E152" s="208"/>
      <c r="F152" s="208"/>
      <c r="G152" s="208"/>
      <c r="H152" s="208"/>
      <c r="I152" s="208"/>
      <c r="J152" s="208"/>
      <c r="K152" s="208"/>
      <c r="L152" s="208"/>
      <c r="M152" s="208"/>
      <c r="N152" s="208"/>
      <c r="O152" s="180"/>
    </row>
    <row r="153" spans="1:15" s="73" customFormat="1" ht="38.25" x14ac:dyDescent="0.2">
      <c r="A153" s="81"/>
      <c r="B153" s="81"/>
      <c r="C153" s="84" t="s">
        <v>642</v>
      </c>
      <c r="D153" s="212">
        <v>191901</v>
      </c>
      <c r="E153" s="208">
        <f>6983893+táj1!E153</f>
        <v>7025688</v>
      </c>
      <c r="F153" s="208"/>
      <c r="G153" s="208"/>
      <c r="H153" s="208"/>
      <c r="I153" s="208"/>
      <c r="J153" s="208"/>
      <c r="K153" s="208"/>
      <c r="L153" s="208"/>
      <c r="M153" s="208"/>
      <c r="N153" s="208"/>
      <c r="O153" s="180">
        <f t="shared" ref="O153:O159" si="16">SUM(E153:N153)</f>
        <v>7025688</v>
      </c>
    </row>
    <row r="154" spans="1:15" s="73" customFormat="1" ht="28.9" customHeight="1" x14ac:dyDescent="0.2">
      <c r="A154" s="692"/>
      <c r="B154" s="692"/>
      <c r="C154" s="697" t="s">
        <v>1001</v>
      </c>
      <c r="D154" s="212">
        <v>191901</v>
      </c>
      <c r="E154" s="208"/>
      <c r="F154" s="208">
        <f>26899+táj1!F154</f>
        <v>26899</v>
      </c>
      <c r="G154" s="694"/>
      <c r="H154" s="694"/>
      <c r="I154" s="694"/>
      <c r="J154" s="694"/>
      <c r="K154" s="694"/>
      <c r="L154" s="694"/>
      <c r="M154" s="694"/>
      <c r="N154" s="694"/>
      <c r="O154" s="180">
        <f t="shared" si="16"/>
        <v>26899</v>
      </c>
    </row>
    <row r="155" spans="1:15" s="73" customFormat="1" ht="25.5" x14ac:dyDescent="0.2">
      <c r="A155" s="340"/>
      <c r="B155" s="340"/>
      <c r="C155" s="347" t="s">
        <v>865</v>
      </c>
      <c r="D155" s="348">
        <v>191901</v>
      </c>
      <c r="E155" s="208">
        <f>0+táj1!E155</f>
        <v>0</v>
      </c>
      <c r="F155" s="349"/>
      <c r="G155" s="349"/>
      <c r="H155" s="349"/>
      <c r="I155" s="338"/>
      <c r="J155" s="338"/>
      <c r="K155" s="338"/>
      <c r="L155" s="338"/>
      <c r="M155" s="338"/>
      <c r="N155" s="208"/>
      <c r="O155" s="180">
        <f t="shared" si="16"/>
        <v>0</v>
      </c>
    </row>
    <row r="156" spans="1:15" s="73" customFormat="1" ht="25.5" x14ac:dyDescent="0.2">
      <c r="A156" s="340"/>
      <c r="B156" s="340"/>
      <c r="C156" s="347" t="s">
        <v>866</v>
      </c>
      <c r="D156" s="348">
        <v>191901</v>
      </c>
      <c r="E156" s="208">
        <f>0+táj1!E156</f>
        <v>0</v>
      </c>
      <c r="F156" s="349"/>
      <c r="G156" s="349"/>
      <c r="H156" s="349"/>
      <c r="I156" s="338"/>
      <c r="J156" s="338"/>
      <c r="K156" s="338"/>
      <c r="L156" s="338"/>
      <c r="M156" s="338"/>
      <c r="N156" s="208"/>
      <c r="O156" s="180">
        <f t="shared" si="16"/>
        <v>0</v>
      </c>
    </row>
    <row r="157" spans="1:15" s="73" customFormat="1" ht="16.899999999999999" customHeight="1" x14ac:dyDescent="0.2">
      <c r="A157" s="340"/>
      <c r="B157" s="340"/>
      <c r="C157" s="535" t="s">
        <v>970</v>
      </c>
      <c r="D157" s="348">
        <v>191901</v>
      </c>
      <c r="E157" s="208"/>
      <c r="F157" s="349"/>
      <c r="G157" s="349"/>
      <c r="H157" s="349"/>
      <c r="I157" s="338"/>
      <c r="J157" s="338"/>
      <c r="K157" s="338"/>
      <c r="L157" s="338"/>
      <c r="M157" s="338"/>
      <c r="N157" s="208">
        <f>376316+táj1!N157</f>
        <v>376316</v>
      </c>
      <c r="O157" s="180">
        <f t="shared" si="16"/>
        <v>376316</v>
      </c>
    </row>
    <row r="158" spans="1:15" s="73" customFormat="1" ht="24" customHeight="1" x14ac:dyDescent="0.2">
      <c r="A158" s="692"/>
      <c r="B158" s="692"/>
      <c r="C158" s="697" t="s">
        <v>1002</v>
      </c>
      <c r="D158" s="698"/>
      <c r="E158" s="208"/>
      <c r="F158" s="699"/>
      <c r="G158" s="699"/>
      <c r="H158" s="699"/>
      <c r="I158" s="694"/>
      <c r="J158" s="694"/>
      <c r="K158" s="694"/>
      <c r="L158" s="694"/>
      <c r="M158" s="694"/>
      <c r="N158" s="694"/>
      <c r="O158" s="180"/>
    </row>
    <row r="159" spans="1:15" s="73" customFormat="1" ht="16.899999999999999" customHeight="1" x14ac:dyDescent="0.2">
      <c r="A159" s="692"/>
      <c r="B159" s="692"/>
      <c r="C159" s="700" t="s">
        <v>1003</v>
      </c>
      <c r="D159" s="701">
        <v>191116</v>
      </c>
      <c r="E159" s="208">
        <f>1454+táj1!E159</f>
        <v>1454</v>
      </c>
      <c r="F159" s="699"/>
      <c r="G159" s="699"/>
      <c r="H159" s="699"/>
      <c r="I159" s="694"/>
      <c r="J159" s="694"/>
      <c r="K159" s="694"/>
      <c r="L159" s="694"/>
      <c r="M159" s="694"/>
      <c r="N159" s="694"/>
      <c r="O159" s="180">
        <f t="shared" si="16"/>
        <v>1454</v>
      </c>
    </row>
    <row r="160" spans="1:15" s="73" customFormat="1" ht="28.5" customHeight="1" x14ac:dyDescent="0.2">
      <c r="A160" s="81"/>
      <c r="B160" s="81"/>
      <c r="C160" s="214" t="s">
        <v>248</v>
      </c>
      <c r="D160" s="215"/>
      <c r="E160" s="208"/>
      <c r="F160" s="271"/>
      <c r="G160" s="271"/>
      <c r="H160" s="271"/>
      <c r="I160" s="208"/>
      <c r="J160" s="208"/>
      <c r="K160" s="208"/>
      <c r="L160" s="208"/>
      <c r="M160" s="208"/>
      <c r="N160" s="208"/>
      <c r="O160" s="180"/>
    </row>
    <row r="161" spans="1:15" s="73" customFormat="1" ht="14.1" customHeight="1" x14ac:dyDescent="0.2">
      <c r="A161" s="81"/>
      <c r="B161" s="81"/>
      <c r="C161" s="445" t="s">
        <v>249</v>
      </c>
      <c r="D161" s="213">
        <v>191907</v>
      </c>
      <c r="E161" s="208"/>
      <c r="F161" s="208"/>
      <c r="G161" s="208">
        <f>7630000+táj1!G161</f>
        <v>7630000</v>
      </c>
      <c r="H161" s="271"/>
      <c r="I161" s="208"/>
      <c r="J161" s="208"/>
      <c r="K161" s="208"/>
      <c r="L161" s="208"/>
      <c r="M161" s="208"/>
      <c r="N161" s="208"/>
      <c r="O161" s="180">
        <f t="shared" ref="O161:O165" si="17">SUM(E161:N161)</f>
        <v>7630000</v>
      </c>
    </row>
    <row r="162" spans="1:15" s="73" customFormat="1" ht="14.1" customHeight="1" x14ac:dyDescent="0.2">
      <c r="A162" s="81"/>
      <c r="B162" s="81"/>
      <c r="C162" s="445" t="s">
        <v>251</v>
      </c>
      <c r="D162" s="213">
        <v>191907</v>
      </c>
      <c r="E162" s="208"/>
      <c r="F162" s="208"/>
      <c r="G162" s="208">
        <f>1550000+táj1!G162</f>
        <v>1550000</v>
      </c>
      <c r="H162" s="271"/>
      <c r="I162" s="208"/>
      <c r="J162" s="208"/>
      <c r="K162" s="208"/>
      <c r="L162" s="208"/>
      <c r="M162" s="208"/>
      <c r="N162" s="208"/>
      <c r="O162" s="180">
        <f t="shared" si="17"/>
        <v>1550000</v>
      </c>
    </row>
    <row r="163" spans="1:15" s="73" customFormat="1" ht="14.1" customHeight="1" x14ac:dyDescent="0.2">
      <c r="A163" s="81"/>
      <c r="B163" s="81"/>
      <c r="C163" s="445" t="s">
        <v>252</v>
      </c>
      <c r="D163" s="213">
        <v>191907</v>
      </c>
      <c r="E163" s="208"/>
      <c r="F163" s="208"/>
      <c r="G163" s="208">
        <f>51000+táj1!G163</f>
        <v>51000</v>
      </c>
      <c r="H163" s="271"/>
      <c r="I163" s="208"/>
      <c r="J163" s="208"/>
      <c r="K163" s="208"/>
      <c r="L163" s="208"/>
      <c r="M163" s="208"/>
      <c r="N163" s="208"/>
      <c r="O163" s="180">
        <f t="shared" si="17"/>
        <v>51000</v>
      </c>
    </row>
    <row r="164" spans="1:15" s="73" customFormat="1" ht="14.1" customHeight="1" x14ac:dyDescent="0.2">
      <c r="A164" s="81"/>
      <c r="B164" s="81"/>
      <c r="C164" s="445" t="s">
        <v>703</v>
      </c>
      <c r="D164" s="213">
        <v>191907</v>
      </c>
      <c r="E164" s="208"/>
      <c r="F164" s="208"/>
      <c r="G164" s="208">
        <f>40000+táj1!G164</f>
        <v>40000</v>
      </c>
      <c r="H164" s="271"/>
      <c r="I164" s="208"/>
      <c r="J164" s="208"/>
      <c r="K164" s="208"/>
      <c r="L164" s="208"/>
      <c r="M164" s="208"/>
      <c r="N164" s="208"/>
      <c r="O164" s="180">
        <f t="shared" si="17"/>
        <v>40000</v>
      </c>
    </row>
    <row r="165" spans="1:15" s="73" customFormat="1" ht="14.1" customHeight="1" x14ac:dyDescent="0.2">
      <c r="A165" s="81"/>
      <c r="B165" s="81"/>
      <c r="C165" s="445" t="s">
        <v>250</v>
      </c>
      <c r="D165" s="213">
        <v>191907</v>
      </c>
      <c r="E165" s="208"/>
      <c r="F165" s="208"/>
      <c r="G165" s="208">
        <f>6000+táj1!G165</f>
        <v>6000</v>
      </c>
      <c r="H165" s="271"/>
      <c r="I165" s="208"/>
      <c r="J165" s="208"/>
      <c r="K165" s="208"/>
      <c r="L165" s="208"/>
      <c r="M165" s="208"/>
      <c r="N165" s="208"/>
      <c r="O165" s="180">
        <f t="shared" si="17"/>
        <v>6000</v>
      </c>
    </row>
    <row r="166" spans="1:15" s="73" customFormat="1" ht="24.75" customHeight="1" x14ac:dyDescent="0.2">
      <c r="A166" s="81"/>
      <c r="B166" s="81"/>
      <c r="C166" s="84" t="s">
        <v>253</v>
      </c>
      <c r="D166" s="212"/>
      <c r="E166" s="208"/>
      <c r="F166" s="208"/>
      <c r="G166" s="208"/>
      <c r="H166" s="271"/>
      <c r="I166" s="208"/>
      <c r="J166" s="208"/>
      <c r="K166" s="208"/>
      <c r="L166" s="208"/>
      <c r="M166" s="208"/>
      <c r="N166" s="208"/>
      <c r="O166" s="180"/>
    </row>
    <row r="167" spans="1:15" s="73" customFormat="1" ht="36.75" customHeight="1" x14ac:dyDescent="0.2">
      <c r="A167" s="81"/>
      <c r="B167" s="81"/>
      <c r="C167" s="83" t="s">
        <v>254</v>
      </c>
      <c r="D167" s="212">
        <v>191158</v>
      </c>
      <c r="E167" s="208">
        <f>11000+táj1!E167</f>
        <v>11000</v>
      </c>
      <c r="F167" s="208"/>
      <c r="G167" s="208"/>
      <c r="H167" s="271"/>
      <c r="I167" s="208"/>
      <c r="J167" s="208"/>
      <c r="K167" s="208"/>
      <c r="L167" s="208"/>
      <c r="M167" s="208"/>
      <c r="N167" s="208"/>
      <c r="O167" s="180">
        <f>SUM(E167:N167)</f>
        <v>11000</v>
      </c>
    </row>
    <row r="168" spans="1:15" s="73" customFormat="1" ht="15" customHeight="1" x14ac:dyDescent="0.2">
      <c r="A168" s="81"/>
      <c r="B168" s="81"/>
      <c r="C168" s="83" t="s">
        <v>255</v>
      </c>
      <c r="D168" s="212"/>
      <c r="E168" s="208"/>
      <c r="F168" s="208"/>
      <c r="G168" s="208"/>
      <c r="H168" s="271"/>
      <c r="I168" s="208"/>
      <c r="J168" s="208"/>
      <c r="K168" s="208"/>
      <c r="L168" s="208"/>
      <c r="M168" s="208"/>
      <c r="N168" s="208"/>
      <c r="O168" s="180"/>
    </row>
    <row r="169" spans="1:15" s="73" customFormat="1" ht="24.95" customHeight="1" x14ac:dyDescent="0.2">
      <c r="A169" s="81"/>
      <c r="B169" s="81"/>
      <c r="C169" s="214" t="s">
        <v>256</v>
      </c>
      <c r="D169" s="223">
        <v>191906</v>
      </c>
      <c r="E169" s="208">
        <f>0+táj1!E169</f>
        <v>0</v>
      </c>
      <c r="F169" s="208"/>
      <c r="G169" s="208"/>
      <c r="H169" s="271"/>
      <c r="I169" s="208"/>
      <c r="J169" s="208"/>
      <c r="K169" s="208"/>
      <c r="L169" s="208"/>
      <c r="M169" s="208"/>
      <c r="N169" s="208"/>
      <c r="O169" s="180">
        <f>SUM(E169:N169)</f>
        <v>0</v>
      </c>
    </row>
    <row r="170" spans="1:15" s="73" customFormat="1" ht="24.95" customHeight="1" x14ac:dyDescent="0.2">
      <c r="A170" s="340"/>
      <c r="B170" s="340"/>
      <c r="C170" s="441" t="s">
        <v>867</v>
      </c>
      <c r="D170" s="348">
        <v>191135</v>
      </c>
      <c r="E170" s="208">
        <f>15000+táj1!E170</f>
        <v>15000</v>
      </c>
      <c r="F170" s="338"/>
      <c r="G170" s="338"/>
      <c r="H170" s="349"/>
      <c r="I170" s="338"/>
      <c r="J170" s="338"/>
      <c r="K170" s="338"/>
      <c r="L170" s="338"/>
      <c r="M170" s="338"/>
      <c r="N170" s="338"/>
      <c r="O170" s="180">
        <f>SUM(E170:N170)</f>
        <v>15000</v>
      </c>
    </row>
    <row r="171" spans="1:15" s="73" customFormat="1" ht="19.149999999999999" customHeight="1" x14ac:dyDescent="0.2">
      <c r="A171" s="331"/>
      <c r="B171" s="331"/>
      <c r="C171" s="350" t="s">
        <v>233</v>
      </c>
      <c r="D171" s="345"/>
      <c r="E171" s="208"/>
      <c r="F171" s="332"/>
      <c r="G171" s="332"/>
      <c r="H171" s="333"/>
      <c r="I171" s="332"/>
      <c r="J171" s="332"/>
      <c r="K171" s="332"/>
      <c r="L171" s="332"/>
      <c r="M171" s="332"/>
      <c r="N171" s="332"/>
      <c r="O171" s="180"/>
    </row>
    <row r="172" spans="1:15" s="73" customFormat="1" ht="19.149999999999999" customHeight="1" x14ac:dyDescent="0.2">
      <c r="A172" s="692"/>
      <c r="B172" s="692"/>
      <c r="C172" s="488" t="s">
        <v>579</v>
      </c>
      <c r="D172" s="345">
        <v>196901</v>
      </c>
      <c r="E172" s="694"/>
      <c r="F172" s="694"/>
      <c r="G172" s="694"/>
      <c r="H172" s="699"/>
      <c r="I172" s="694"/>
      <c r="J172" s="694"/>
      <c r="K172" s="694"/>
      <c r="L172" s="694"/>
      <c r="M172" s="694">
        <f>7684+táj1!M172</f>
        <v>7684</v>
      </c>
      <c r="N172" s="694"/>
      <c r="O172" s="656">
        <f>SUM(E172:N172)</f>
        <v>7684</v>
      </c>
    </row>
    <row r="173" spans="1:15" s="73" customFormat="1" ht="17.45" customHeight="1" x14ac:dyDescent="0.2">
      <c r="A173" s="340"/>
      <c r="B173" s="340"/>
      <c r="C173" s="535" t="s">
        <v>197</v>
      </c>
      <c r="D173" s="345"/>
      <c r="E173" s="338"/>
      <c r="F173" s="338"/>
      <c r="G173" s="338"/>
      <c r="H173" s="694"/>
      <c r="I173" s="338"/>
      <c r="J173" s="338"/>
      <c r="K173" s="338"/>
      <c r="L173" s="338"/>
      <c r="M173" s="208"/>
      <c r="N173" s="338"/>
      <c r="O173" s="180"/>
    </row>
    <row r="174" spans="1:15" s="73" customFormat="1" ht="17.45" customHeight="1" x14ac:dyDescent="0.2">
      <c r="A174" s="692"/>
      <c r="B174" s="692"/>
      <c r="C174" s="658" t="s">
        <v>580</v>
      </c>
      <c r="D174" s="758">
        <v>191104</v>
      </c>
      <c r="E174" s="694"/>
      <c r="F174" s="694"/>
      <c r="G174" s="694"/>
      <c r="H174" s="694">
        <f>5232+táj1!H174</f>
        <v>8546</v>
      </c>
      <c r="I174" s="694"/>
      <c r="J174" s="694"/>
      <c r="K174" s="694"/>
      <c r="L174" s="694"/>
      <c r="M174" s="694"/>
      <c r="N174" s="694"/>
      <c r="O174" s="180">
        <f t="shared" ref="O174:O176" si="18">SUM(E174:N174)</f>
        <v>8546</v>
      </c>
    </row>
    <row r="175" spans="1:15" s="73" customFormat="1" ht="17.45" customHeight="1" x14ac:dyDescent="0.2">
      <c r="A175" s="340"/>
      <c r="B175" s="340"/>
      <c r="C175" s="686" t="s">
        <v>971</v>
      </c>
      <c r="D175" s="687">
        <v>191193</v>
      </c>
      <c r="E175" s="338"/>
      <c r="F175" s="338"/>
      <c r="G175" s="338"/>
      <c r="H175" s="338"/>
      <c r="I175" s="338"/>
      <c r="J175" s="208">
        <f>29600+táj1!J175</f>
        <v>41100</v>
      </c>
      <c r="K175" s="208"/>
      <c r="L175" s="208"/>
      <c r="M175" s="208"/>
      <c r="N175" s="338"/>
      <c r="O175" s="180">
        <f t="shared" si="18"/>
        <v>41100</v>
      </c>
    </row>
    <row r="176" spans="1:15" s="73" customFormat="1" ht="17.45" customHeight="1" x14ac:dyDescent="0.2">
      <c r="A176" s="692"/>
      <c r="B176" s="692"/>
      <c r="C176" s="779" t="s">
        <v>1108</v>
      </c>
      <c r="D176" s="781">
        <v>192909</v>
      </c>
      <c r="E176" s="694"/>
      <c r="F176" s="694"/>
      <c r="G176" s="694"/>
      <c r="H176" s="694"/>
      <c r="I176" s="694"/>
      <c r="J176" s="694"/>
      <c r="K176" s="694">
        <f>800+táj1!K176</f>
        <v>800</v>
      </c>
      <c r="L176" s="694"/>
      <c r="M176" s="694"/>
      <c r="N176" s="694"/>
      <c r="O176" s="180">
        <f t="shared" si="18"/>
        <v>800</v>
      </c>
    </row>
    <row r="177" spans="1:15" s="73" customFormat="1" ht="15.75" customHeight="1" x14ac:dyDescent="0.2">
      <c r="A177" s="90"/>
      <c r="B177" s="85"/>
      <c r="C177" s="209" t="s">
        <v>257</v>
      </c>
      <c r="D177" s="85"/>
      <c r="E177" s="210">
        <f>SUM(E145:E176)</f>
        <v>7053142</v>
      </c>
      <c r="F177" s="210">
        <f t="shared" ref="F177:O177" si="19">SUM(F145:F176)</f>
        <v>26899</v>
      </c>
      <c r="G177" s="210">
        <f t="shared" si="19"/>
        <v>9277000</v>
      </c>
      <c r="H177" s="210">
        <f t="shared" si="19"/>
        <v>266342</v>
      </c>
      <c r="I177" s="210">
        <f t="shared" si="19"/>
        <v>0</v>
      </c>
      <c r="J177" s="210">
        <f t="shared" si="19"/>
        <v>41100</v>
      </c>
      <c r="K177" s="210">
        <f t="shared" si="19"/>
        <v>800</v>
      </c>
      <c r="L177" s="210">
        <f t="shared" si="19"/>
        <v>0</v>
      </c>
      <c r="M177" s="210">
        <f t="shared" si="19"/>
        <v>2290652</v>
      </c>
      <c r="N177" s="210">
        <f t="shared" si="19"/>
        <v>7176316</v>
      </c>
      <c r="O177" s="210">
        <f t="shared" si="19"/>
        <v>26132251</v>
      </c>
    </row>
    <row r="178" spans="1:15" s="73" customFormat="1" ht="17.100000000000001" customHeight="1" x14ac:dyDescent="0.2">
      <c r="A178" s="81">
        <v>1</v>
      </c>
      <c r="B178" s="86">
        <v>22</v>
      </c>
      <c r="C178" s="211" t="s">
        <v>7</v>
      </c>
      <c r="D178" s="86"/>
      <c r="E178" s="224"/>
      <c r="F178" s="224"/>
      <c r="G178" s="224"/>
      <c r="H178" s="224"/>
      <c r="I178" s="224"/>
      <c r="J178" s="224"/>
      <c r="K178" s="224"/>
      <c r="L178" s="224"/>
      <c r="M178" s="224"/>
      <c r="N178" s="224"/>
      <c r="O178" s="224"/>
    </row>
    <row r="179" spans="1:15" s="73" customFormat="1" ht="17.100000000000001" customHeight="1" x14ac:dyDescent="0.2">
      <c r="A179" s="692"/>
      <c r="B179" s="654"/>
      <c r="C179" s="658" t="s">
        <v>382</v>
      </c>
      <c r="D179" s="654"/>
      <c r="E179" s="702"/>
      <c r="F179" s="702"/>
      <c r="G179" s="702"/>
      <c r="H179" s="702"/>
      <c r="I179" s="702"/>
      <c r="J179" s="702"/>
      <c r="K179" s="702"/>
      <c r="L179" s="702"/>
      <c r="M179" s="702"/>
      <c r="N179" s="702"/>
      <c r="O179" s="702"/>
    </row>
    <row r="180" spans="1:15" s="73" customFormat="1" ht="17.100000000000001" customHeight="1" x14ac:dyDescent="0.2">
      <c r="A180" s="692"/>
      <c r="B180" s="654"/>
      <c r="C180" s="703" t="s">
        <v>1004</v>
      </c>
      <c r="D180" s="692">
        <v>221966</v>
      </c>
      <c r="E180" s="656"/>
      <c r="F180" s="656"/>
      <c r="G180" s="656"/>
      <c r="H180" s="656"/>
      <c r="I180" s="656"/>
      <c r="J180" s="656">
        <f>10738+táj1!J180</f>
        <v>10738</v>
      </c>
      <c r="K180" s="656"/>
      <c r="L180" s="656"/>
      <c r="M180" s="656"/>
      <c r="N180" s="656"/>
      <c r="O180" s="656">
        <f>SUM(E180:N180)</f>
        <v>10738</v>
      </c>
    </row>
    <row r="181" spans="1:15" s="73" customFormat="1" ht="17.100000000000001" customHeight="1" x14ac:dyDescent="0.2">
      <c r="A181" s="801"/>
      <c r="B181" s="795"/>
      <c r="C181" s="827" t="s">
        <v>317</v>
      </c>
      <c r="D181" s="795"/>
      <c r="E181" s="796"/>
      <c r="F181" s="796"/>
      <c r="G181" s="796"/>
      <c r="H181" s="796"/>
      <c r="I181" s="796"/>
      <c r="J181" s="796"/>
      <c r="K181" s="796"/>
      <c r="L181" s="796"/>
      <c r="M181" s="796"/>
      <c r="N181" s="796"/>
      <c r="O181" s="656"/>
    </row>
    <row r="182" spans="1:15" s="73" customFormat="1" ht="17.100000000000001" customHeight="1" x14ac:dyDescent="0.2">
      <c r="A182" s="801"/>
      <c r="B182" s="795"/>
      <c r="C182" s="827" t="s">
        <v>1179</v>
      </c>
      <c r="D182" s="802">
        <v>191110</v>
      </c>
      <c r="E182" s="796">
        <f>0+táj1!E182</f>
        <v>1700</v>
      </c>
      <c r="F182" s="796"/>
      <c r="G182" s="796"/>
      <c r="H182" s="796"/>
      <c r="I182" s="796"/>
      <c r="J182" s="796"/>
      <c r="K182" s="796"/>
      <c r="L182" s="796"/>
      <c r="M182" s="796"/>
      <c r="N182" s="796"/>
      <c r="O182" s="656">
        <f t="shared" ref="O182" si="20">SUM(E182:N182)</f>
        <v>1700</v>
      </c>
    </row>
    <row r="183" spans="1:15" s="73" customFormat="1" ht="17.100000000000001" customHeight="1" x14ac:dyDescent="0.2">
      <c r="A183" s="801"/>
      <c r="B183" s="795"/>
      <c r="C183" s="403" t="s">
        <v>190</v>
      </c>
      <c r="D183" s="802"/>
      <c r="E183" s="796"/>
      <c r="F183" s="796"/>
      <c r="G183" s="796"/>
      <c r="H183" s="796"/>
      <c r="I183" s="796"/>
      <c r="J183" s="796"/>
      <c r="K183" s="796"/>
      <c r="L183" s="796"/>
      <c r="M183" s="796"/>
      <c r="N183" s="796"/>
      <c r="O183" s="796"/>
    </row>
    <row r="184" spans="1:15" s="73" customFormat="1" ht="17.100000000000001" customHeight="1" x14ac:dyDescent="0.2">
      <c r="A184" s="692"/>
      <c r="B184" s="654"/>
      <c r="C184" s="663" t="s">
        <v>962</v>
      </c>
      <c r="D184" s="692">
        <v>221982</v>
      </c>
      <c r="E184" s="656"/>
      <c r="F184" s="656"/>
      <c r="G184" s="656"/>
      <c r="H184" s="656"/>
      <c r="I184" s="656"/>
      <c r="J184" s="656">
        <f>1500+táj1!J184</f>
        <v>1500</v>
      </c>
      <c r="K184" s="656"/>
      <c r="L184" s="656"/>
      <c r="M184" s="656"/>
      <c r="N184" s="656"/>
      <c r="O184" s="656">
        <f>SUM(E184:N184)</f>
        <v>1500</v>
      </c>
    </row>
    <row r="185" spans="1:15" s="73" customFormat="1" ht="17.100000000000001" customHeight="1" x14ac:dyDescent="0.2">
      <c r="A185" s="801"/>
      <c r="B185" s="795"/>
      <c r="C185" s="827" t="s">
        <v>607</v>
      </c>
      <c r="D185" s="801"/>
      <c r="E185" s="796">
        <f>0+táj1!E185</f>
        <v>867</v>
      </c>
      <c r="F185" s="796"/>
      <c r="G185" s="796"/>
      <c r="H185" s="796"/>
      <c r="I185" s="796"/>
      <c r="J185" s="796"/>
      <c r="K185" s="796"/>
      <c r="L185" s="796"/>
      <c r="M185" s="796"/>
      <c r="N185" s="796"/>
      <c r="O185" s="656">
        <f>SUM(E185:N185)</f>
        <v>867</v>
      </c>
    </row>
    <row r="186" spans="1:15" s="73" customFormat="1" ht="17.100000000000001" customHeight="1" x14ac:dyDescent="0.2">
      <c r="A186" s="90"/>
      <c r="B186" s="85"/>
      <c r="C186" s="209" t="s">
        <v>258</v>
      </c>
      <c r="D186" s="85"/>
      <c r="E186" s="210">
        <f>SUM(E180:E185)</f>
        <v>2567</v>
      </c>
      <c r="F186" s="210">
        <f t="shared" ref="F186:O186" si="21">SUM(F180:F185)</f>
        <v>0</v>
      </c>
      <c r="G186" s="210">
        <f t="shared" si="21"/>
        <v>0</v>
      </c>
      <c r="H186" s="210">
        <f t="shared" si="21"/>
        <v>0</v>
      </c>
      <c r="I186" s="210">
        <f t="shared" si="21"/>
        <v>0</v>
      </c>
      <c r="J186" s="210">
        <f t="shared" si="21"/>
        <v>12238</v>
      </c>
      <c r="K186" s="210">
        <f t="shared" si="21"/>
        <v>0</v>
      </c>
      <c r="L186" s="210">
        <f t="shared" si="21"/>
        <v>0</v>
      </c>
      <c r="M186" s="210">
        <f t="shared" si="21"/>
        <v>0</v>
      </c>
      <c r="N186" s="210">
        <f t="shared" si="21"/>
        <v>0</v>
      </c>
      <c r="O186" s="210">
        <f t="shared" si="21"/>
        <v>14805</v>
      </c>
    </row>
    <row r="187" spans="1:15" s="73" customFormat="1" ht="24.95" customHeight="1" x14ac:dyDescent="0.2">
      <c r="A187" s="85"/>
      <c r="B187" s="85"/>
      <c r="C187" s="91" t="s">
        <v>10</v>
      </c>
      <c r="D187" s="226"/>
      <c r="E187" s="210">
        <f t="shared" ref="E187:O187" si="22">SUM(E8+E29+E34+E60+E101+E135+E143+E177+E186)</f>
        <v>8185050</v>
      </c>
      <c r="F187" s="210">
        <f t="shared" si="22"/>
        <v>4805210</v>
      </c>
      <c r="G187" s="210">
        <f t="shared" si="22"/>
        <v>9373308</v>
      </c>
      <c r="H187" s="210">
        <f t="shared" si="22"/>
        <v>4999025</v>
      </c>
      <c r="I187" s="210">
        <f t="shared" si="22"/>
        <v>377367</v>
      </c>
      <c r="J187" s="210">
        <f t="shared" si="22"/>
        <v>68033</v>
      </c>
      <c r="K187" s="210">
        <f t="shared" si="22"/>
        <v>29411</v>
      </c>
      <c r="L187" s="210">
        <f t="shared" si="22"/>
        <v>0</v>
      </c>
      <c r="M187" s="210">
        <f t="shared" si="22"/>
        <v>6474119</v>
      </c>
      <c r="N187" s="210">
        <f t="shared" si="22"/>
        <v>11265829</v>
      </c>
      <c r="O187" s="210">
        <f t="shared" si="22"/>
        <v>45577352</v>
      </c>
    </row>
    <row r="188" spans="1:15" s="73" customFormat="1" ht="15.95" customHeight="1" x14ac:dyDescent="0.2">
      <c r="A188" s="81">
        <v>2</v>
      </c>
      <c r="B188" s="81"/>
      <c r="C188" s="227" t="s">
        <v>161</v>
      </c>
      <c r="D188" s="228"/>
      <c r="E188" s="180">
        <f>933721+táj3!D22</f>
        <v>967101</v>
      </c>
      <c r="F188" s="180">
        <f>15005+táj3!E22</f>
        <v>15865</v>
      </c>
      <c r="G188" s="180">
        <f>5000+táj3!F22</f>
        <v>5000</v>
      </c>
      <c r="H188" s="180">
        <f>2049486+táj3!G22</f>
        <v>2102999</v>
      </c>
      <c r="I188" s="180">
        <f>0+táj3!H22</f>
        <v>2413</v>
      </c>
      <c r="J188" s="180">
        <f>1841+táj3!I22</f>
        <v>2061</v>
      </c>
      <c r="K188" s="180">
        <f>0+táj3!J22</f>
        <v>988</v>
      </c>
      <c r="L188" s="180"/>
      <c r="M188" s="180">
        <f>989972+táj3!K22</f>
        <v>989972</v>
      </c>
      <c r="N188" s="180"/>
      <c r="O188" s="180">
        <f>SUM(E188:N188)</f>
        <v>4086399</v>
      </c>
    </row>
    <row r="189" spans="1:15" s="73" customFormat="1" ht="15.95" customHeight="1" x14ac:dyDescent="0.2">
      <c r="A189" s="85"/>
      <c r="B189" s="85"/>
      <c r="C189" s="229" t="s">
        <v>151</v>
      </c>
      <c r="D189" s="85"/>
      <c r="E189" s="210">
        <f>SUM(E187:E188)</f>
        <v>9152151</v>
      </c>
      <c r="F189" s="210">
        <f>SUM(F187:F188)</f>
        <v>4821075</v>
      </c>
      <c r="G189" s="210">
        <f t="shared" ref="G189:O189" si="23">SUM(G187:G188)</f>
        <v>9378308</v>
      </c>
      <c r="H189" s="210">
        <f t="shared" si="23"/>
        <v>7102024</v>
      </c>
      <c r="I189" s="210">
        <f t="shared" si="23"/>
        <v>379780</v>
      </c>
      <c r="J189" s="210">
        <f t="shared" si="23"/>
        <v>70094</v>
      </c>
      <c r="K189" s="210">
        <f t="shared" si="23"/>
        <v>30399</v>
      </c>
      <c r="L189" s="210">
        <f t="shared" si="23"/>
        <v>0</v>
      </c>
      <c r="M189" s="210">
        <f t="shared" si="23"/>
        <v>7464091</v>
      </c>
      <c r="N189" s="210">
        <f t="shared" si="23"/>
        <v>11265829</v>
      </c>
      <c r="O189" s="210">
        <f t="shared" si="23"/>
        <v>49663751</v>
      </c>
    </row>
    <row r="190" spans="1:15" x14ac:dyDescent="0.2">
      <c r="K190" s="828"/>
    </row>
    <row r="191" spans="1:15" ht="15.75" hidden="1" x14ac:dyDescent="0.25">
      <c r="I191" s="944" t="s">
        <v>1234</v>
      </c>
      <c r="J191" s="944"/>
      <c r="K191" s="946">
        <f>SUM(E189:K189)</f>
        <v>30933831</v>
      </c>
      <c r="L191" s="945"/>
      <c r="M191" s="945"/>
      <c r="N191" s="946">
        <f>SUM(L189:N189)</f>
        <v>18729920</v>
      </c>
      <c r="O191" s="946">
        <f>SUM(N191,K191)</f>
        <v>49663751</v>
      </c>
    </row>
    <row r="192" spans="1:15" ht="15.75" hidden="1" x14ac:dyDescent="0.25">
      <c r="I192" s="944" t="s">
        <v>1235</v>
      </c>
      <c r="J192" s="944"/>
      <c r="K192" s="946">
        <f>'8'!N655</f>
        <v>43968872</v>
      </c>
      <c r="L192" s="945"/>
      <c r="M192" s="945"/>
      <c r="N192" s="945"/>
      <c r="O192" s="945"/>
    </row>
    <row r="193" spans="9:15" ht="15" hidden="1" x14ac:dyDescent="0.25">
      <c r="I193" s="944" t="s">
        <v>1236</v>
      </c>
      <c r="J193" s="944"/>
      <c r="K193" s="946">
        <f>K191-K192</f>
        <v>-13035041</v>
      </c>
      <c r="L193" s="944"/>
      <c r="M193" s="944"/>
      <c r="N193" s="944"/>
      <c r="O193" s="944"/>
    </row>
    <row r="194" spans="9:15" x14ac:dyDescent="0.2">
      <c r="I194" s="944"/>
      <c r="J194" s="944"/>
      <c r="K194" s="944"/>
      <c r="L194" s="944"/>
      <c r="M194" s="944"/>
      <c r="N194" s="944"/>
      <c r="O194" s="944"/>
    </row>
  </sheetData>
  <mergeCells count="8">
    <mergeCell ref="C58:D58"/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2025.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/>
  <dimension ref="A1:N18"/>
  <sheetViews>
    <sheetView zoomScale="110" workbookViewId="0">
      <pane ySplit="2" topLeftCell="A3" activePane="bottomLeft" state="frozen"/>
      <selection activeCell="G28" sqref="G28"/>
      <selection pane="bottomLeft" activeCell="E20" sqref="E20"/>
    </sheetView>
  </sheetViews>
  <sheetFormatPr defaultColWidth="9.33203125" defaultRowHeight="12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83203125" style="11" customWidth="1"/>
    <col min="6" max="6" width="10.5" style="11" customWidth="1"/>
    <col min="7" max="7" width="9.83203125" style="11" customWidth="1"/>
    <col min="8" max="8" width="10.5" style="11" customWidth="1"/>
    <col min="9" max="9" width="10.83203125" style="11" customWidth="1"/>
    <col min="10" max="10" width="10.6640625" style="11" customWidth="1"/>
    <col min="11" max="11" width="12.5" style="11" customWidth="1"/>
    <col min="12" max="12" width="11.33203125" style="11" customWidth="1"/>
    <col min="13" max="13" width="11.83203125" style="11" customWidth="1"/>
    <col min="14" max="14" width="12" style="11" customWidth="1"/>
    <col min="15" max="16384" width="9.33203125" style="11"/>
  </cols>
  <sheetData>
    <row r="1" spans="1:14" ht="12.75" customHeight="1" x14ac:dyDescent="0.2">
      <c r="A1" s="1011" t="s">
        <v>83</v>
      </c>
      <c r="B1" s="1011" t="s">
        <v>84</v>
      </c>
      <c r="C1" s="1011" t="s">
        <v>115</v>
      </c>
      <c r="D1" s="1010" t="s">
        <v>121</v>
      </c>
      <c r="E1" s="1010"/>
      <c r="F1" s="1010"/>
      <c r="G1" s="1010"/>
      <c r="H1" s="1010"/>
      <c r="I1" s="1010"/>
      <c r="J1" s="1010"/>
      <c r="K1" s="1010"/>
      <c r="L1" s="1010" t="s">
        <v>120</v>
      </c>
      <c r="M1" s="1010"/>
      <c r="N1" s="1011" t="s">
        <v>159</v>
      </c>
    </row>
    <row r="2" spans="1:14" s="18" customFormat="1" ht="60" customHeight="1" x14ac:dyDescent="0.2">
      <c r="A2" s="1011"/>
      <c r="B2" s="1011"/>
      <c r="C2" s="1011"/>
      <c r="D2" s="43" t="s">
        <v>105</v>
      </c>
      <c r="E2" s="43" t="s">
        <v>175</v>
      </c>
      <c r="F2" s="43" t="s">
        <v>169</v>
      </c>
      <c r="G2" s="43" t="s">
        <v>15</v>
      </c>
      <c r="H2" s="43" t="s">
        <v>22</v>
      </c>
      <c r="I2" s="43" t="s">
        <v>20</v>
      </c>
      <c r="J2" s="43" t="s">
        <v>19</v>
      </c>
      <c r="K2" s="43" t="s">
        <v>71</v>
      </c>
      <c r="L2" s="43" t="s">
        <v>125</v>
      </c>
      <c r="M2" s="43" t="s">
        <v>127</v>
      </c>
      <c r="N2" s="1011"/>
    </row>
    <row r="3" spans="1:14" s="18" customFormat="1" ht="15" customHeight="1" x14ac:dyDescent="0.2">
      <c r="A3" s="2">
        <v>1</v>
      </c>
      <c r="B3" s="2"/>
      <c r="C3" s="26" t="s">
        <v>160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8" customFormat="1" ht="15" customHeight="1" x14ac:dyDescent="0.2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19" customFormat="1" ht="24.95" customHeight="1" x14ac:dyDescent="0.2">
      <c r="A5" s="4"/>
      <c r="B5" s="4">
        <v>12</v>
      </c>
      <c r="C5" s="47" t="s">
        <v>94</v>
      </c>
      <c r="D5" s="28">
        <f>'8'!G48</f>
        <v>150</v>
      </c>
      <c r="E5" s="28">
        <f>'8'!H48</f>
        <v>4250</v>
      </c>
      <c r="F5" s="28">
        <f>'8'!I48</f>
        <v>70239</v>
      </c>
      <c r="G5" s="28">
        <f>'8'!J48</f>
        <v>98770</v>
      </c>
      <c r="H5" s="28">
        <f>'8'!K48</f>
        <v>7700</v>
      </c>
      <c r="I5" s="28">
        <f>'8'!L48</f>
        <v>0</v>
      </c>
      <c r="J5" s="28">
        <f>'8'!M48</f>
        <v>0</v>
      </c>
      <c r="K5" s="28">
        <f>'8'!N48</f>
        <v>3000</v>
      </c>
      <c r="L5" s="28">
        <f>'8'!O48</f>
        <v>0</v>
      </c>
      <c r="M5" s="28">
        <f>'8'!P48</f>
        <v>0</v>
      </c>
      <c r="N5" s="5">
        <f>SUM(D5:M5)</f>
        <v>184109</v>
      </c>
    </row>
    <row r="6" spans="1:14" s="19" customFormat="1" ht="14.1" customHeight="1" x14ac:dyDescent="0.2">
      <c r="A6" s="4"/>
      <c r="B6" s="4">
        <v>13</v>
      </c>
      <c r="C6" s="26" t="s">
        <v>95</v>
      </c>
      <c r="D6" s="28">
        <f>'8'!G212</f>
        <v>10567</v>
      </c>
      <c r="E6" s="28">
        <f>'8'!H212</f>
        <v>3330</v>
      </c>
      <c r="F6" s="28">
        <f>'8'!I212</f>
        <v>50555</v>
      </c>
      <c r="G6" s="28">
        <f>'8'!J212</f>
        <v>11000</v>
      </c>
      <c r="H6" s="28">
        <f>'8'!K212</f>
        <v>1771370</v>
      </c>
      <c r="I6" s="28">
        <f>'8'!L212</f>
        <v>44539</v>
      </c>
      <c r="J6" s="28">
        <f>'8'!M212</f>
        <v>160237</v>
      </c>
      <c r="K6" s="28">
        <f>'8'!N212</f>
        <v>25840</v>
      </c>
      <c r="L6" s="28">
        <f>'8'!O212</f>
        <v>0</v>
      </c>
      <c r="M6" s="28">
        <f>'8'!P212</f>
        <v>0</v>
      </c>
      <c r="N6" s="5">
        <f t="shared" ref="N6:N14" si="0">SUM(D6:M6)</f>
        <v>2077438</v>
      </c>
    </row>
    <row r="7" spans="1:14" s="19" customFormat="1" ht="14.1" customHeight="1" x14ac:dyDescent="0.2">
      <c r="A7" s="4"/>
      <c r="B7" s="4">
        <v>14</v>
      </c>
      <c r="C7" s="26" t="s">
        <v>162</v>
      </c>
      <c r="D7" s="28">
        <f>'8'!G224</f>
        <v>0</v>
      </c>
      <c r="E7" s="28">
        <f>'8'!H224</f>
        <v>0</v>
      </c>
      <c r="F7" s="28">
        <f>'8'!I224</f>
        <v>9229</v>
      </c>
      <c r="G7" s="28">
        <f>'8'!J224</f>
        <v>0</v>
      </c>
      <c r="H7" s="28">
        <f>'8'!K224</f>
        <v>0</v>
      </c>
      <c r="I7" s="28">
        <f>'8'!L224</f>
        <v>19713</v>
      </c>
      <c r="J7" s="28">
        <f>'8'!M224</f>
        <v>0</v>
      </c>
      <c r="K7" s="28">
        <f>'8'!N224</f>
        <v>10051</v>
      </c>
      <c r="L7" s="28">
        <f>'8'!O224</f>
        <v>0</v>
      </c>
      <c r="M7" s="28">
        <f>'8'!P224</f>
        <v>0</v>
      </c>
      <c r="N7" s="5">
        <f t="shared" si="0"/>
        <v>38993</v>
      </c>
    </row>
    <row r="8" spans="1:14" s="19" customFormat="1" ht="14.1" customHeight="1" x14ac:dyDescent="0.2">
      <c r="A8" s="4"/>
      <c r="B8" s="4">
        <v>15</v>
      </c>
      <c r="C8" s="33" t="s">
        <v>118</v>
      </c>
      <c r="D8" s="28">
        <f>'8'!G382</f>
        <v>16458</v>
      </c>
      <c r="E8" s="28">
        <f>'8'!H382</f>
        <v>2150</v>
      </c>
      <c r="F8" s="28">
        <f>'8'!I382</f>
        <v>2725449</v>
      </c>
      <c r="G8" s="28">
        <f>'8'!J382</f>
        <v>0</v>
      </c>
      <c r="H8" s="28">
        <f>'8'!K382</f>
        <v>1226533</v>
      </c>
      <c r="I8" s="28">
        <f>'8'!L382</f>
        <v>292072</v>
      </c>
      <c r="J8" s="28">
        <f>'8'!M382</f>
        <v>268643</v>
      </c>
      <c r="K8" s="28">
        <f>'8'!N382</f>
        <v>436</v>
      </c>
      <c r="L8" s="28">
        <f>'8'!O382</f>
        <v>0</v>
      </c>
      <c r="M8" s="28">
        <f>'8'!P382</f>
        <v>0</v>
      </c>
      <c r="N8" s="5">
        <f t="shared" si="0"/>
        <v>4531741</v>
      </c>
    </row>
    <row r="9" spans="1:14" s="19" customFormat="1" ht="14.1" customHeight="1" x14ac:dyDescent="0.2">
      <c r="A9" s="4"/>
      <c r="B9" s="4">
        <v>16</v>
      </c>
      <c r="C9" s="33" t="s">
        <v>108</v>
      </c>
      <c r="D9" s="28">
        <f>'8'!G510</f>
        <v>74818</v>
      </c>
      <c r="E9" s="28">
        <f>'8'!H510</f>
        <v>10548</v>
      </c>
      <c r="F9" s="28">
        <f>'8'!I510</f>
        <v>2789413</v>
      </c>
      <c r="G9" s="28">
        <f>'8'!J510</f>
        <v>0</v>
      </c>
      <c r="H9" s="28">
        <f>'8'!K510</f>
        <v>358961</v>
      </c>
      <c r="I9" s="28">
        <f>'8'!L510</f>
        <v>8772910</v>
      </c>
      <c r="J9" s="28">
        <f>'8'!M510</f>
        <v>4918730</v>
      </c>
      <c r="K9" s="28">
        <f>'8'!N510</f>
        <v>78194</v>
      </c>
      <c r="L9" s="28">
        <f>'8'!O510</f>
        <v>0</v>
      </c>
      <c r="M9" s="28">
        <f>'8'!P510</f>
        <v>0</v>
      </c>
      <c r="N9" s="5">
        <f t="shared" si="0"/>
        <v>17003574</v>
      </c>
    </row>
    <row r="10" spans="1:14" s="19" customFormat="1" ht="14.1" customHeight="1" x14ac:dyDescent="0.2">
      <c r="A10" s="4"/>
      <c r="B10" s="4">
        <v>17</v>
      </c>
      <c r="C10" s="33" t="s">
        <v>119</v>
      </c>
      <c r="D10" s="28">
        <f>'8'!G528</f>
        <v>0</v>
      </c>
      <c r="E10" s="28">
        <f>'8'!H528</f>
        <v>0</v>
      </c>
      <c r="F10" s="28">
        <f>'8'!I528</f>
        <v>139990</v>
      </c>
      <c r="G10" s="28">
        <f>'8'!J528</f>
        <v>0</v>
      </c>
      <c r="H10" s="28">
        <f>'8'!K528</f>
        <v>0</v>
      </c>
      <c r="I10" s="28">
        <f>'8'!L528</f>
        <v>70105</v>
      </c>
      <c r="J10" s="28">
        <f>'8'!M528</f>
        <v>2350</v>
      </c>
      <c r="K10" s="28">
        <f>'8'!N528</f>
        <v>53000</v>
      </c>
      <c r="L10" s="28">
        <f>'8'!O528</f>
        <v>0</v>
      </c>
      <c r="M10" s="28">
        <f>'8'!P528</f>
        <v>0</v>
      </c>
      <c r="N10" s="5">
        <f t="shared" si="0"/>
        <v>265445</v>
      </c>
    </row>
    <row r="11" spans="1:14" s="19" customFormat="1" ht="14.1" customHeight="1" x14ac:dyDescent="0.2">
      <c r="A11" s="4"/>
      <c r="B11" s="4">
        <v>18</v>
      </c>
      <c r="C11" s="33" t="s">
        <v>18</v>
      </c>
      <c r="D11" s="28">
        <f>'8'!G556</f>
        <v>395245</v>
      </c>
      <c r="E11" s="28">
        <f>'8'!H556</f>
        <v>52134</v>
      </c>
      <c r="F11" s="28">
        <f>'8'!I556</f>
        <v>209668</v>
      </c>
      <c r="G11" s="28">
        <f>'8'!J556</f>
        <v>0</v>
      </c>
      <c r="H11" s="28">
        <f>'8'!K556</f>
        <v>15350</v>
      </c>
      <c r="I11" s="28">
        <f>'8'!L556</f>
        <v>19974</v>
      </c>
      <c r="J11" s="28">
        <f>'8'!M556</f>
        <v>2606</v>
      </c>
      <c r="K11" s="28">
        <f>'8'!N556</f>
        <v>150</v>
      </c>
      <c r="L11" s="28">
        <f>'8'!O556</f>
        <v>0</v>
      </c>
      <c r="M11" s="28">
        <f>'8'!P556</f>
        <v>0</v>
      </c>
      <c r="N11" s="5">
        <f t="shared" si="0"/>
        <v>695127</v>
      </c>
    </row>
    <row r="12" spans="1:14" s="19" customFormat="1" ht="16.149999999999999" customHeight="1" x14ac:dyDescent="0.2">
      <c r="A12" s="4"/>
      <c r="B12" s="4">
        <v>19</v>
      </c>
      <c r="C12" s="32" t="s">
        <v>81</v>
      </c>
      <c r="D12" s="28">
        <f>'8'!G589</f>
        <v>0</v>
      </c>
      <c r="E12" s="28">
        <f>'8'!H589</f>
        <v>0</v>
      </c>
      <c r="F12" s="28">
        <f>'8'!I589</f>
        <v>696128</v>
      </c>
      <c r="G12" s="28">
        <f>'8'!J589</f>
        <v>0</v>
      </c>
      <c r="H12" s="28">
        <f>'8'!K589</f>
        <v>3166407</v>
      </c>
      <c r="I12" s="28">
        <f>'8'!L589</f>
        <v>0</v>
      </c>
      <c r="J12" s="28">
        <f>'8'!M589</f>
        <v>0</v>
      </c>
      <c r="K12" s="28">
        <f>'8'!N589</f>
        <v>9800</v>
      </c>
      <c r="L12" s="28">
        <f>'8'!O589</f>
        <v>117852</v>
      </c>
      <c r="M12" s="28">
        <f>'8'!P589</f>
        <v>5577027</v>
      </c>
      <c r="N12" s="5">
        <f t="shared" si="0"/>
        <v>9567214</v>
      </c>
    </row>
    <row r="13" spans="1:14" s="19" customFormat="1" ht="23.25" customHeight="1" x14ac:dyDescent="0.2">
      <c r="A13" s="4"/>
      <c r="B13" s="4">
        <v>22</v>
      </c>
      <c r="C13" s="46" t="s">
        <v>8</v>
      </c>
      <c r="D13" s="28">
        <f>'8'!G634</f>
        <v>66535</v>
      </c>
      <c r="E13" s="28">
        <f>'8'!H634</f>
        <v>23212</v>
      </c>
      <c r="F13" s="28">
        <f>'8'!I634</f>
        <v>198856</v>
      </c>
      <c r="G13" s="28">
        <f>'8'!J634</f>
        <v>0</v>
      </c>
      <c r="H13" s="28">
        <f>'8'!K634</f>
        <v>453971</v>
      </c>
      <c r="I13" s="28">
        <f>'8'!L634</f>
        <v>16297</v>
      </c>
      <c r="J13" s="28">
        <f>'8'!M634</f>
        <v>0</v>
      </c>
      <c r="K13" s="28">
        <f>'8'!N634</f>
        <v>21250</v>
      </c>
      <c r="L13" s="28">
        <f>'8'!O634</f>
        <v>0</v>
      </c>
      <c r="M13" s="28">
        <f>'8'!P634</f>
        <v>0</v>
      </c>
      <c r="N13" s="5">
        <f t="shared" si="0"/>
        <v>780121</v>
      </c>
    </row>
    <row r="14" spans="1:14" s="19" customFormat="1" ht="18" customHeight="1" x14ac:dyDescent="0.2">
      <c r="A14" s="4"/>
      <c r="B14" s="4">
        <v>30</v>
      </c>
      <c r="C14" s="6" t="s">
        <v>5</v>
      </c>
      <c r="D14" s="28">
        <f>'8'!G650</f>
        <v>0</v>
      </c>
      <c r="E14" s="28">
        <f>'8'!H650</f>
        <v>0</v>
      </c>
      <c r="F14" s="28">
        <f>'8'!I650</f>
        <v>0</v>
      </c>
      <c r="G14" s="28">
        <f>'8'!J650</f>
        <v>0</v>
      </c>
      <c r="H14" s="28">
        <f>'8'!K650</f>
        <v>480232</v>
      </c>
      <c r="I14" s="28">
        <f>'8'!L650</f>
        <v>754669</v>
      </c>
      <c r="J14" s="28">
        <f>'8'!M650</f>
        <v>4153</v>
      </c>
      <c r="K14" s="28">
        <f>'8'!N650</f>
        <v>0</v>
      </c>
      <c r="L14" s="28">
        <f>'8'!O650</f>
        <v>0</v>
      </c>
      <c r="M14" s="28">
        <f>'8'!P650</f>
        <v>0</v>
      </c>
      <c r="N14" s="5">
        <f t="shared" si="0"/>
        <v>1239054</v>
      </c>
    </row>
    <row r="15" spans="1:14" s="19" customFormat="1" ht="34.5" customHeight="1" x14ac:dyDescent="0.2">
      <c r="A15" s="34"/>
      <c r="B15" s="34"/>
      <c r="C15" s="40" t="s">
        <v>10</v>
      </c>
      <c r="D15" s="7">
        <f>SUM(D3:D14)</f>
        <v>563773</v>
      </c>
      <c r="E15" s="7">
        <f>SUM(E3:E14)</f>
        <v>95624</v>
      </c>
      <c r="F15" s="7">
        <f t="shared" ref="F15:N15" si="1">SUM(F5:F14)</f>
        <v>6889527</v>
      </c>
      <c r="G15" s="7">
        <f t="shared" si="1"/>
        <v>109770</v>
      </c>
      <c r="H15" s="7">
        <f t="shared" si="1"/>
        <v>7480524</v>
      </c>
      <c r="I15" s="7">
        <f t="shared" si="1"/>
        <v>9990279</v>
      </c>
      <c r="J15" s="7">
        <f t="shared" si="1"/>
        <v>5356719</v>
      </c>
      <c r="K15" s="7">
        <f t="shared" si="1"/>
        <v>201721</v>
      </c>
      <c r="L15" s="7">
        <f t="shared" si="1"/>
        <v>117852</v>
      </c>
      <c r="M15" s="7">
        <f t="shared" si="1"/>
        <v>5577027</v>
      </c>
      <c r="N15" s="7">
        <f t="shared" si="1"/>
        <v>36382816</v>
      </c>
    </row>
    <row r="16" spans="1:14" s="19" customFormat="1" ht="12.95" customHeight="1" x14ac:dyDescent="0.2">
      <c r="A16" s="4">
        <v>2</v>
      </c>
      <c r="B16" s="41"/>
      <c r="C16" s="26" t="s">
        <v>161</v>
      </c>
      <c r="D16" s="28">
        <f>'10'!G22</f>
        <v>7537318</v>
      </c>
      <c r="E16" s="28">
        <f>'10'!H22</f>
        <v>1053108</v>
      </c>
      <c r="F16" s="28">
        <f>'10'!I22</f>
        <v>4270803</v>
      </c>
      <c r="G16" s="28">
        <f>'10'!J22</f>
        <v>10915</v>
      </c>
      <c r="H16" s="28">
        <f>'10'!K22</f>
        <v>27799</v>
      </c>
      <c r="I16" s="28">
        <f>'10'!L22</f>
        <v>285682</v>
      </c>
      <c r="J16" s="28">
        <f>'10'!M22</f>
        <v>95310</v>
      </c>
      <c r="K16" s="28">
        <f>'10'!N22</f>
        <v>0</v>
      </c>
      <c r="L16" s="28"/>
      <c r="M16" s="28">
        <f>'10'!O22</f>
        <v>0</v>
      </c>
      <c r="N16" s="28">
        <f>SUM(D16:M16)</f>
        <v>13280935</v>
      </c>
    </row>
    <row r="17" spans="1:14" s="19" customFormat="1" ht="12.95" customHeight="1" x14ac:dyDescent="0.2">
      <c r="A17" s="34"/>
      <c r="B17" s="34"/>
      <c r="C17" s="8" t="s">
        <v>151</v>
      </c>
      <c r="D17" s="7">
        <f t="shared" ref="D17:N17" si="2">SUM(D15:D16)</f>
        <v>8101091</v>
      </c>
      <c r="E17" s="7">
        <f t="shared" si="2"/>
        <v>1148732</v>
      </c>
      <c r="F17" s="7">
        <f t="shared" si="2"/>
        <v>11160330</v>
      </c>
      <c r="G17" s="7">
        <f t="shared" si="2"/>
        <v>120685</v>
      </c>
      <c r="H17" s="7">
        <f t="shared" ref="H17:M17" si="3">SUM(H15:H16)</f>
        <v>7508323</v>
      </c>
      <c r="I17" s="7">
        <f t="shared" si="3"/>
        <v>10275961</v>
      </c>
      <c r="J17" s="7">
        <f t="shared" si="3"/>
        <v>5452029</v>
      </c>
      <c r="K17" s="7">
        <f t="shared" si="3"/>
        <v>201721</v>
      </c>
      <c r="L17" s="7">
        <f t="shared" si="3"/>
        <v>117852</v>
      </c>
      <c r="M17" s="7">
        <f t="shared" si="3"/>
        <v>5577027</v>
      </c>
      <c r="N17" s="7">
        <f t="shared" si="2"/>
        <v>49663751</v>
      </c>
    </row>
    <row r="18" spans="1:14" x14ac:dyDescent="0.2">
      <c r="K18" s="53"/>
      <c r="N18" s="53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2025.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55"/>
  <sheetViews>
    <sheetView topLeftCell="D1" zoomScale="98" zoomScaleNormal="98" zoomScaleSheetLayoutView="120" workbookViewId="0">
      <pane ySplit="2" topLeftCell="A638" activePane="bottomLeft" state="frozen"/>
      <selection activeCell="G28" sqref="G28"/>
      <selection pane="bottomLeft" activeCell="D655" sqref="A655:XFD655"/>
    </sheetView>
  </sheetViews>
  <sheetFormatPr defaultRowHeight="12" x14ac:dyDescent="0.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178" customWidth="1"/>
    <col min="14" max="14" width="14.33203125" style="178" customWidth="1"/>
    <col min="15" max="15" width="10.33203125" style="1" customWidth="1"/>
    <col min="16" max="16" width="12.33203125" style="1" customWidth="1"/>
    <col min="17" max="17" width="15.83203125" style="1" customWidth="1"/>
    <col min="18" max="233" width="8.83203125" style="1"/>
    <col min="234" max="235" width="4.5" style="1" customWidth="1"/>
    <col min="236" max="236" width="8.6640625" style="1" customWidth="1"/>
    <col min="237" max="237" width="49.1640625" style="1" customWidth="1"/>
    <col min="238" max="238" width="3.1640625" style="1" customWidth="1"/>
    <col min="239" max="239" width="8.6640625" style="1" customWidth="1"/>
    <col min="240" max="240" width="10.5" style="1" customWidth="1"/>
    <col min="241" max="241" width="10.1640625" style="1" customWidth="1"/>
    <col min="242" max="242" width="11" style="1" customWidth="1"/>
    <col min="243" max="243" width="10.33203125" style="1" customWidth="1"/>
    <col min="244" max="244" width="9.83203125" style="1" customWidth="1"/>
    <col min="245" max="245" width="11.1640625" style="1" customWidth="1"/>
    <col min="246" max="246" width="10.5" style="1" customWidth="1"/>
    <col min="247" max="247" width="8.83203125" style="1" customWidth="1"/>
    <col min="248" max="248" width="10.33203125" style="1" customWidth="1"/>
    <col min="249" max="249" width="10.6640625" style="1" customWidth="1"/>
    <col min="250" max="250" width="12.5" style="1" customWidth="1"/>
    <col min="251" max="251" width="11.83203125" style="1" customWidth="1"/>
    <col min="252" max="252" width="11.1640625" style="1" customWidth="1"/>
    <col min="253" max="253" width="11" style="1" customWidth="1"/>
    <col min="254" max="254" width="11.1640625" style="1" customWidth="1"/>
    <col min="255" max="255" width="10.1640625" style="1" customWidth="1"/>
    <col min="256" max="256" width="11.83203125" style="1" customWidth="1"/>
    <col min="257" max="257" width="8.83203125" style="1"/>
    <col min="258" max="258" width="10.1640625" style="1" customWidth="1"/>
    <col min="259" max="259" width="10" style="1" customWidth="1"/>
    <col min="260" max="260" width="10.83203125" style="1" customWidth="1"/>
    <col min="261" max="261" width="11.33203125" style="1" customWidth="1"/>
    <col min="262" max="489" width="8.83203125" style="1"/>
    <col min="490" max="491" width="4.5" style="1" customWidth="1"/>
    <col min="492" max="492" width="8.6640625" style="1" customWidth="1"/>
    <col min="493" max="493" width="49.1640625" style="1" customWidth="1"/>
    <col min="494" max="494" width="3.1640625" style="1" customWidth="1"/>
    <col min="495" max="495" width="8.6640625" style="1" customWidth="1"/>
    <col min="496" max="496" width="10.5" style="1" customWidth="1"/>
    <col min="497" max="497" width="10.1640625" style="1" customWidth="1"/>
    <col min="498" max="498" width="11" style="1" customWidth="1"/>
    <col min="499" max="499" width="10.33203125" style="1" customWidth="1"/>
    <col min="500" max="500" width="9.83203125" style="1" customWidth="1"/>
    <col min="501" max="501" width="11.1640625" style="1" customWidth="1"/>
    <col min="502" max="502" width="10.5" style="1" customWidth="1"/>
    <col min="503" max="503" width="8.83203125" style="1" customWidth="1"/>
    <col min="504" max="504" width="10.33203125" style="1" customWidth="1"/>
    <col min="505" max="505" width="10.6640625" style="1" customWidth="1"/>
    <col min="506" max="506" width="12.5" style="1" customWidth="1"/>
    <col min="507" max="507" width="11.83203125" style="1" customWidth="1"/>
    <col min="508" max="508" width="11.1640625" style="1" customWidth="1"/>
    <col min="509" max="509" width="11" style="1" customWidth="1"/>
    <col min="510" max="510" width="11.1640625" style="1" customWidth="1"/>
    <col min="511" max="511" width="10.1640625" style="1" customWidth="1"/>
    <col min="512" max="512" width="11.83203125" style="1" customWidth="1"/>
    <col min="513" max="513" width="8.83203125" style="1"/>
    <col min="514" max="514" width="10.1640625" style="1" customWidth="1"/>
    <col min="515" max="515" width="10" style="1" customWidth="1"/>
    <col min="516" max="516" width="10.83203125" style="1" customWidth="1"/>
    <col min="517" max="517" width="11.33203125" style="1" customWidth="1"/>
    <col min="518" max="745" width="8.83203125" style="1"/>
    <col min="746" max="747" width="4.5" style="1" customWidth="1"/>
    <col min="748" max="748" width="8.6640625" style="1" customWidth="1"/>
    <col min="749" max="749" width="49.1640625" style="1" customWidth="1"/>
    <col min="750" max="750" width="3.1640625" style="1" customWidth="1"/>
    <col min="751" max="751" width="8.6640625" style="1" customWidth="1"/>
    <col min="752" max="752" width="10.5" style="1" customWidth="1"/>
    <col min="753" max="753" width="10.1640625" style="1" customWidth="1"/>
    <col min="754" max="754" width="11" style="1" customWidth="1"/>
    <col min="755" max="755" width="10.33203125" style="1" customWidth="1"/>
    <col min="756" max="756" width="9.83203125" style="1" customWidth="1"/>
    <col min="757" max="757" width="11.1640625" style="1" customWidth="1"/>
    <col min="758" max="758" width="10.5" style="1" customWidth="1"/>
    <col min="759" max="759" width="8.83203125" style="1" customWidth="1"/>
    <col min="760" max="760" width="10.33203125" style="1" customWidth="1"/>
    <col min="761" max="761" width="10.6640625" style="1" customWidth="1"/>
    <col min="762" max="762" width="12.5" style="1" customWidth="1"/>
    <col min="763" max="763" width="11.83203125" style="1" customWidth="1"/>
    <col min="764" max="764" width="11.1640625" style="1" customWidth="1"/>
    <col min="765" max="765" width="11" style="1" customWidth="1"/>
    <col min="766" max="766" width="11.1640625" style="1" customWidth="1"/>
    <col min="767" max="767" width="10.1640625" style="1" customWidth="1"/>
    <col min="768" max="768" width="11.83203125" style="1" customWidth="1"/>
    <col min="769" max="769" width="8.83203125" style="1"/>
    <col min="770" max="770" width="10.1640625" style="1" customWidth="1"/>
    <col min="771" max="771" width="10" style="1" customWidth="1"/>
    <col min="772" max="772" width="10.83203125" style="1" customWidth="1"/>
    <col min="773" max="773" width="11.33203125" style="1" customWidth="1"/>
    <col min="774" max="1001" width="8.83203125" style="1"/>
    <col min="1002" max="1003" width="4.5" style="1" customWidth="1"/>
    <col min="1004" max="1004" width="8.6640625" style="1" customWidth="1"/>
    <col min="1005" max="1005" width="49.1640625" style="1" customWidth="1"/>
    <col min="1006" max="1006" width="3.1640625" style="1" customWidth="1"/>
    <col min="1007" max="1007" width="8.6640625" style="1" customWidth="1"/>
    <col min="1008" max="1008" width="10.5" style="1" customWidth="1"/>
    <col min="1009" max="1009" width="10.1640625" style="1" customWidth="1"/>
    <col min="1010" max="1010" width="11" style="1" customWidth="1"/>
    <col min="1011" max="1011" width="10.33203125" style="1" customWidth="1"/>
    <col min="1012" max="1012" width="9.83203125" style="1" customWidth="1"/>
    <col min="1013" max="1013" width="11.1640625" style="1" customWidth="1"/>
    <col min="1014" max="1014" width="10.5" style="1" customWidth="1"/>
    <col min="1015" max="1015" width="8.83203125" style="1" customWidth="1"/>
    <col min="1016" max="1016" width="10.33203125" style="1" customWidth="1"/>
    <col min="1017" max="1017" width="10.6640625" style="1" customWidth="1"/>
    <col min="1018" max="1018" width="12.5" style="1" customWidth="1"/>
    <col min="1019" max="1019" width="11.83203125" style="1" customWidth="1"/>
    <col min="1020" max="1020" width="11.1640625" style="1" customWidth="1"/>
    <col min="1021" max="1021" width="11" style="1" customWidth="1"/>
    <col min="1022" max="1022" width="11.1640625" style="1" customWidth="1"/>
    <col min="1023" max="1023" width="10.1640625" style="1" customWidth="1"/>
    <col min="1024" max="1024" width="11.83203125" style="1" customWidth="1"/>
    <col min="1025" max="1025" width="8.83203125" style="1"/>
    <col min="1026" max="1026" width="10.1640625" style="1" customWidth="1"/>
    <col min="1027" max="1027" width="10" style="1" customWidth="1"/>
    <col min="1028" max="1028" width="10.83203125" style="1" customWidth="1"/>
    <col min="1029" max="1029" width="11.33203125" style="1" customWidth="1"/>
    <col min="1030" max="1257" width="8.83203125" style="1"/>
    <col min="1258" max="1259" width="4.5" style="1" customWidth="1"/>
    <col min="1260" max="1260" width="8.6640625" style="1" customWidth="1"/>
    <col min="1261" max="1261" width="49.1640625" style="1" customWidth="1"/>
    <col min="1262" max="1262" width="3.1640625" style="1" customWidth="1"/>
    <col min="1263" max="1263" width="8.6640625" style="1" customWidth="1"/>
    <col min="1264" max="1264" width="10.5" style="1" customWidth="1"/>
    <col min="1265" max="1265" width="10.1640625" style="1" customWidth="1"/>
    <col min="1266" max="1266" width="11" style="1" customWidth="1"/>
    <col min="1267" max="1267" width="10.33203125" style="1" customWidth="1"/>
    <col min="1268" max="1268" width="9.83203125" style="1" customWidth="1"/>
    <col min="1269" max="1269" width="11.1640625" style="1" customWidth="1"/>
    <col min="1270" max="1270" width="10.5" style="1" customWidth="1"/>
    <col min="1271" max="1271" width="8.83203125" style="1" customWidth="1"/>
    <col min="1272" max="1272" width="10.33203125" style="1" customWidth="1"/>
    <col min="1273" max="1273" width="10.6640625" style="1" customWidth="1"/>
    <col min="1274" max="1274" width="12.5" style="1" customWidth="1"/>
    <col min="1275" max="1275" width="11.83203125" style="1" customWidth="1"/>
    <col min="1276" max="1276" width="11.1640625" style="1" customWidth="1"/>
    <col min="1277" max="1277" width="11" style="1" customWidth="1"/>
    <col min="1278" max="1278" width="11.1640625" style="1" customWidth="1"/>
    <col min="1279" max="1279" width="10.1640625" style="1" customWidth="1"/>
    <col min="1280" max="1280" width="11.83203125" style="1" customWidth="1"/>
    <col min="1281" max="1281" width="8.83203125" style="1"/>
    <col min="1282" max="1282" width="10.1640625" style="1" customWidth="1"/>
    <col min="1283" max="1283" width="10" style="1" customWidth="1"/>
    <col min="1284" max="1284" width="10.83203125" style="1" customWidth="1"/>
    <col min="1285" max="1285" width="11.33203125" style="1" customWidth="1"/>
    <col min="1286" max="1513" width="8.83203125" style="1"/>
    <col min="1514" max="1515" width="4.5" style="1" customWidth="1"/>
    <col min="1516" max="1516" width="8.6640625" style="1" customWidth="1"/>
    <col min="1517" max="1517" width="49.1640625" style="1" customWidth="1"/>
    <col min="1518" max="1518" width="3.1640625" style="1" customWidth="1"/>
    <col min="1519" max="1519" width="8.6640625" style="1" customWidth="1"/>
    <col min="1520" max="1520" width="10.5" style="1" customWidth="1"/>
    <col min="1521" max="1521" width="10.1640625" style="1" customWidth="1"/>
    <col min="1522" max="1522" width="11" style="1" customWidth="1"/>
    <col min="1523" max="1523" width="10.33203125" style="1" customWidth="1"/>
    <col min="1524" max="1524" width="9.83203125" style="1" customWidth="1"/>
    <col min="1525" max="1525" width="11.1640625" style="1" customWidth="1"/>
    <col min="1526" max="1526" width="10.5" style="1" customWidth="1"/>
    <col min="1527" max="1527" width="8.83203125" style="1" customWidth="1"/>
    <col min="1528" max="1528" width="10.33203125" style="1" customWidth="1"/>
    <col min="1529" max="1529" width="10.6640625" style="1" customWidth="1"/>
    <col min="1530" max="1530" width="12.5" style="1" customWidth="1"/>
    <col min="1531" max="1531" width="11.83203125" style="1" customWidth="1"/>
    <col min="1532" max="1532" width="11.1640625" style="1" customWidth="1"/>
    <col min="1533" max="1533" width="11" style="1" customWidth="1"/>
    <col min="1534" max="1534" width="11.1640625" style="1" customWidth="1"/>
    <col min="1535" max="1535" width="10.1640625" style="1" customWidth="1"/>
    <col min="1536" max="1536" width="11.83203125" style="1" customWidth="1"/>
    <col min="1537" max="1537" width="8.83203125" style="1"/>
    <col min="1538" max="1538" width="10.1640625" style="1" customWidth="1"/>
    <col min="1539" max="1539" width="10" style="1" customWidth="1"/>
    <col min="1540" max="1540" width="10.83203125" style="1" customWidth="1"/>
    <col min="1541" max="1541" width="11.33203125" style="1" customWidth="1"/>
    <col min="1542" max="1769" width="8.83203125" style="1"/>
    <col min="1770" max="1771" width="4.5" style="1" customWidth="1"/>
    <col min="1772" max="1772" width="8.6640625" style="1" customWidth="1"/>
    <col min="1773" max="1773" width="49.1640625" style="1" customWidth="1"/>
    <col min="1774" max="1774" width="3.1640625" style="1" customWidth="1"/>
    <col min="1775" max="1775" width="8.6640625" style="1" customWidth="1"/>
    <col min="1776" max="1776" width="10.5" style="1" customWidth="1"/>
    <col min="1777" max="1777" width="10.1640625" style="1" customWidth="1"/>
    <col min="1778" max="1778" width="11" style="1" customWidth="1"/>
    <col min="1779" max="1779" width="10.33203125" style="1" customWidth="1"/>
    <col min="1780" max="1780" width="9.83203125" style="1" customWidth="1"/>
    <col min="1781" max="1781" width="11.1640625" style="1" customWidth="1"/>
    <col min="1782" max="1782" width="10.5" style="1" customWidth="1"/>
    <col min="1783" max="1783" width="8.83203125" style="1" customWidth="1"/>
    <col min="1784" max="1784" width="10.33203125" style="1" customWidth="1"/>
    <col min="1785" max="1785" width="10.6640625" style="1" customWidth="1"/>
    <col min="1786" max="1786" width="12.5" style="1" customWidth="1"/>
    <col min="1787" max="1787" width="11.83203125" style="1" customWidth="1"/>
    <col min="1788" max="1788" width="11.1640625" style="1" customWidth="1"/>
    <col min="1789" max="1789" width="11" style="1" customWidth="1"/>
    <col min="1790" max="1790" width="11.1640625" style="1" customWidth="1"/>
    <col min="1791" max="1791" width="10.1640625" style="1" customWidth="1"/>
    <col min="1792" max="1792" width="11.83203125" style="1" customWidth="1"/>
    <col min="1793" max="1793" width="8.83203125" style="1"/>
    <col min="1794" max="1794" width="10.1640625" style="1" customWidth="1"/>
    <col min="1795" max="1795" width="10" style="1" customWidth="1"/>
    <col min="1796" max="1796" width="10.83203125" style="1" customWidth="1"/>
    <col min="1797" max="1797" width="11.33203125" style="1" customWidth="1"/>
    <col min="1798" max="2025" width="8.83203125" style="1"/>
    <col min="2026" max="2027" width="4.5" style="1" customWidth="1"/>
    <col min="2028" max="2028" width="8.6640625" style="1" customWidth="1"/>
    <col min="2029" max="2029" width="49.1640625" style="1" customWidth="1"/>
    <col min="2030" max="2030" width="3.1640625" style="1" customWidth="1"/>
    <col min="2031" max="2031" width="8.6640625" style="1" customWidth="1"/>
    <col min="2032" max="2032" width="10.5" style="1" customWidth="1"/>
    <col min="2033" max="2033" width="10.1640625" style="1" customWidth="1"/>
    <col min="2034" max="2034" width="11" style="1" customWidth="1"/>
    <col min="2035" max="2035" width="10.33203125" style="1" customWidth="1"/>
    <col min="2036" max="2036" width="9.83203125" style="1" customWidth="1"/>
    <col min="2037" max="2037" width="11.1640625" style="1" customWidth="1"/>
    <col min="2038" max="2038" width="10.5" style="1" customWidth="1"/>
    <col min="2039" max="2039" width="8.83203125" style="1" customWidth="1"/>
    <col min="2040" max="2040" width="10.33203125" style="1" customWidth="1"/>
    <col min="2041" max="2041" width="10.6640625" style="1" customWidth="1"/>
    <col min="2042" max="2042" width="12.5" style="1" customWidth="1"/>
    <col min="2043" max="2043" width="11.83203125" style="1" customWidth="1"/>
    <col min="2044" max="2044" width="11.1640625" style="1" customWidth="1"/>
    <col min="2045" max="2045" width="11" style="1" customWidth="1"/>
    <col min="2046" max="2046" width="11.1640625" style="1" customWidth="1"/>
    <col min="2047" max="2047" width="10.1640625" style="1" customWidth="1"/>
    <col min="2048" max="2048" width="11.83203125" style="1" customWidth="1"/>
    <col min="2049" max="2049" width="8.83203125" style="1"/>
    <col min="2050" max="2050" width="10.1640625" style="1" customWidth="1"/>
    <col min="2051" max="2051" width="10" style="1" customWidth="1"/>
    <col min="2052" max="2052" width="10.83203125" style="1" customWidth="1"/>
    <col min="2053" max="2053" width="11.33203125" style="1" customWidth="1"/>
    <col min="2054" max="2281" width="8.83203125" style="1"/>
    <col min="2282" max="2283" width="4.5" style="1" customWidth="1"/>
    <col min="2284" max="2284" width="8.6640625" style="1" customWidth="1"/>
    <col min="2285" max="2285" width="49.1640625" style="1" customWidth="1"/>
    <col min="2286" max="2286" width="3.1640625" style="1" customWidth="1"/>
    <col min="2287" max="2287" width="8.6640625" style="1" customWidth="1"/>
    <col min="2288" max="2288" width="10.5" style="1" customWidth="1"/>
    <col min="2289" max="2289" width="10.1640625" style="1" customWidth="1"/>
    <col min="2290" max="2290" width="11" style="1" customWidth="1"/>
    <col min="2291" max="2291" width="10.33203125" style="1" customWidth="1"/>
    <col min="2292" max="2292" width="9.83203125" style="1" customWidth="1"/>
    <col min="2293" max="2293" width="11.1640625" style="1" customWidth="1"/>
    <col min="2294" max="2294" width="10.5" style="1" customWidth="1"/>
    <col min="2295" max="2295" width="8.83203125" style="1" customWidth="1"/>
    <col min="2296" max="2296" width="10.33203125" style="1" customWidth="1"/>
    <col min="2297" max="2297" width="10.6640625" style="1" customWidth="1"/>
    <col min="2298" max="2298" width="12.5" style="1" customWidth="1"/>
    <col min="2299" max="2299" width="11.83203125" style="1" customWidth="1"/>
    <col min="2300" max="2300" width="11.1640625" style="1" customWidth="1"/>
    <col min="2301" max="2301" width="11" style="1" customWidth="1"/>
    <col min="2302" max="2302" width="11.1640625" style="1" customWidth="1"/>
    <col min="2303" max="2303" width="10.1640625" style="1" customWidth="1"/>
    <col min="2304" max="2304" width="11.83203125" style="1" customWidth="1"/>
    <col min="2305" max="2305" width="8.83203125" style="1"/>
    <col min="2306" max="2306" width="10.1640625" style="1" customWidth="1"/>
    <col min="2307" max="2307" width="10" style="1" customWidth="1"/>
    <col min="2308" max="2308" width="10.83203125" style="1" customWidth="1"/>
    <col min="2309" max="2309" width="11.33203125" style="1" customWidth="1"/>
    <col min="2310" max="2537" width="8.83203125" style="1"/>
    <col min="2538" max="2539" width="4.5" style="1" customWidth="1"/>
    <col min="2540" max="2540" width="8.6640625" style="1" customWidth="1"/>
    <col min="2541" max="2541" width="49.1640625" style="1" customWidth="1"/>
    <col min="2542" max="2542" width="3.1640625" style="1" customWidth="1"/>
    <col min="2543" max="2543" width="8.6640625" style="1" customWidth="1"/>
    <col min="2544" max="2544" width="10.5" style="1" customWidth="1"/>
    <col min="2545" max="2545" width="10.1640625" style="1" customWidth="1"/>
    <col min="2546" max="2546" width="11" style="1" customWidth="1"/>
    <col min="2547" max="2547" width="10.33203125" style="1" customWidth="1"/>
    <col min="2548" max="2548" width="9.83203125" style="1" customWidth="1"/>
    <col min="2549" max="2549" width="11.1640625" style="1" customWidth="1"/>
    <col min="2550" max="2550" width="10.5" style="1" customWidth="1"/>
    <col min="2551" max="2551" width="8.83203125" style="1" customWidth="1"/>
    <col min="2552" max="2552" width="10.33203125" style="1" customWidth="1"/>
    <col min="2553" max="2553" width="10.6640625" style="1" customWidth="1"/>
    <col min="2554" max="2554" width="12.5" style="1" customWidth="1"/>
    <col min="2555" max="2555" width="11.83203125" style="1" customWidth="1"/>
    <col min="2556" max="2556" width="11.1640625" style="1" customWidth="1"/>
    <col min="2557" max="2557" width="11" style="1" customWidth="1"/>
    <col min="2558" max="2558" width="11.1640625" style="1" customWidth="1"/>
    <col min="2559" max="2559" width="10.1640625" style="1" customWidth="1"/>
    <col min="2560" max="2560" width="11.83203125" style="1" customWidth="1"/>
    <col min="2561" max="2561" width="8.83203125" style="1"/>
    <col min="2562" max="2562" width="10.1640625" style="1" customWidth="1"/>
    <col min="2563" max="2563" width="10" style="1" customWidth="1"/>
    <col min="2564" max="2564" width="10.83203125" style="1" customWidth="1"/>
    <col min="2565" max="2565" width="11.33203125" style="1" customWidth="1"/>
    <col min="2566" max="2793" width="8.83203125" style="1"/>
    <col min="2794" max="2795" width="4.5" style="1" customWidth="1"/>
    <col min="2796" max="2796" width="8.6640625" style="1" customWidth="1"/>
    <col min="2797" max="2797" width="49.1640625" style="1" customWidth="1"/>
    <col min="2798" max="2798" width="3.1640625" style="1" customWidth="1"/>
    <col min="2799" max="2799" width="8.6640625" style="1" customWidth="1"/>
    <col min="2800" max="2800" width="10.5" style="1" customWidth="1"/>
    <col min="2801" max="2801" width="10.1640625" style="1" customWidth="1"/>
    <col min="2802" max="2802" width="11" style="1" customWidth="1"/>
    <col min="2803" max="2803" width="10.33203125" style="1" customWidth="1"/>
    <col min="2804" max="2804" width="9.83203125" style="1" customWidth="1"/>
    <col min="2805" max="2805" width="11.1640625" style="1" customWidth="1"/>
    <col min="2806" max="2806" width="10.5" style="1" customWidth="1"/>
    <col min="2807" max="2807" width="8.83203125" style="1" customWidth="1"/>
    <col min="2808" max="2808" width="10.33203125" style="1" customWidth="1"/>
    <col min="2809" max="2809" width="10.6640625" style="1" customWidth="1"/>
    <col min="2810" max="2810" width="12.5" style="1" customWidth="1"/>
    <col min="2811" max="2811" width="11.83203125" style="1" customWidth="1"/>
    <col min="2812" max="2812" width="11.1640625" style="1" customWidth="1"/>
    <col min="2813" max="2813" width="11" style="1" customWidth="1"/>
    <col min="2814" max="2814" width="11.1640625" style="1" customWidth="1"/>
    <col min="2815" max="2815" width="10.1640625" style="1" customWidth="1"/>
    <col min="2816" max="2816" width="11.83203125" style="1" customWidth="1"/>
    <col min="2817" max="2817" width="8.83203125" style="1"/>
    <col min="2818" max="2818" width="10.1640625" style="1" customWidth="1"/>
    <col min="2819" max="2819" width="10" style="1" customWidth="1"/>
    <col min="2820" max="2820" width="10.83203125" style="1" customWidth="1"/>
    <col min="2821" max="2821" width="11.33203125" style="1" customWidth="1"/>
    <col min="2822" max="3049" width="8.83203125" style="1"/>
    <col min="3050" max="3051" width="4.5" style="1" customWidth="1"/>
    <col min="3052" max="3052" width="8.6640625" style="1" customWidth="1"/>
    <col min="3053" max="3053" width="49.1640625" style="1" customWidth="1"/>
    <col min="3054" max="3054" width="3.1640625" style="1" customWidth="1"/>
    <col min="3055" max="3055" width="8.6640625" style="1" customWidth="1"/>
    <col min="3056" max="3056" width="10.5" style="1" customWidth="1"/>
    <col min="3057" max="3057" width="10.1640625" style="1" customWidth="1"/>
    <col min="3058" max="3058" width="11" style="1" customWidth="1"/>
    <col min="3059" max="3059" width="10.33203125" style="1" customWidth="1"/>
    <col min="3060" max="3060" width="9.83203125" style="1" customWidth="1"/>
    <col min="3061" max="3061" width="11.1640625" style="1" customWidth="1"/>
    <col min="3062" max="3062" width="10.5" style="1" customWidth="1"/>
    <col min="3063" max="3063" width="8.83203125" style="1" customWidth="1"/>
    <col min="3064" max="3064" width="10.33203125" style="1" customWidth="1"/>
    <col min="3065" max="3065" width="10.6640625" style="1" customWidth="1"/>
    <col min="3066" max="3066" width="12.5" style="1" customWidth="1"/>
    <col min="3067" max="3067" width="11.83203125" style="1" customWidth="1"/>
    <col min="3068" max="3068" width="11.1640625" style="1" customWidth="1"/>
    <col min="3069" max="3069" width="11" style="1" customWidth="1"/>
    <col min="3070" max="3070" width="11.1640625" style="1" customWidth="1"/>
    <col min="3071" max="3071" width="10.1640625" style="1" customWidth="1"/>
    <col min="3072" max="3072" width="11.83203125" style="1" customWidth="1"/>
    <col min="3073" max="3073" width="8.83203125" style="1"/>
    <col min="3074" max="3074" width="10.1640625" style="1" customWidth="1"/>
    <col min="3075" max="3075" width="10" style="1" customWidth="1"/>
    <col min="3076" max="3076" width="10.83203125" style="1" customWidth="1"/>
    <col min="3077" max="3077" width="11.33203125" style="1" customWidth="1"/>
    <col min="3078" max="3305" width="8.83203125" style="1"/>
    <col min="3306" max="3307" width="4.5" style="1" customWidth="1"/>
    <col min="3308" max="3308" width="8.6640625" style="1" customWidth="1"/>
    <col min="3309" max="3309" width="49.1640625" style="1" customWidth="1"/>
    <col min="3310" max="3310" width="3.1640625" style="1" customWidth="1"/>
    <col min="3311" max="3311" width="8.6640625" style="1" customWidth="1"/>
    <col min="3312" max="3312" width="10.5" style="1" customWidth="1"/>
    <col min="3313" max="3313" width="10.1640625" style="1" customWidth="1"/>
    <col min="3314" max="3314" width="11" style="1" customWidth="1"/>
    <col min="3315" max="3315" width="10.33203125" style="1" customWidth="1"/>
    <col min="3316" max="3316" width="9.83203125" style="1" customWidth="1"/>
    <col min="3317" max="3317" width="11.1640625" style="1" customWidth="1"/>
    <col min="3318" max="3318" width="10.5" style="1" customWidth="1"/>
    <col min="3319" max="3319" width="8.83203125" style="1" customWidth="1"/>
    <col min="3320" max="3320" width="10.33203125" style="1" customWidth="1"/>
    <col min="3321" max="3321" width="10.6640625" style="1" customWidth="1"/>
    <col min="3322" max="3322" width="12.5" style="1" customWidth="1"/>
    <col min="3323" max="3323" width="11.83203125" style="1" customWidth="1"/>
    <col min="3324" max="3324" width="11.1640625" style="1" customWidth="1"/>
    <col min="3325" max="3325" width="11" style="1" customWidth="1"/>
    <col min="3326" max="3326" width="11.1640625" style="1" customWidth="1"/>
    <col min="3327" max="3327" width="10.1640625" style="1" customWidth="1"/>
    <col min="3328" max="3328" width="11.83203125" style="1" customWidth="1"/>
    <col min="3329" max="3329" width="8.83203125" style="1"/>
    <col min="3330" max="3330" width="10.1640625" style="1" customWidth="1"/>
    <col min="3331" max="3331" width="10" style="1" customWidth="1"/>
    <col min="3332" max="3332" width="10.83203125" style="1" customWidth="1"/>
    <col min="3333" max="3333" width="11.33203125" style="1" customWidth="1"/>
    <col min="3334" max="3561" width="8.83203125" style="1"/>
    <col min="3562" max="3563" width="4.5" style="1" customWidth="1"/>
    <col min="3564" max="3564" width="8.6640625" style="1" customWidth="1"/>
    <col min="3565" max="3565" width="49.1640625" style="1" customWidth="1"/>
    <col min="3566" max="3566" width="3.1640625" style="1" customWidth="1"/>
    <col min="3567" max="3567" width="8.6640625" style="1" customWidth="1"/>
    <col min="3568" max="3568" width="10.5" style="1" customWidth="1"/>
    <col min="3569" max="3569" width="10.1640625" style="1" customWidth="1"/>
    <col min="3570" max="3570" width="11" style="1" customWidth="1"/>
    <col min="3571" max="3571" width="10.33203125" style="1" customWidth="1"/>
    <col min="3572" max="3572" width="9.83203125" style="1" customWidth="1"/>
    <col min="3573" max="3573" width="11.1640625" style="1" customWidth="1"/>
    <col min="3574" max="3574" width="10.5" style="1" customWidth="1"/>
    <col min="3575" max="3575" width="8.83203125" style="1" customWidth="1"/>
    <col min="3576" max="3576" width="10.33203125" style="1" customWidth="1"/>
    <col min="3577" max="3577" width="10.6640625" style="1" customWidth="1"/>
    <col min="3578" max="3578" width="12.5" style="1" customWidth="1"/>
    <col min="3579" max="3579" width="11.83203125" style="1" customWidth="1"/>
    <col min="3580" max="3580" width="11.1640625" style="1" customWidth="1"/>
    <col min="3581" max="3581" width="11" style="1" customWidth="1"/>
    <col min="3582" max="3582" width="11.1640625" style="1" customWidth="1"/>
    <col min="3583" max="3583" width="10.1640625" style="1" customWidth="1"/>
    <col min="3584" max="3584" width="11.83203125" style="1" customWidth="1"/>
    <col min="3585" max="3585" width="8.83203125" style="1"/>
    <col min="3586" max="3586" width="10.1640625" style="1" customWidth="1"/>
    <col min="3587" max="3587" width="10" style="1" customWidth="1"/>
    <col min="3588" max="3588" width="10.83203125" style="1" customWidth="1"/>
    <col min="3589" max="3589" width="11.33203125" style="1" customWidth="1"/>
    <col min="3590" max="3817" width="8.83203125" style="1"/>
    <col min="3818" max="3819" width="4.5" style="1" customWidth="1"/>
    <col min="3820" max="3820" width="8.6640625" style="1" customWidth="1"/>
    <col min="3821" max="3821" width="49.1640625" style="1" customWidth="1"/>
    <col min="3822" max="3822" width="3.1640625" style="1" customWidth="1"/>
    <col min="3823" max="3823" width="8.6640625" style="1" customWidth="1"/>
    <col min="3824" max="3824" width="10.5" style="1" customWidth="1"/>
    <col min="3825" max="3825" width="10.1640625" style="1" customWidth="1"/>
    <col min="3826" max="3826" width="11" style="1" customWidth="1"/>
    <col min="3827" max="3827" width="10.33203125" style="1" customWidth="1"/>
    <col min="3828" max="3828" width="9.83203125" style="1" customWidth="1"/>
    <col min="3829" max="3829" width="11.1640625" style="1" customWidth="1"/>
    <col min="3830" max="3830" width="10.5" style="1" customWidth="1"/>
    <col min="3831" max="3831" width="8.83203125" style="1" customWidth="1"/>
    <col min="3832" max="3832" width="10.33203125" style="1" customWidth="1"/>
    <col min="3833" max="3833" width="10.6640625" style="1" customWidth="1"/>
    <col min="3834" max="3834" width="12.5" style="1" customWidth="1"/>
    <col min="3835" max="3835" width="11.83203125" style="1" customWidth="1"/>
    <col min="3836" max="3836" width="11.1640625" style="1" customWidth="1"/>
    <col min="3837" max="3837" width="11" style="1" customWidth="1"/>
    <col min="3838" max="3838" width="11.1640625" style="1" customWidth="1"/>
    <col min="3839" max="3839" width="10.1640625" style="1" customWidth="1"/>
    <col min="3840" max="3840" width="11.83203125" style="1" customWidth="1"/>
    <col min="3841" max="3841" width="8.83203125" style="1"/>
    <col min="3842" max="3842" width="10.1640625" style="1" customWidth="1"/>
    <col min="3843" max="3843" width="10" style="1" customWidth="1"/>
    <col min="3844" max="3844" width="10.83203125" style="1" customWidth="1"/>
    <col min="3845" max="3845" width="11.33203125" style="1" customWidth="1"/>
    <col min="3846" max="4073" width="8.83203125" style="1"/>
    <col min="4074" max="4075" width="4.5" style="1" customWidth="1"/>
    <col min="4076" max="4076" width="8.6640625" style="1" customWidth="1"/>
    <col min="4077" max="4077" width="49.1640625" style="1" customWidth="1"/>
    <col min="4078" max="4078" width="3.1640625" style="1" customWidth="1"/>
    <col min="4079" max="4079" width="8.6640625" style="1" customWidth="1"/>
    <col min="4080" max="4080" width="10.5" style="1" customWidth="1"/>
    <col min="4081" max="4081" width="10.1640625" style="1" customWidth="1"/>
    <col min="4082" max="4082" width="11" style="1" customWidth="1"/>
    <col min="4083" max="4083" width="10.33203125" style="1" customWidth="1"/>
    <col min="4084" max="4084" width="9.83203125" style="1" customWidth="1"/>
    <col min="4085" max="4085" width="11.1640625" style="1" customWidth="1"/>
    <col min="4086" max="4086" width="10.5" style="1" customWidth="1"/>
    <col min="4087" max="4087" width="8.83203125" style="1" customWidth="1"/>
    <col min="4088" max="4088" width="10.33203125" style="1" customWidth="1"/>
    <col min="4089" max="4089" width="10.6640625" style="1" customWidth="1"/>
    <col min="4090" max="4090" width="12.5" style="1" customWidth="1"/>
    <col min="4091" max="4091" width="11.83203125" style="1" customWidth="1"/>
    <col min="4092" max="4092" width="11.1640625" style="1" customWidth="1"/>
    <col min="4093" max="4093" width="11" style="1" customWidth="1"/>
    <col min="4094" max="4094" width="11.1640625" style="1" customWidth="1"/>
    <col min="4095" max="4095" width="10.1640625" style="1" customWidth="1"/>
    <col min="4096" max="4096" width="11.83203125" style="1" customWidth="1"/>
    <col min="4097" max="4097" width="8.83203125" style="1"/>
    <col min="4098" max="4098" width="10.1640625" style="1" customWidth="1"/>
    <col min="4099" max="4099" width="10" style="1" customWidth="1"/>
    <col min="4100" max="4100" width="10.83203125" style="1" customWidth="1"/>
    <col min="4101" max="4101" width="11.33203125" style="1" customWidth="1"/>
    <col min="4102" max="4329" width="8.83203125" style="1"/>
    <col min="4330" max="4331" width="4.5" style="1" customWidth="1"/>
    <col min="4332" max="4332" width="8.6640625" style="1" customWidth="1"/>
    <col min="4333" max="4333" width="49.1640625" style="1" customWidth="1"/>
    <col min="4334" max="4334" width="3.1640625" style="1" customWidth="1"/>
    <col min="4335" max="4335" width="8.6640625" style="1" customWidth="1"/>
    <col min="4336" max="4336" width="10.5" style="1" customWidth="1"/>
    <col min="4337" max="4337" width="10.1640625" style="1" customWidth="1"/>
    <col min="4338" max="4338" width="11" style="1" customWidth="1"/>
    <col min="4339" max="4339" width="10.33203125" style="1" customWidth="1"/>
    <col min="4340" max="4340" width="9.83203125" style="1" customWidth="1"/>
    <col min="4341" max="4341" width="11.1640625" style="1" customWidth="1"/>
    <col min="4342" max="4342" width="10.5" style="1" customWidth="1"/>
    <col min="4343" max="4343" width="8.83203125" style="1" customWidth="1"/>
    <col min="4344" max="4344" width="10.33203125" style="1" customWidth="1"/>
    <col min="4345" max="4345" width="10.6640625" style="1" customWidth="1"/>
    <col min="4346" max="4346" width="12.5" style="1" customWidth="1"/>
    <col min="4347" max="4347" width="11.83203125" style="1" customWidth="1"/>
    <col min="4348" max="4348" width="11.1640625" style="1" customWidth="1"/>
    <col min="4349" max="4349" width="11" style="1" customWidth="1"/>
    <col min="4350" max="4350" width="11.1640625" style="1" customWidth="1"/>
    <col min="4351" max="4351" width="10.1640625" style="1" customWidth="1"/>
    <col min="4352" max="4352" width="11.83203125" style="1" customWidth="1"/>
    <col min="4353" max="4353" width="8.83203125" style="1"/>
    <col min="4354" max="4354" width="10.1640625" style="1" customWidth="1"/>
    <col min="4355" max="4355" width="10" style="1" customWidth="1"/>
    <col min="4356" max="4356" width="10.83203125" style="1" customWidth="1"/>
    <col min="4357" max="4357" width="11.33203125" style="1" customWidth="1"/>
    <col min="4358" max="4585" width="8.83203125" style="1"/>
    <col min="4586" max="4587" width="4.5" style="1" customWidth="1"/>
    <col min="4588" max="4588" width="8.6640625" style="1" customWidth="1"/>
    <col min="4589" max="4589" width="49.1640625" style="1" customWidth="1"/>
    <col min="4590" max="4590" width="3.1640625" style="1" customWidth="1"/>
    <col min="4591" max="4591" width="8.6640625" style="1" customWidth="1"/>
    <col min="4592" max="4592" width="10.5" style="1" customWidth="1"/>
    <col min="4593" max="4593" width="10.1640625" style="1" customWidth="1"/>
    <col min="4594" max="4594" width="11" style="1" customWidth="1"/>
    <col min="4595" max="4595" width="10.33203125" style="1" customWidth="1"/>
    <col min="4596" max="4596" width="9.83203125" style="1" customWidth="1"/>
    <col min="4597" max="4597" width="11.1640625" style="1" customWidth="1"/>
    <col min="4598" max="4598" width="10.5" style="1" customWidth="1"/>
    <col min="4599" max="4599" width="8.83203125" style="1" customWidth="1"/>
    <col min="4600" max="4600" width="10.33203125" style="1" customWidth="1"/>
    <col min="4601" max="4601" width="10.6640625" style="1" customWidth="1"/>
    <col min="4602" max="4602" width="12.5" style="1" customWidth="1"/>
    <col min="4603" max="4603" width="11.83203125" style="1" customWidth="1"/>
    <col min="4604" max="4604" width="11.1640625" style="1" customWidth="1"/>
    <col min="4605" max="4605" width="11" style="1" customWidth="1"/>
    <col min="4606" max="4606" width="11.1640625" style="1" customWidth="1"/>
    <col min="4607" max="4607" width="10.1640625" style="1" customWidth="1"/>
    <col min="4608" max="4608" width="11.83203125" style="1" customWidth="1"/>
    <col min="4609" max="4609" width="8.83203125" style="1"/>
    <col min="4610" max="4610" width="10.1640625" style="1" customWidth="1"/>
    <col min="4611" max="4611" width="10" style="1" customWidth="1"/>
    <col min="4612" max="4612" width="10.83203125" style="1" customWidth="1"/>
    <col min="4613" max="4613" width="11.33203125" style="1" customWidth="1"/>
    <col min="4614" max="4841" width="8.83203125" style="1"/>
    <col min="4842" max="4843" width="4.5" style="1" customWidth="1"/>
    <col min="4844" max="4844" width="8.6640625" style="1" customWidth="1"/>
    <col min="4845" max="4845" width="49.1640625" style="1" customWidth="1"/>
    <col min="4846" max="4846" width="3.1640625" style="1" customWidth="1"/>
    <col min="4847" max="4847" width="8.6640625" style="1" customWidth="1"/>
    <col min="4848" max="4848" width="10.5" style="1" customWidth="1"/>
    <col min="4849" max="4849" width="10.1640625" style="1" customWidth="1"/>
    <col min="4850" max="4850" width="11" style="1" customWidth="1"/>
    <col min="4851" max="4851" width="10.33203125" style="1" customWidth="1"/>
    <col min="4852" max="4852" width="9.83203125" style="1" customWidth="1"/>
    <col min="4853" max="4853" width="11.1640625" style="1" customWidth="1"/>
    <col min="4854" max="4854" width="10.5" style="1" customWidth="1"/>
    <col min="4855" max="4855" width="8.83203125" style="1" customWidth="1"/>
    <col min="4856" max="4856" width="10.33203125" style="1" customWidth="1"/>
    <col min="4857" max="4857" width="10.6640625" style="1" customWidth="1"/>
    <col min="4858" max="4858" width="12.5" style="1" customWidth="1"/>
    <col min="4859" max="4859" width="11.83203125" style="1" customWidth="1"/>
    <col min="4860" max="4860" width="11.1640625" style="1" customWidth="1"/>
    <col min="4861" max="4861" width="11" style="1" customWidth="1"/>
    <col min="4862" max="4862" width="11.1640625" style="1" customWidth="1"/>
    <col min="4863" max="4863" width="10.1640625" style="1" customWidth="1"/>
    <col min="4864" max="4864" width="11.83203125" style="1" customWidth="1"/>
    <col min="4865" max="4865" width="8.83203125" style="1"/>
    <col min="4866" max="4866" width="10.1640625" style="1" customWidth="1"/>
    <col min="4867" max="4867" width="10" style="1" customWidth="1"/>
    <col min="4868" max="4868" width="10.83203125" style="1" customWidth="1"/>
    <col min="4869" max="4869" width="11.33203125" style="1" customWidth="1"/>
    <col min="4870" max="5097" width="8.83203125" style="1"/>
    <col min="5098" max="5099" width="4.5" style="1" customWidth="1"/>
    <col min="5100" max="5100" width="8.6640625" style="1" customWidth="1"/>
    <col min="5101" max="5101" width="49.1640625" style="1" customWidth="1"/>
    <col min="5102" max="5102" width="3.1640625" style="1" customWidth="1"/>
    <col min="5103" max="5103" width="8.6640625" style="1" customWidth="1"/>
    <col min="5104" max="5104" width="10.5" style="1" customWidth="1"/>
    <col min="5105" max="5105" width="10.1640625" style="1" customWidth="1"/>
    <col min="5106" max="5106" width="11" style="1" customWidth="1"/>
    <col min="5107" max="5107" width="10.33203125" style="1" customWidth="1"/>
    <col min="5108" max="5108" width="9.83203125" style="1" customWidth="1"/>
    <col min="5109" max="5109" width="11.1640625" style="1" customWidth="1"/>
    <col min="5110" max="5110" width="10.5" style="1" customWidth="1"/>
    <col min="5111" max="5111" width="8.83203125" style="1" customWidth="1"/>
    <col min="5112" max="5112" width="10.33203125" style="1" customWidth="1"/>
    <col min="5113" max="5113" width="10.6640625" style="1" customWidth="1"/>
    <col min="5114" max="5114" width="12.5" style="1" customWidth="1"/>
    <col min="5115" max="5115" width="11.83203125" style="1" customWidth="1"/>
    <col min="5116" max="5116" width="11.1640625" style="1" customWidth="1"/>
    <col min="5117" max="5117" width="11" style="1" customWidth="1"/>
    <col min="5118" max="5118" width="11.1640625" style="1" customWidth="1"/>
    <col min="5119" max="5119" width="10.1640625" style="1" customWidth="1"/>
    <col min="5120" max="5120" width="11.83203125" style="1" customWidth="1"/>
    <col min="5121" max="5121" width="8.83203125" style="1"/>
    <col min="5122" max="5122" width="10.1640625" style="1" customWidth="1"/>
    <col min="5123" max="5123" width="10" style="1" customWidth="1"/>
    <col min="5124" max="5124" width="10.83203125" style="1" customWidth="1"/>
    <col min="5125" max="5125" width="11.33203125" style="1" customWidth="1"/>
    <col min="5126" max="5353" width="8.83203125" style="1"/>
    <col min="5354" max="5355" width="4.5" style="1" customWidth="1"/>
    <col min="5356" max="5356" width="8.6640625" style="1" customWidth="1"/>
    <col min="5357" max="5357" width="49.1640625" style="1" customWidth="1"/>
    <col min="5358" max="5358" width="3.1640625" style="1" customWidth="1"/>
    <col min="5359" max="5359" width="8.6640625" style="1" customWidth="1"/>
    <col min="5360" max="5360" width="10.5" style="1" customWidth="1"/>
    <col min="5361" max="5361" width="10.1640625" style="1" customWidth="1"/>
    <col min="5362" max="5362" width="11" style="1" customWidth="1"/>
    <col min="5363" max="5363" width="10.33203125" style="1" customWidth="1"/>
    <col min="5364" max="5364" width="9.83203125" style="1" customWidth="1"/>
    <col min="5365" max="5365" width="11.1640625" style="1" customWidth="1"/>
    <col min="5366" max="5366" width="10.5" style="1" customWidth="1"/>
    <col min="5367" max="5367" width="8.83203125" style="1" customWidth="1"/>
    <col min="5368" max="5368" width="10.33203125" style="1" customWidth="1"/>
    <col min="5369" max="5369" width="10.6640625" style="1" customWidth="1"/>
    <col min="5370" max="5370" width="12.5" style="1" customWidth="1"/>
    <col min="5371" max="5371" width="11.83203125" style="1" customWidth="1"/>
    <col min="5372" max="5372" width="11.1640625" style="1" customWidth="1"/>
    <col min="5373" max="5373" width="11" style="1" customWidth="1"/>
    <col min="5374" max="5374" width="11.1640625" style="1" customWidth="1"/>
    <col min="5375" max="5375" width="10.1640625" style="1" customWidth="1"/>
    <col min="5376" max="5376" width="11.83203125" style="1" customWidth="1"/>
    <col min="5377" max="5377" width="8.83203125" style="1"/>
    <col min="5378" max="5378" width="10.1640625" style="1" customWidth="1"/>
    <col min="5379" max="5379" width="10" style="1" customWidth="1"/>
    <col min="5380" max="5380" width="10.83203125" style="1" customWidth="1"/>
    <col min="5381" max="5381" width="11.33203125" style="1" customWidth="1"/>
    <col min="5382" max="5609" width="8.83203125" style="1"/>
    <col min="5610" max="5611" width="4.5" style="1" customWidth="1"/>
    <col min="5612" max="5612" width="8.6640625" style="1" customWidth="1"/>
    <col min="5613" max="5613" width="49.1640625" style="1" customWidth="1"/>
    <col min="5614" max="5614" width="3.1640625" style="1" customWidth="1"/>
    <col min="5615" max="5615" width="8.6640625" style="1" customWidth="1"/>
    <col min="5616" max="5616" width="10.5" style="1" customWidth="1"/>
    <col min="5617" max="5617" width="10.1640625" style="1" customWidth="1"/>
    <col min="5618" max="5618" width="11" style="1" customWidth="1"/>
    <col min="5619" max="5619" width="10.33203125" style="1" customWidth="1"/>
    <col min="5620" max="5620" width="9.83203125" style="1" customWidth="1"/>
    <col min="5621" max="5621" width="11.1640625" style="1" customWidth="1"/>
    <col min="5622" max="5622" width="10.5" style="1" customWidth="1"/>
    <col min="5623" max="5623" width="8.83203125" style="1" customWidth="1"/>
    <col min="5624" max="5624" width="10.33203125" style="1" customWidth="1"/>
    <col min="5625" max="5625" width="10.6640625" style="1" customWidth="1"/>
    <col min="5626" max="5626" width="12.5" style="1" customWidth="1"/>
    <col min="5627" max="5627" width="11.83203125" style="1" customWidth="1"/>
    <col min="5628" max="5628" width="11.1640625" style="1" customWidth="1"/>
    <col min="5629" max="5629" width="11" style="1" customWidth="1"/>
    <col min="5630" max="5630" width="11.1640625" style="1" customWidth="1"/>
    <col min="5631" max="5631" width="10.1640625" style="1" customWidth="1"/>
    <col min="5632" max="5632" width="11.83203125" style="1" customWidth="1"/>
    <col min="5633" max="5633" width="8.83203125" style="1"/>
    <col min="5634" max="5634" width="10.1640625" style="1" customWidth="1"/>
    <col min="5635" max="5635" width="10" style="1" customWidth="1"/>
    <col min="5636" max="5636" width="10.83203125" style="1" customWidth="1"/>
    <col min="5637" max="5637" width="11.33203125" style="1" customWidth="1"/>
    <col min="5638" max="5865" width="8.83203125" style="1"/>
    <col min="5866" max="5867" width="4.5" style="1" customWidth="1"/>
    <col min="5868" max="5868" width="8.6640625" style="1" customWidth="1"/>
    <col min="5869" max="5869" width="49.1640625" style="1" customWidth="1"/>
    <col min="5870" max="5870" width="3.1640625" style="1" customWidth="1"/>
    <col min="5871" max="5871" width="8.6640625" style="1" customWidth="1"/>
    <col min="5872" max="5872" width="10.5" style="1" customWidth="1"/>
    <col min="5873" max="5873" width="10.1640625" style="1" customWidth="1"/>
    <col min="5874" max="5874" width="11" style="1" customWidth="1"/>
    <col min="5875" max="5875" width="10.33203125" style="1" customWidth="1"/>
    <col min="5876" max="5876" width="9.83203125" style="1" customWidth="1"/>
    <col min="5877" max="5877" width="11.1640625" style="1" customWidth="1"/>
    <col min="5878" max="5878" width="10.5" style="1" customWidth="1"/>
    <col min="5879" max="5879" width="8.83203125" style="1" customWidth="1"/>
    <col min="5880" max="5880" width="10.33203125" style="1" customWidth="1"/>
    <col min="5881" max="5881" width="10.6640625" style="1" customWidth="1"/>
    <col min="5882" max="5882" width="12.5" style="1" customWidth="1"/>
    <col min="5883" max="5883" width="11.83203125" style="1" customWidth="1"/>
    <col min="5884" max="5884" width="11.1640625" style="1" customWidth="1"/>
    <col min="5885" max="5885" width="11" style="1" customWidth="1"/>
    <col min="5886" max="5886" width="11.1640625" style="1" customWidth="1"/>
    <col min="5887" max="5887" width="10.1640625" style="1" customWidth="1"/>
    <col min="5888" max="5888" width="11.83203125" style="1" customWidth="1"/>
    <col min="5889" max="5889" width="8.83203125" style="1"/>
    <col min="5890" max="5890" width="10.1640625" style="1" customWidth="1"/>
    <col min="5891" max="5891" width="10" style="1" customWidth="1"/>
    <col min="5892" max="5892" width="10.83203125" style="1" customWidth="1"/>
    <col min="5893" max="5893" width="11.33203125" style="1" customWidth="1"/>
    <col min="5894" max="6121" width="8.83203125" style="1"/>
    <col min="6122" max="6123" width="4.5" style="1" customWidth="1"/>
    <col min="6124" max="6124" width="8.6640625" style="1" customWidth="1"/>
    <col min="6125" max="6125" width="49.1640625" style="1" customWidth="1"/>
    <col min="6126" max="6126" width="3.1640625" style="1" customWidth="1"/>
    <col min="6127" max="6127" width="8.6640625" style="1" customWidth="1"/>
    <col min="6128" max="6128" width="10.5" style="1" customWidth="1"/>
    <col min="6129" max="6129" width="10.1640625" style="1" customWidth="1"/>
    <col min="6130" max="6130" width="11" style="1" customWidth="1"/>
    <col min="6131" max="6131" width="10.33203125" style="1" customWidth="1"/>
    <col min="6132" max="6132" width="9.83203125" style="1" customWidth="1"/>
    <col min="6133" max="6133" width="11.1640625" style="1" customWidth="1"/>
    <col min="6134" max="6134" width="10.5" style="1" customWidth="1"/>
    <col min="6135" max="6135" width="8.83203125" style="1" customWidth="1"/>
    <col min="6136" max="6136" width="10.33203125" style="1" customWidth="1"/>
    <col min="6137" max="6137" width="10.6640625" style="1" customWidth="1"/>
    <col min="6138" max="6138" width="12.5" style="1" customWidth="1"/>
    <col min="6139" max="6139" width="11.83203125" style="1" customWidth="1"/>
    <col min="6140" max="6140" width="11.1640625" style="1" customWidth="1"/>
    <col min="6141" max="6141" width="11" style="1" customWidth="1"/>
    <col min="6142" max="6142" width="11.1640625" style="1" customWidth="1"/>
    <col min="6143" max="6143" width="10.1640625" style="1" customWidth="1"/>
    <col min="6144" max="6144" width="11.83203125" style="1" customWidth="1"/>
    <col min="6145" max="6145" width="8.83203125" style="1"/>
    <col min="6146" max="6146" width="10.1640625" style="1" customWidth="1"/>
    <col min="6147" max="6147" width="10" style="1" customWidth="1"/>
    <col min="6148" max="6148" width="10.83203125" style="1" customWidth="1"/>
    <col min="6149" max="6149" width="11.33203125" style="1" customWidth="1"/>
    <col min="6150" max="6377" width="8.83203125" style="1"/>
    <col min="6378" max="6379" width="4.5" style="1" customWidth="1"/>
    <col min="6380" max="6380" width="8.6640625" style="1" customWidth="1"/>
    <col min="6381" max="6381" width="49.1640625" style="1" customWidth="1"/>
    <col min="6382" max="6382" width="3.1640625" style="1" customWidth="1"/>
    <col min="6383" max="6383" width="8.6640625" style="1" customWidth="1"/>
    <col min="6384" max="6384" width="10.5" style="1" customWidth="1"/>
    <col min="6385" max="6385" width="10.1640625" style="1" customWidth="1"/>
    <col min="6386" max="6386" width="11" style="1" customWidth="1"/>
    <col min="6387" max="6387" width="10.33203125" style="1" customWidth="1"/>
    <col min="6388" max="6388" width="9.83203125" style="1" customWidth="1"/>
    <col min="6389" max="6389" width="11.1640625" style="1" customWidth="1"/>
    <col min="6390" max="6390" width="10.5" style="1" customWidth="1"/>
    <col min="6391" max="6391" width="8.83203125" style="1" customWidth="1"/>
    <col min="6392" max="6392" width="10.33203125" style="1" customWidth="1"/>
    <col min="6393" max="6393" width="10.6640625" style="1" customWidth="1"/>
    <col min="6394" max="6394" width="12.5" style="1" customWidth="1"/>
    <col min="6395" max="6395" width="11.83203125" style="1" customWidth="1"/>
    <col min="6396" max="6396" width="11.1640625" style="1" customWidth="1"/>
    <col min="6397" max="6397" width="11" style="1" customWidth="1"/>
    <col min="6398" max="6398" width="11.1640625" style="1" customWidth="1"/>
    <col min="6399" max="6399" width="10.1640625" style="1" customWidth="1"/>
    <col min="6400" max="6400" width="11.83203125" style="1" customWidth="1"/>
    <col min="6401" max="6401" width="8.83203125" style="1"/>
    <col min="6402" max="6402" width="10.1640625" style="1" customWidth="1"/>
    <col min="6403" max="6403" width="10" style="1" customWidth="1"/>
    <col min="6404" max="6404" width="10.83203125" style="1" customWidth="1"/>
    <col min="6405" max="6405" width="11.33203125" style="1" customWidth="1"/>
    <col min="6406" max="6633" width="8.83203125" style="1"/>
    <col min="6634" max="6635" width="4.5" style="1" customWidth="1"/>
    <col min="6636" max="6636" width="8.6640625" style="1" customWidth="1"/>
    <col min="6637" max="6637" width="49.1640625" style="1" customWidth="1"/>
    <col min="6638" max="6638" width="3.1640625" style="1" customWidth="1"/>
    <col min="6639" max="6639" width="8.6640625" style="1" customWidth="1"/>
    <col min="6640" max="6640" width="10.5" style="1" customWidth="1"/>
    <col min="6641" max="6641" width="10.1640625" style="1" customWidth="1"/>
    <col min="6642" max="6642" width="11" style="1" customWidth="1"/>
    <col min="6643" max="6643" width="10.33203125" style="1" customWidth="1"/>
    <col min="6644" max="6644" width="9.83203125" style="1" customWidth="1"/>
    <col min="6645" max="6645" width="11.1640625" style="1" customWidth="1"/>
    <col min="6646" max="6646" width="10.5" style="1" customWidth="1"/>
    <col min="6647" max="6647" width="8.83203125" style="1" customWidth="1"/>
    <col min="6648" max="6648" width="10.33203125" style="1" customWidth="1"/>
    <col min="6649" max="6649" width="10.6640625" style="1" customWidth="1"/>
    <col min="6650" max="6650" width="12.5" style="1" customWidth="1"/>
    <col min="6651" max="6651" width="11.83203125" style="1" customWidth="1"/>
    <col min="6652" max="6652" width="11.1640625" style="1" customWidth="1"/>
    <col min="6653" max="6653" width="11" style="1" customWidth="1"/>
    <col min="6654" max="6654" width="11.1640625" style="1" customWidth="1"/>
    <col min="6655" max="6655" width="10.1640625" style="1" customWidth="1"/>
    <col min="6656" max="6656" width="11.83203125" style="1" customWidth="1"/>
    <col min="6657" max="6657" width="8.83203125" style="1"/>
    <col min="6658" max="6658" width="10.1640625" style="1" customWidth="1"/>
    <col min="6659" max="6659" width="10" style="1" customWidth="1"/>
    <col min="6660" max="6660" width="10.83203125" style="1" customWidth="1"/>
    <col min="6661" max="6661" width="11.33203125" style="1" customWidth="1"/>
    <col min="6662" max="6889" width="8.83203125" style="1"/>
    <col min="6890" max="6891" width="4.5" style="1" customWidth="1"/>
    <col min="6892" max="6892" width="8.6640625" style="1" customWidth="1"/>
    <col min="6893" max="6893" width="49.1640625" style="1" customWidth="1"/>
    <col min="6894" max="6894" width="3.1640625" style="1" customWidth="1"/>
    <col min="6895" max="6895" width="8.6640625" style="1" customWidth="1"/>
    <col min="6896" max="6896" width="10.5" style="1" customWidth="1"/>
    <col min="6897" max="6897" width="10.1640625" style="1" customWidth="1"/>
    <col min="6898" max="6898" width="11" style="1" customWidth="1"/>
    <col min="6899" max="6899" width="10.33203125" style="1" customWidth="1"/>
    <col min="6900" max="6900" width="9.83203125" style="1" customWidth="1"/>
    <col min="6901" max="6901" width="11.1640625" style="1" customWidth="1"/>
    <col min="6902" max="6902" width="10.5" style="1" customWidth="1"/>
    <col min="6903" max="6903" width="8.83203125" style="1" customWidth="1"/>
    <col min="6904" max="6904" width="10.33203125" style="1" customWidth="1"/>
    <col min="6905" max="6905" width="10.6640625" style="1" customWidth="1"/>
    <col min="6906" max="6906" width="12.5" style="1" customWidth="1"/>
    <col min="6907" max="6907" width="11.83203125" style="1" customWidth="1"/>
    <col min="6908" max="6908" width="11.1640625" style="1" customWidth="1"/>
    <col min="6909" max="6909" width="11" style="1" customWidth="1"/>
    <col min="6910" max="6910" width="11.1640625" style="1" customWidth="1"/>
    <col min="6911" max="6911" width="10.1640625" style="1" customWidth="1"/>
    <col min="6912" max="6912" width="11.83203125" style="1" customWidth="1"/>
    <col min="6913" max="6913" width="8.83203125" style="1"/>
    <col min="6914" max="6914" width="10.1640625" style="1" customWidth="1"/>
    <col min="6915" max="6915" width="10" style="1" customWidth="1"/>
    <col min="6916" max="6916" width="10.83203125" style="1" customWidth="1"/>
    <col min="6917" max="6917" width="11.33203125" style="1" customWidth="1"/>
    <col min="6918" max="7145" width="8.83203125" style="1"/>
    <col min="7146" max="7147" width="4.5" style="1" customWidth="1"/>
    <col min="7148" max="7148" width="8.6640625" style="1" customWidth="1"/>
    <col min="7149" max="7149" width="49.1640625" style="1" customWidth="1"/>
    <col min="7150" max="7150" width="3.1640625" style="1" customWidth="1"/>
    <col min="7151" max="7151" width="8.6640625" style="1" customWidth="1"/>
    <col min="7152" max="7152" width="10.5" style="1" customWidth="1"/>
    <col min="7153" max="7153" width="10.1640625" style="1" customWidth="1"/>
    <col min="7154" max="7154" width="11" style="1" customWidth="1"/>
    <col min="7155" max="7155" width="10.33203125" style="1" customWidth="1"/>
    <col min="7156" max="7156" width="9.83203125" style="1" customWidth="1"/>
    <col min="7157" max="7157" width="11.1640625" style="1" customWidth="1"/>
    <col min="7158" max="7158" width="10.5" style="1" customWidth="1"/>
    <col min="7159" max="7159" width="8.83203125" style="1" customWidth="1"/>
    <col min="7160" max="7160" width="10.33203125" style="1" customWidth="1"/>
    <col min="7161" max="7161" width="10.6640625" style="1" customWidth="1"/>
    <col min="7162" max="7162" width="12.5" style="1" customWidth="1"/>
    <col min="7163" max="7163" width="11.83203125" style="1" customWidth="1"/>
    <col min="7164" max="7164" width="11.1640625" style="1" customWidth="1"/>
    <col min="7165" max="7165" width="11" style="1" customWidth="1"/>
    <col min="7166" max="7166" width="11.1640625" style="1" customWidth="1"/>
    <col min="7167" max="7167" width="10.1640625" style="1" customWidth="1"/>
    <col min="7168" max="7168" width="11.83203125" style="1" customWidth="1"/>
    <col min="7169" max="7169" width="8.83203125" style="1"/>
    <col min="7170" max="7170" width="10.1640625" style="1" customWidth="1"/>
    <col min="7171" max="7171" width="10" style="1" customWidth="1"/>
    <col min="7172" max="7172" width="10.83203125" style="1" customWidth="1"/>
    <col min="7173" max="7173" width="11.33203125" style="1" customWidth="1"/>
    <col min="7174" max="7401" width="8.83203125" style="1"/>
    <col min="7402" max="7403" width="4.5" style="1" customWidth="1"/>
    <col min="7404" max="7404" width="8.6640625" style="1" customWidth="1"/>
    <col min="7405" max="7405" width="49.1640625" style="1" customWidth="1"/>
    <col min="7406" max="7406" width="3.1640625" style="1" customWidth="1"/>
    <col min="7407" max="7407" width="8.6640625" style="1" customWidth="1"/>
    <col min="7408" max="7408" width="10.5" style="1" customWidth="1"/>
    <col min="7409" max="7409" width="10.1640625" style="1" customWidth="1"/>
    <col min="7410" max="7410" width="11" style="1" customWidth="1"/>
    <col min="7411" max="7411" width="10.33203125" style="1" customWidth="1"/>
    <col min="7412" max="7412" width="9.83203125" style="1" customWidth="1"/>
    <col min="7413" max="7413" width="11.1640625" style="1" customWidth="1"/>
    <col min="7414" max="7414" width="10.5" style="1" customWidth="1"/>
    <col min="7415" max="7415" width="8.83203125" style="1" customWidth="1"/>
    <col min="7416" max="7416" width="10.33203125" style="1" customWidth="1"/>
    <col min="7417" max="7417" width="10.6640625" style="1" customWidth="1"/>
    <col min="7418" max="7418" width="12.5" style="1" customWidth="1"/>
    <col min="7419" max="7419" width="11.83203125" style="1" customWidth="1"/>
    <col min="7420" max="7420" width="11.1640625" style="1" customWidth="1"/>
    <col min="7421" max="7421" width="11" style="1" customWidth="1"/>
    <col min="7422" max="7422" width="11.1640625" style="1" customWidth="1"/>
    <col min="7423" max="7423" width="10.1640625" style="1" customWidth="1"/>
    <col min="7424" max="7424" width="11.83203125" style="1" customWidth="1"/>
    <col min="7425" max="7425" width="8.83203125" style="1"/>
    <col min="7426" max="7426" width="10.1640625" style="1" customWidth="1"/>
    <col min="7427" max="7427" width="10" style="1" customWidth="1"/>
    <col min="7428" max="7428" width="10.83203125" style="1" customWidth="1"/>
    <col min="7429" max="7429" width="11.33203125" style="1" customWidth="1"/>
    <col min="7430" max="7657" width="8.83203125" style="1"/>
    <col min="7658" max="7659" width="4.5" style="1" customWidth="1"/>
    <col min="7660" max="7660" width="8.6640625" style="1" customWidth="1"/>
    <col min="7661" max="7661" width="49.1640625" style="1" customWidth="1"/>
    <col min="7662" max="7662" width="3.1640625" style="1" customWidth="1"/>
    <col min="7663" max="7663" width="8.6640625" style="1" customWidth="1"/>
    <col min="7664" max="7664" width="10.5" style="1" customWidth="1"/>
    <col min="7665" max="7665" width="10.1640625" style="1" customWidth="1"/>
    <col min="7666" max="7666" width="11" style="1" customWidth="1"/>
    <col min="7667" max="7667" width="10.33203125" style="1" customWidth="1"/>
    <col min="7668" max="7668" width="9.83203125" style="1" customWidth="1"/>
    <col min="7669" max="7669" width="11.1640625" style="1" customWidth="1"/>
    <col min="7670" max="7670" width="10.5" style="1" customWidth="1"/>
    <col min="7671" max="7671" width="8.83203125" style="1" customWidth="1"/>
    <col min="7672" max="7672" width="10.33203125" style="1" customWidth="1"/>
    <col min="7673" max="7673" width="10.6640625" style="1" customWidth="1"/>
    <col min="7674" max="7674" width="12.5" style="1" customWidth="1"/>
    <col min="7675" max="7675" width="11.83203125" style="1" customWidth="1"/>
    <col min="7676" max="7676" width="11.1640625" style="1" customWidth="1"/>
    <col min="7677" max="7677" width="11" style="1" customWidth="1"/>
    <col min="7678" max="7678" width="11.1640625" style="1" customWidth="1"/>
    <col min="7679" max="7679" width="10.1640625" style="1" customWidth="1"/>
    <col min="7680" max="7680" width="11.83203125" style="1" customWidth="1"/>
    <col min="7681" max="7681" width="8.83203125" style="1"/>
    <col min="7682" max="7682" width="10.1640625" style="1" customWidth="1"/>
    <col min="7683" max="7683" width="10" style="1" customWidth="1"/>
    <col min="7684" max="7684" width="10.83203125" style="1" customWidth="1"/>
    <col min="7685" max="7685" width="11.33203125" style="1" customWidth="1"/>
    <col min="7686" max="7913" width="8.83203125" style="1"/>
    <col min="7914" max="7915" width="4.5" style="1" customWidth="1"/>
    <col min="7916" max="7916" width="8.6640625" style="1" customWidth="1"/>
    <col min="7917" max="7917" width="49.1640625" style="1" customWidth="1"/>
    <col min="7918" max="7918" width="3.1640625" style="1" customWidth="1"/>
    <col min="7919" max="7919" width="8.6640625" style="1" customWidth="1"/>
    <col min="7920" max="7920" width="10.5" style="1" customWidth="1"/>
    <col min="7921" max="7921" width="10.1640625" style="1" customWidth="1"/>
    <col min="7922" max="7922" width="11" style="1" customWidth="1"/>
    <col min="7923" max="7923" width="10.33203125" style="1" customWidth="1"/>
    <col min="7924" max="7924" width="9.83203125" style="1" customWidth="1"/>
    <col min="7925" max="7925" width="11.1640625" style="1" customWidth="1"/>
    <col min="7926" max="7926" width="10.5" style="1" customWidth="1"/>
    <col min="7927" max="7927" width="8.83203125" style="1" customWidth="1"/>
    <col min="7928" max="7928" width="10.33203125" style="1" customWidth="1"/>
    <col min="7929" max="7929" width="10.6640625" style="1" customWidth="1"/>
    <col min="7930" max="7930" width="12.5" style="1" customWidth="1"/>
    <col min="7931" max="7931" width="11.83203125" style="1" customWidth="1"/>
    <col min="7932" max="7932" width="11.1640625" style="1" customWidth="1"/>
    <col min="7933" max="7933" width="11" style="1" customWidth="1"/>
    <col min="7934" max="7934" width="11.1640625" style="1" customWidth="1"/>
    <col min="7935" max="7935" width="10.1640625" style="1" customWidth="1"/>
    <col min="7936" max="7936" width="11.83203125" style="1" customWidth="1"/>
    <col min="7937" max="7937" width="8.83203125" style="1"/>
    <col min="7938" max="7938" width="10.1640625" style="1" customWidth="1"/>
    <col min="7939" max="7939" width="10" style="1" customWidth="1"/>
    <col min="7940" max="7940" width="10.83203125" style="1" customWidth="1"/>
    <col min="7941" max="7941" width="11.33203125" style="1" customWidth="1"/>
    <col min="7942" max="8169" width="8.83203125" style="1"/>
    <col min="8170" max="8171" width="4.5" style="1" customWidth="1"/>
    <col min="8172" max="8172" width="8.6640625" style="1" customWidth="1"/>
    <col min="8173" max="8173" width="49.1640625" style="1" customWidth="1"/>
    <col min="8174" max="8174" width="3.1640625" style="1" customWidth="1"/>
    <col min="8175" max="8175" width="8.6640625" style="1" customWidth="1"/>
    <col min="8176" max="8176" width="10.5" style="1" customWidth="1"/>
    <col min="8177" max="8177" width="10.1640625" style="1" customWidth="1"/>
    <col min="8178" max="8178" width="11" style="1" customWidth="1"/>
    <col min="8179" max="8179" width="10.33203125" style="1" customWidth="1"/>
    <col min="8180" max="8180" width="9.83203125" style="1" customWidth="1"/>
    <col min="8181" max="8181" width="11.1640625" style="1" customWidth="1"/>
    <col min="8182" max="8182" width="10.5" style="1" customWidth="1"/>
    <col min="8183" max="8183" width="8.83203125" style="1" customWidth="1"/>
    <col min="8184" max="8184" width="10.33203125" style="1" customWidth="1"/>
    <col min="8185" max="8185" width="10.6640625" style="1" customWidth="1"/>
    <col min="8186" max="8186" width="12.5" style="1" customWidth="1"/>
    <col min="8187" max="8187" width="11.83203125" style="1" customWidth="1"/>
    <col min="8188" max="8188" width="11.1640625" style="1" customWidth="1"/>
    <col min="8189" max="8189" width="11" style="1" customWidth="1"/>
    <col min="8190" max="8190" width="11.1640625" style="1" customWidth="1"/>
    <col min="8191" max="8191" width="10.1640625" style="1" customWidth="1"/>
    <col min="8192" max="8192" width="11.83203125" style="1" customWidth="1"/>
    <col min="8193" max="8193" width="8.83203125" style="1"/>
    <col min="8194" max="8194" width="10.1640625" style="1" customWidth="1"/>
    <col min="8195" max="8195" width="10" style="1" customWidth="1"/>
    <col min="8196" max="8196" width="10.83203125" style="1" customWidth="1"/>
    <col min="8197" max="8197" width="11.33203125" style="1" customWidth="1"/>
    <col min="8198" max="8425" width="8.83203125" style="1"/>
    <col min="8426" max="8427" width="4.5" style="1" customWidth="1"/>
    <col min="8428" max="8428" width="8.6640625" style="1" customWidth="1"/>
    <col min="8429" max="8429" width="49.1640625" style="1" customWidth="1"/>
    <col min="8430" max="8430" width="3.1640625" style="1" customWidth="1"/>
    <col min="8431" max="8431" width="8.6640625" style="1" customWidth="1"/>
    <col min="8432" max="8432" width="10.5" style="1" customWidth="1"/>
    <col min="8433" max="8433" width="10.1640625" style="1" customWidth="1"/>
    <col min="8434" max="8434" width="11" style="1" customWidth="1"/>
    <col min="8435" max="8435" width="10.33203125" style="1" customWidth="1"/>
    <col min="8436" max="8436" width="9.83203125" style="1" customWidth="1"/>
    <col min="8437" max="8437" width="11.1640625" style="1" customWidth="1"/>
    <col min="8438" max="8438" width="10.5" style="1" customWidth="1"/>
    <col min="8439" max="8439" width="8.83203125" style="1" customWidth="1"/>
    <col min="8440" max="8440" width="10.33203125" style="1" customWidth="1"/>
    <col min="8441" max="8441" width="10.6640625" style="1" customWidth="1"/>
    <col min="8442" max="8442" width="12.5" style="1" customWidth="1"/>
    <col min="8443" max="8443" width="11.83203125" style="1" customWidth="1"/>
    <col min="8444" max="8444" width="11.1640625" style="1" customWidth="1"/>
    <col min="8445" max="8445" width="11" style="1" customWidth="1"/>
    <col min="8446" max="8446" width="11.1640625" style="1" customWidth="1"/>
    <col min="8447" max="8447" width="10.1640625" style="1" customWidth="1"/>
    <col min="8448" max="8448" width="11.83203125" style="1" customWidth="1"/>
    <col min="8449" max="8449" width="8.83203125" style="1"/>
    <col min="8450" max="8450" width="10.1640625" style="1" customWidth="1"/>
    <col min="8451" max="8451" width="10" style="1" customWidth="1"/>
    <col min="8452" max="8452" width="10.83203125" style="1" customWidth="1"/>
    <col min="8453" max="8453" width="11.33203125" style="1" customWidth="1"/>
    <col min="8454" max="8681" width="8.83203125" style="1"/>
    <col min="8682" max="8683" width="4.5" style="1" customWidth="1"/>
    <col min="8684" max="8684" width="8.6640625" style="1" customWidth="1"/>
    <col min="8685" max="8685" width="49.1640625" style="1" customWidth="1"/>
    <col min="8686" max="8686" width="3.1640625" style="1" customWidth="1"/>
    <col min="8687" max="8687" width="8.6640625" style="1" customWidth="1"/>
    <col min="8688" max="8688" width="10.5" style="1" customWidth="1"/>
    <col min="8689" max="8689" width="10.1640625" style="1" customWidth="1"/>
    <col min="8690" max="8690" width="11" style="1" customWidth="1"/>
    <col min="8691" max="8691" width="10.33203125" style="1" customWidth="1"/>
    <col min="8692" max="8692" width="9.83203125" style="1" customWidth="1"/>
    <col min="8693" max="8693" width="11.1640625" style="1" customWidth="1"/>
    <col min="8694" max="8694" width="10.5" style="1" customWidth="1"/>
    <col min="8695" max="8695" width="8.83203125" style="1" customWidth="1"/>
    <col min="8696" max="8696" width="10.33203125" style="1" customWidth="1"/>
    <col min="8697" max="8697" width="10.6640625" style="1" customWidth="1"/>
    <col min="8698" max="8698" width="12.5" style="1" customWidth="1"/>
    <col min="8699" max="8699" width="11.83203125" style="1" customWidth="1"/>
    <col min="8700" max="8700" width="11.1640625" style="1" customWidth="1"/>
    <col min="8701" max="8701" width="11" style="1" customWidth="1"/>
    <col min="8702" max="8702" width="11.1640625" style="1" customWidth="1"/>
    <col min="8703" max="8703" width="10.1640625" style="1" customWidth="1"/>
    <col min="8704" max="8704" width="11.83203125" style="1" customWidth="1"/>
    <col min="8705" max="8705" width="8.83203125" style="1"/>
    <col min="8706" max="8706" width="10.1640625" style="1" customWidth="1"/>
    <col min="8707" max="8707" width="10" style="1" customWidth="1"/>
    <col min="8708" max="8708" width="10.83203125" style="1" customWidth="1"/>
    <col min="8709" max="8709" width="11.33203125" style="1" customWidth="1"/>
    <col min="8710" max="8937" width="8.83203125" style="1"/>
    <col min="8938" max="8939" width="4.5" style="1" customWidth="1"/>
    <col min="8940" max="8940" width="8.6640625" style="1" customWidth="1"/>
    <col min="8941" max="8941" width="49.1640625" style="1" customWidth="1"/>
    <col min="8942" max="8942" width="3.1640625" style="1" customWidth="1"/>
    <col min="8943" max="8943" width="8.6640625" style="1" customWidth="1"/>
    <col min="8944" max="8944" width="10.5" style="1" customWidth="1"/>
    <col min="8945" max="8945" width="10.1640625" style="1" customWidth="1"/>
    <col min="8946" max="8946" width="11" style="1" customWidth="1"/>
    <col min="8947" max="8947" width="10.33203125" style="1" customWidth="1"/>
    <col min="8948" max="8948" width="9.83203125" style="1" customWidth="1"/>
    <col min="8949" max="8949" width="11.1640625" style="1" customWidth="1"/>
    <col min="8950" max="8950" width="10.5" style="1" customWidth="1"/>
    <col min="8951" max="8951" width="8.83203125" style="1" customWidth="1"/>
    <col min="8952" max="8952" width="10.33203125" style="1" customWidth="1"/>
    <col min="8953" max="8953" width="10.6640625" style="1" customWidth="1"/>
    <col min="8954" max="8954" width="12.5" style="1" customWidth="1"/>
    <col min="8955" max="8955" width="11.83203125" style="1" customWidth="1"/>
    <col min="8956" max="8956" width="11.1640625" style="1" customWidth="1"/>
    <col min="8957" max="8957" width="11" style="1" customWidth="1"/>
    <col min="8958" max="8958" width="11.1640625" style="1" customWidth="1"/>
    <col min="8959" max="8959" width="10.1640625" style="1" customWidth="1"/>
    <col min="8960" max="8960" width="11.83203125" style="1" customWidth="1"/>
    <col min="8961" max="8961" width="8.83203125" style="1"/>
    <col min="8962" max="8962" width="10.1640625" style="1" customWidth="1"/>
    <col min="8963" max="8963" width="10" style="1" customWidth="1"/>
    <col min="8964" max="8964" width="10.83203125" style="1" customWidth="1"/>
    <col min="8965" max="8965" width="11.33203125" style="1" customWidth="1"/>
    <col min="8966" max="9193" width="8.83203125" style="1"/>
    <col min="9194" max="9195" width="4.5" style="1" customWidth="1"/>
    <col min="9196" max="9196" width="8.6640625" style="1" customWidth="1"/>
    <col min="9197" max="9197" width="49.1640625" style="1" customWidth="1"/>
    <col min="9198" max="9198" width="3.1640625" style="1" customWidth="1"/>
    <col min="9199" max="9199" width="8.6640625" style="1" customWidth="1"/>
    <col min="9200" max="9200" width="10.5" style="1" customWidth="1"/>
    <col min="9201" max="9201" width="10.1640625" style="1" customWidth="1"/>
    <col min="9202" max="9202" width="11" style="1" customWidth="1"/>
    <col min="9203" max="9203" width="10.33203125" style="1" customWidth="1"/>
    <col min="9204" max="9204" width="9.83203125" style="1" customWidth="1"/>
    <col min="9205" max="9205" width="11.1640625" style="1" customWidth="1"/>
    <col min="9206" max="9206" width="10.5" style="1" customWidth="1"/>
    <col min="9207" max="9207" width="8.83203125" style="1" customWidth="1"/>
    <col min="9208" max="9208" width="10.33203125" style="1" customWidth="1"/>
    <col min="9209" max="9209" width="10.6640625" style="1" customWidth="1"/>
    <col min="9210" max="9210" width="12.5" style="1" customWidth="1"/>
    <col min="9211" max="9211" width="11.83203125" style="1" customWidth="1"/>
    <col min="9212" max="9212" width="11.1640625" style="1" customWidth="1"/>
    <col min="9213" max="9213" width="11" style="1" customWidth="1"/>
    <col min="9214" max="9214" width="11.1640625" style="1" customWidth="1"/>
    <col min="9215" max="9215" width="10.1640625" style="1" customWidth="1"/>
    <col min="9216" max="9216" width="11.83203125" style="1" customWidth="1"/>
    <col min="9217" max="9217" width="8.83203125" style="1"/>
    <col min="9218" max="9218" width="10.1640625" style="1" customWidth="1"/>
    <col min="9219" max="9219" width="10" style="1" customWidth="1"/>
    <col min="9220" max="9220" width="10.83203125" style="1" customWidth="1"/>
    <col min="9221" max="9221" width="11.33203125" style="1" customWidth="1"/>
    <col min="9222" max="9449" width="8.83203125" style="1"/>
    <col min="9450" max="9451" width="4.5" style="1" customWidth="1"/>
    <col min="9452" max="9452" width="8.6640625" style="1" customWidth="1"/>
    <col min="9453" max="9453" width="49.1640625" style="1" customWidth="1"/>
    <col min="9454" max="9454" width="3.1640625" style="1" customWidth="1"/>
    <col min="9455" max="9455" width="8.6640625" style="1" customWidth="1"/>
    <col min="9456" max="9456" width="10.5" style="1" customWidth="1"/>
    <col min="9457" max="9457" width="10.1640625" style="1" customWidth="1"/>
    <col min="9458" max="9458" width="11" style="1" customWidth="1"/>
    <col min="9459" max="9459" width="10.33203125" style="1" customWidth="1"/>
    <col min="9460" max="9460" width="9.83203125" style="1" customWidth="1"/>
    <col min="9461" max="9461" width="11.1640625" style="1" customWidth="1"/>
    <col min="9462" max="9462" width="10.5" style="1" customWidth="1"/>
    <col min="9463" max="9463" width="8.83203125" style="1" customWidth="1"/>
    <col min="9464" max="9464" width="10.33203125" style="1" customWidth="1"/>
    <col min="9465" max="9465" width="10.6640625" style="1" customWidth="1"/>
    <col min="9466" max="9466" width="12.5" style="1" customWidth="1"/>
    <col min="9467" max="9467" width="11.83203125" style="1" customWidth="1"/>
    <col min="9468" max="9468" width="11.1640625" style="1" customWidth="1"/>
    <col min="9469" max="9469" width="11" style="1" customWidth="1"/>
    <col min="9470" max="9470" width="11.1640625" style="1" customWidth="1"/>
    <col min="9471" max="9471" width="10.1640625" style="1" customWidth="1"/>
    <col min="9472" max="9472" width="11.83203125" style="1" customWidth="1"/>
    <col min="9473" max="9473" width="8.83203125" style="1"/>
    <col min="9474" max="9474" width="10.1640625" style="1" customWidth="1"/>
    <col min="9475" max="9475" width="10" style="1" customWidth="1"/>
    <col min="9476" max="9476" width="10.83203125" style="1" customWidth="1"/>
    <col min="9477" max="9477" width="11.33203125" style="1" customWidth="1"/>
    <col min="9478" max="9705" width="8.83203125" style="1"/>
    <col min="9706" max="9707" width="4.5" style="1" customWidth="1"/>
    <col min="9708" max="9708" width="8.6640625" style="1" customWidth="1"/>
    <col min="9709" max="9709" width="49.1640625" style="1" customWidth="1"/>
    <col min="9710" max="9710" width="3.1640625" style="1" customWidth="1"/>
    <col min="9711" max="9711" width="8.6640625" style="1" customWidth="1"/>
    <col min="9712" max="9712" width="10.5" style="1" customWidth="1"/>
    <col min="9713" max="9713" width="10.1640625" style="1" customWidth="1"/>
    <col min="9714" max="9714" width="11" style="1" customWidth="1"/>
    <col min="9715" max="9715" width="10.33203125" style="1" customWidth="1"/>
    <col min="9716" max="9716" width="9.83203125" style="1" customWidth="1"/>
    <col min="9717" max="9717" width="11.1640625" style="1" customWidth="1"/>
    <col min="9718" max="9718" width="10.5" style="1" customWidth="1"/>
    <col min="9719" max="9719" width="8.83203125" style="1" customWidth="1"/>
    <col min="9720" max="9720" width="10.33203125" style="1" customWidth="1"/>
    <col min="9721" max="9721" width="10.6640625" style="1" customWidth="1"/>
    <col min="9722" max="9722" width="12.5" style="1" customWidth="1"/>
    <col min="9723" max="9723" width="11.83203125" style="1" customWidth="1"/>
    <col min="9724" max="9724" width="11.1640625" style="1" customWidth="1"/>
    <col min="9725" max="9725" width="11" style="1" customWidth="1"/>
    <col min="9726" max="9726" width="11.1640625" style="1" customWidth="1"/>
    <col min="9727" max="9727" width="10.1640625" style="1" customWidth="1"/>
    <col min="9728" max="9728" width="11.83203125" style="1" customWidth="1"/>
    <col min="9729" max="9729" width="8.83203125" style="1"/>
    <col min="9730" max="9730" width="10.1640625" style="1" customWidth="1"/>
    <col min="9731" max="9731" width="10" style="1" customWidth="1"/>
    <col min="9732" max="9732" width="10.83203125" style="1" customWidth="1"/>
    <col min="9733" max="9733" width="11.33203125" style="1" customWidth="1"/>
    <col min="9734" max="9961" width="8.83203125" style="1"/>
    <col min="9962" max="9963" width="4.5" style="1" customWidth="1"/>
    <col min="9964" max="9964" width="8.6640625" style="1" customWidth="1"/>
    <col min="9965" max="9965" width="49.1640625" style="1" customWidth="1"/>
    <col min="9966" max="9966" width="3.1640625" style="1" customWidth="1"/>
    <col min="9967" max="9967" width="8.6640625" style="1" customWidth="1"/>
    <col min="9968" max="9968" width="10.5" style="1" customWidth="1"/>
    <col min="9969" max="9969" width="10.1640625" style="1" customWidth="1"/>
    <col min="9970" max="9970" width="11" style="1" customWidth="1"/>
    <col min="9971" max="9971" width="10.33203125" style="1" customWidth="1"/>
    <col min="9972" max="9972" width="9.83203125" style="1" customWidth="1"/>
    <col min="9973" max="9973" width="11.1640625" style="1" customWidth="1"/>
    <col min="9974" max="9974" width="10.5" style="1" customWidth="1"/>
    <col min="9975" max="9975" width="8.83203125" style="1" customWidth="1"/>
    <col min="9976" max="9976" width="10.33203125" style="1" customWidth="1"/>
    <col min="9977" max="9977" width="10.6640625" style="1" customWidth="1"/>
    <col min="9978" max="9978" width="12.5" style="1" customWidth="1"/>
    <col min="9979" max="9979" width="11.83203125" style="1" customWidth="1"/>
    <col min="9980" max="9980" width="11.1640625" style="1" customWidth="1"/>
    <col min="9981" max="9981" width="11" style="1" customWidth="1"/>
    <col min="9982" max="9982" width="11.1640625" style="1" customWidth="1"/>
    <col min="9983" max="9983" width="10.1640625" style="1" customWidth="1"/>
    <col min="9984" max="9984" width="11.83203125" style="1" customWidth="1"/>
    <col min="9985" max="9985" width="8.83203125" style="1"/>
    <col min="9986" max="9986" width="10.1640625" style="1" customWidth="1"/>
    <col min="9987" max="9987" width="10" style="1" customWidth="1"/>
    <col min="9988" max="9988" width="10.83203125" style="1" customWidth="1"/>
    <col min="9989" max="9989" width="11.33203125" style="1" customWidth="1"/>
    <col min="9990" max="10217" width="8.83203125" style="1"/>
    <col min="10218" max="10219" width="4.5" style="1" customWidth="1"/>
    <col min="10220" max="10220" width="8.6640625" style="1" customWidth="1"/>
    <col min="10221" max="10221" width="49.1640625" style="1" customWidth="1"/>
    <col min="10222" max="10222" width="3.1640625" style="1" customWidth="1"/>
    <col min="10223" max="10223" width="8.6640625" style="1" customWidth="1"/>
    <col min="10224" max="10224" width="10.5" style="1" customWidth="1"/>
    <col min="10225" max="10225" width="10.1640625" style="1" customWidth="1"/>
    <col min="10226" max="10226" width="11" style="1" customWidth="1"/>
    <col min="10227" max="10227" width="10.33203125" style="1" customWidth="1"/>
    <col min="10228" max="10228" width="9.83203125" style="1" customWidth="1"/>
    <col min="10229" max="10229" width="11.1640625" style="1" customWidth="1"/>
    <col min="10230" max="10230" width="10.5" style="1" customWidth="1"/>
    <col min="10231" max="10231" width="8.83203125" style="1" customWidth="1"/>
    <col min="10232" max="10232" width="10.33203125" style="1" customWidth="1"/>
    <col min="10233" max="10233" width="10.6640625" style="1" customWidth="1"/>
    <col min="10234" max="10234" width="12.5" style="1" customWidth="1"/>
    <col min="10235" max="10235" width="11.83203125" style="1" customWidth="1"/>
    <col min="10236" max="10236" width="11.1640625" style="1" customWidth="1"/>
    <col min="10237" max="10237" width="11" style="1" customWidth="1"/>
    <col min="10238" max="10238" width="11.1640625" style="1" customWidth="1"/>
    <col min="10239" max="10239" width="10.1640625" style="1" customWidth="1"/>
    <col min="10240" max="10240" width="11.83203125" style="1" customWidth="1"/>
    <col min="10241" max="10241" width="8.83203125" style="1"/>
    <col min="10242" max="10242" width="10.1640625" style="1" customWidth="1"/>
    <col min="10243" max="10243" width="10" style="1" customWidth="1"/>
    <col min="10244" max="10244" width="10.83203125" style="1" customWidth="1"/>
    <col min="10245" max="10245" width="11.33203125" style="1" customWidth="1"/>
    <col min="10246" max="10473" width="8.83203125" style="1"/>
    <col min="10474" max="10475" width="4.5" style="1" customWidth="1"/>
    <col min="10476" max="10476" width="8.6640625" style="1" customWidth="1"/>
    <col min="10477" max="10477" width="49.1640625" style="1" customWidth="1"/>
    <col min="10478" max="10478" width="3.1640625" style="1" customWidth="1"/>
    <col min="10479" max="10479" width="8.6640625" style="1" customWidth="1"/>
    <col min="10480" max="10480" width="10.5" style="1" customWidth="1"/>
    <col min="10481" max="10481" width="10.1640625" style="1" customWidth="1"/>
    <col min="10482" max="10482" width="11" style="1" customWidth="1"/>
    <col min="10483" max="10483" width="10.33203125" style="1" customWidth="1"/>
    <col min="10484" max="10484" width="9.83203125" style="1" customWidth="1"/>
    <col min="10485" max="10485" width="11.1640625" style="1" customWidth="1"/>
    <col min="10486" max="10486" width="10.5" style="1" customWidth="1"/>
    <col min="10487" max="10487" width="8.83203125" style="1" customWidth="1"/>
    <col min="10488" max="10488" width="10.33203125" style="1" customWidth="1"/>
    <col min="10489" max="10489" width="10.6640625" style="1" customWidth="1"/>
    <col min="10490" max="10490" width="12.5" style="1" customWidth="1"/>
    <col min="10491" max="10491" width="11.83203125" style="1" customWidth="1"/>
    <col min="10492" max="10492" width="11.1640625" style="1" customWidth="1"/>
    <col min="10493" max="10493" width="11" style="1" customWidth="1"/>
    <col min="10494" max="10494" width="11.1640625" style="1" customWidth="1"/>
    <col min="10495" max="10495" width="10.1640625" style="1" customWidth="1"/>
    <col min="10496" max="10496" width="11.83203125" style="1" customWidth="1"/>
    <col min="10497" max="10497" width="8.83203125" style="1"/>
    <col min="10498" max="10498" width="10.1640625" style="1" customWidth="1"/>
    <col min="10499" max="10499" width="10" style="1" customWidth="1"/>
    <col min="10500" max="10500" width="10.83203125" style="1" customWidth="1"/>
    <col min="10501" max="10501" width="11.33203125" style="1" customWidth="1"/>
    <col min="10502" max="10729" width="8.83203125" style="1"/>
    <col min="10730" max="10731" width="4.5" style="1" customWidth="1"/>
    <col min="10732" max="10732" width="8.6640625" style="1" customWidth="1"/>
    <col min="10733" max="10733" width="49.1640625" style="1" customWidth="1"/>
    <col min="10734" max="10734" width="3.1640625" style="1" customWidth="1"/>
    <col min="10735" max="10735" width="8.6640625" style="1" customWidth="1"/>
    <col min="10736" max="10736" width="10.5" style="1" customWidth="1"/>
    <col min="10737" max="10737" width="10.1640625" style="1" customWidth="1"/>
    <col min="10738" max="10738" width="11" style="1" customWidth="1"/>
    <col min="10739" max="10739" width="10.33203125" style="1" customWidth="1"/>
    <col min="10740" max="10740" width="9.83203125" style="1" customWidth="1"/>
    <col min="10741" max="10741" width="11.1640625" style="1" customWidth="1"/>
    <col min="10742" max="10742" width="10.5" style="1" customWidth="1"/>
    <col min="10743" max="10743" width="8.83203125" style="1" customWidth="1"/>
    <col min="10744" max="10744" width="10.33203125" style="1" customWidth="1"/>
    <col min="10745" max="10745" width="10.6640625" style="1" customWidth="1"/>
    <col min="10746" max="10746" width="12.5" style="1" customWidth="1"/>
    <col min="10747" max="10747" width="11.83203125" style="1" customWidth="1"/>
    <col min="10748" max="10748" width="11.1640625" style="1" customWidth="1"/>
    <col min="10749" max="10749" width="11" style="1" customWidth="1"/>
    <col min="10750" max="10750" width="11.1640625" style="1" customWidth="1"/>
    <col min="10751" max="10751" width="10.1640625" style="1" customWidth="1"/>
    <col min="10752" max="10752" width="11.83203125" style="1" customWidth="1"/>
    <col min="10753" max="10753" width="8.83203125" style="1"/>
    <col min="10754" max="10754" width="10.1640625" style="1" customWidth="1"/>
    <col min="10755" max="10755" width="10" style="1" customWidth="1"/>
    <col min="10756" max="10756" width="10.83203125" style="1" customWidth="1"/>
    <col min="10757" max="10757" width="11.33203125" style="1" customWidth="1"/>
    <col min="10758" max="10985" width="8.83203125" style="1"/>
    <col min="10986" max="10987" width="4.5" style="1" customWidth="1"/>
    <col min="10988" max="10988" width="8.6640625" style="1" customWidth="1"/>
    <col min="10989" max="10989" width="49.1640625" style="1" customWidth="1"/>
    <col min="10990" max="10990" width="3.1640625" style="1" customWidth="1"/>
    <col min="10991" max="10991" width="8.6640625" style="1" customWidth="1"/>
    <col min="10992" max="10992" width="10.5" style="1" customWidth="1"/>
    <col min="10993" max="10993" width="10.1640625" style="1" customWidth="1"/>
    <col min="10994" max="10994" width="11" style="1" customWidth="1"/>
    <col min="10995" max="10995" width="10.33203125" style="1" customWidth="1"/>
    <col min="10996" max="10996" width="9.83203125" style="1" customWidth="1"/>
    <col min="10997" max="10997" width="11.1640625" style="1" customWidth="1"/>
    <col min="10998" max="10998" width="10.5" style="1" customWidth="1"/>
    <col min="10999" max="10999" width="8.83203125" style="1" customWidth="1"/>
    <col min="11000" max="11000" width="10.33203125" style="1" customWidth="1"/>
    <col min="11001" max="11001" width="10.6640625" style="1" customWidth="1"/>
    <col min="11002" max="11002" width="12.5" style="1" customWidth="1"/>
    <col min="11003" max="11003" width="11.83203125" style="1" customWidth="1"/>
    <col min="11004" max="11004" width="11.1640625" style="1" customWidth="1"/>
    <col min="11005" max="11005" width="11" style="1" customWidth="1"/>
    <col min="11006" max="11006" width="11.1640625" style="1" customWidth="1"/>
    <col min="11007" max="11007" width="10.1640625" style="1" customWidth="1"/>
    <col min="11008" max="11008" width="11.83203125" style="1" customWidth="1"/>
    <col min="11009" max="11009" width="8.83203125" style="1"/>
    <col min="11010" max="11010" width="10.1640625" style="1" customWidth="1"/>
    <col min="11011" max="11011" width="10" style="1" customWidth="1"/>
    <col min="11012" max="11012" width="10.83203125" style="1" customWidth="1"/>
    <col min="11013" max="11013" width="11.33203125" style="1" customWidth="1"/>
    <col min="11014" max="11241" width="8.83203125" style="1"/>
    <col min="11242" max="11243" width="4.5" style="1" customWidth="1"/>
    <col min="11244" max="11244" width="8.6640625" style="1" customWidth="1"/>
    <col min="11245" max="11245" width="49.1640625" style="1" customWidth="1"/>
    <col min="11246" max="11246" width="3.1640625" style="1" customWidth="1"/>
    <col min="11247" max="11247" width="8.6640625" style="1" customWidth="1"/>
    <col min="11248" max="11248" width="10.5" style="1" customWidth="1"/>
    <col min="11249" max="11249" width="10.1640625" style="1" customWidth="1"/>
    <col min="11250" max="11250" width="11" style="1" customWidth="1"/>
    <col min="11251" max="11251" width="10.33203125" style="1" customWidth="1"/>
    <col min="11252" max="11252" width="9.83203125" style="1" customWidth="1"/>
    <col min="11253" max="11253" width="11.1640625" style="1" customWidth="1"/>
    <col min="11254" max="11254" width="10.5" style="1" customWidth="1"/>
    <col min="11255" max="11255" width="8.83203125" style="1" customWidth="1"/>
    <col min="11256" max="11256" width="10.33203125" style="1" customWidth="1"/>
    <col min="11257" max="11257" width="10.6640625" style="1" customWidth="1"/>
    <col min="11258" max="11258" width="12.5" style="1" customWidth="1"/>
    <col min="11259" max="11259" width="11.83203125" style="1" customWidth="1"/>
    <col min="11260" max="11260" width="11.1640625" style="1" customWidth="1"/>
    <col min="11261" max="11261" width="11" style="1" customWidth="1"/>
    <col min="11262" max="11262" width="11.1640625" style="1" customWidth="1"/>
    <col min="11263" max="11263" width="10.1640625" style="1" customWidth="1"/>
    <col min="11264" max="11264" width="11.83203125" style="1" customWidth="1"/>
    <col min="11265" max="11265" width="8.83203125" style="1"/>
    <col min="11266" max="11266" width="10.1640625" style="1" customWidth="1"/>
    <col min="11267" max="11267" width="10" style="1" customWidth="1"/>
    <col min="11268" max="11268" width="10.83203125" style="1" customWidth="1"/>
    <col min="11269" max="11269" width="11.33203125" style="1" customWidth="1"/>
    <col min="11270" max="11497" width="8.83203125" style="1"/>
    <col min="11498" max="11499" width="4.5" style="1" customWidth="1"/>
    <col min="11500" max="11500" width="8.6640625" style="1" customWidth="1"/>
    <col min="11501" max="11501" width="49.1640625" style="1" customWidth="1"/>
    <col min="11502" max="11502" width="3.1640625" style="1" customWidth="1"/>
    <col min="11503" max="11503" width="8.6640625" style="1" customWidth="1"/>
    <col min="11504" max="11504" width="10.5" style="1" customWidth="1"/>
    <col min="11505" max="11505" width="10.1640625" style="1" customWidth="1"/>
    <col min="11506" max="11506" width="11" style="1" customWidth="1"/>
    <col min="11507" max="11507" width="10.33203125" style="1" customWidth="1"/>
    <col min="11508" max="11508" width="9.83203125" style="1" customWidth="1"/>
    <col min="11509" max="11509" width="11.1640625" style="1" customWidth="1"/>
    <col min="11510" max="11510" width="10.5" style="1" customWidth="1"/>
    <col min="11511" max="11511" width="8.83203125" style="1" customWidth="1"/>
    <col min="11512" max="11512" width="10.33203125" style="1" customWidth="1"/>
    <col min="11513" max="11513" width="10.6640625" style="1" customWidth="1"/>
    <col min="11514" max="11514" width="12.5" style="1" customWidth="1"/>
    <col min="11515" max="11515" width="11.83203125" style="1" customWidth="1"/>
    <col min="11516" max="11516" width="11.1640625" style="1" customWidth="1"/>
    <col min="11517" max="11517" width="11" style="1" customWidth="1"/>
    <col min="11518" max="11518" width="11.1640625" style="1" customWidth="1"/>
    <col min="11519" max="11519" width="10.1640625" style="1" customWidth="1"/>
    <col min="11520" max="11520" width="11.83203125" style="1" customWidth="1"/>
    <col min="11521" max="11521" width="8.83203125" style="1"/>
    <col min="11522" max="11522" width="10.1640625" style="1" customWidth="1"/>
    <col min="11523" max="11523" width="10" style="1" customWidth="1"/>
    <col min="11524" max="11524" width="10.83203125" style="1" customWidth="1"/>
    <col min="11525" max="11525" width="11.33203125" style="1" customWidth="1"/>
    <col min="11526" max="11753" width="8.83203125" style="1"/>
    <col min="11754" max="11755" width="4.5" style="1" customWidth="1"/>
    <col min="11756" max="11756" width="8.6640625" style="1" customWidth="1"/>
    <col min="11757" max="11757" width="49.1640625" style="1" customWidth="1"/>
    <col min="11758" max="11758" width="3.1640625" style="1" customWidth="1"/>
    <col min="11759" max="11759" width="8.6640625" style="1" customWidth="1"/>
    <col min="11760" max="11760" width="10.5" style="1" customWidth="1"/>
    <col min="11761" max="11761" width="10.1640625" style="1" customWidth="1"/>
    <col min="11762" max="11762" width="11" style="1" customWidth="1"/>
    <col min="11763" max="11763" width="10.33203125" style="1" customWidth="1"/>
    <col min="11764" max="11764" width="9.83203125" style="1" customWidth="1"/>
    <col min="11765" max="11765" width="11.1640625" style="1" customWidth="1"/>
    <col min="11766" max="11766" width="10.5" style="1" customWidth="1"/>
    <col min="11767" max="11767" width="8.83203125" style="1" customWidth="1"/>
    <col min="11768" max="11768" width="10.33203125" style="1" customWidth="1"/>
    <col min="11769" max="11769" width="10.6640625" style="1" customWidth="1"/>
    <col min="11770" max="11770" width="12.5" style="1" customWidth="1"/>
    <col min="11771" max="11771" width="11.83203125" style="1" customWidth="1"/>
    <col min="11772" max="11772" width="11.1640625" style="1" customWidth="1"/>
    <col min="11773" max="11773" width="11" style="1" customWidth="1"/>
    <col min="11774" max="11774" width="11.1640625" style="1" customWidth="1"/>
    <col min="11775" max="11775" width="10.1640625" style="1" customWidth="1"/>
    <col min="11776" max="11776" width="11.83203125" style="1" customWidth="1"/>
    <col min="11777" max="11777" width="8.83203125" style="1"/>
    <col min="11778" max="11778" width="10.1640625" style="1" customWidth="1"/>
    <col min="11779" max="11779" width="10" style="1" customWidth="1"/>
    <col min="11780" max="11780" width="10.83203125" style="1" customWidth="1"/>
    <col min="11781" max="11781" width="11.33203125" style="1" customWidth="1"/>
    <col min="11782" max="12009" width="8.83203125" style="1"/>
    <col min="12010" max="12011" width="4.5" style="1" customWidth="1"/>
    <col min="12012" max="12012" width="8.6640625" style="1" customWidth="1"/>
    <col min="12013" max="12013" width="49.1640625" style="1" customWidth="1"/>
    <col min="12014" max="12014" width="3.1640625" style="1" customWidth="1"/>
    <col min="12015" max="12015" width="8.6640625" style="1" customWidth="1"/>
    <col min="12016" max="12016" width="10.5" style="1" customWidth="1"/>
    <col min="12017" max="12017" width="10.1640625" style="1" customWidth="1"/>
    <col min="12018" max="12018" width="11" style="1" customWidth="1"/>
    <col min="12019" max="12019" width="10.33203125" style="1" customWidth="1"/>
    <col min="12020" max="12020" width="9.83203125" style="1" customWidth="1"/>
    <col min="12021" max="12021" width="11.1640625" style="1" customWidth="1"/>
    <col min="12022" max="12022" width="10.5" style="1" customWidth="1"/>
    <col min="12023" max="12023" width="8.83203125" style="1" customWidth="1"/>
    <col min="12024" max="12024" width="10.33203125" style="1" customWidth="1"/>
    <col min="12025" max="12025" width="10.6640625" style="1" customWidth="1"/>
    <col min="12026" max="12026" width="12.5" style="1" customWidth="1"/>
    <col min="12027" max="12027" width="11.83203125" style="1" customWidth="1"/>
    <col min="12028" max="12028" width="11.1640625" style="1" customWidth="1"/>
    <col min="12029" max="12029" width="11" style="1" customWidth="1"/>
    <col min="12030" max="12030" width="11.1640625" style="1" customWidth="1"/>
    <col min="12031" max="12031" width="10.1640625" style="1" customWidth="1"/>
    <col min="12032" max="12032" width="11.83203125" style="1" customWidth="1"/>
    <col min="12033" max="12033" width="8.83203125" style="1"/>
    <col min="12034" max="12034" width="10.1640625" style="1" customWidth="1"/>
    <col min="12035" max="12035" width="10" style="1" customWidth="1"/>
    <col min="12036" max="12036" width="10.83203125" style="1" customWidth="1"/>
    <col min="12037" max="12037" width="11.33203125" style="1" customWidth="1"/>
    <col min="12038" max="12265" width="8.83203125" style="1"/>
    <col min="12266" max="12267" width="4.5" style="1" customWidth="1"/>
    <col min="12268" max="12268" width="8.6640625" style="1" customWidth="1"/>
    <col min="12269" max="12269" width="49.1640625" style="1" customWidth="1"/>
    <col min="12270" max="12270" width="3.1640625" style="1" customWidth="1"/>
    <col min="12271" max="12271" width="8.6640625" style="1" customWidth="1"/>
    <col min="12272" max="12272" width="10.5" style="1" customWidth="1"/>
    <col min="12273" max="12273" width="10.1640625" style="1" customWidth="1"/>
    <col min="12274" max="12274" width="11" style="1" customWidth="1"/>
    <col min="12275" max="12275" width="10.33203125" style="1" customWidth="1"/>
    <col min="12276" max="12276" width="9.83203125" style="1" customWidth="1"/>
    <col min="12277" max="12277" width="11.1640625" style="1" customWidth="1"/>
    <col min="12278" max="12278" width="10.5" style="1" customWidth="1"/>
    <col min="12279" max="12279" width="8.83203125" style="1" customWidth="1"/>
    <col min="12280" max="12280" width="10.33203125" style="1" customWidth="1"/>
    <col min="12281" max="12281" width="10.6640625" style="1" customWidth="1"/>
    <col min="12282" max="12282" width="12.5" style="1" customWidth="1"/>
    <col min="12283" max="12283" width="11.83203125" style="1" customWidth="1"/>
    <col min="12284" max="12284" width="11.1640625" style="1" customWidth="1"/>
    <col min="12285" max="12285" width="11" style="1" customWidth="1"/>
    <col min="12286" max="12286" width="11.1640625" style="1" customWidth="1"/>
    <col min="12287" max="12287" width="10.1640625" style="1" customWidth="1"/>
    <col min="12288" max="12288" width="11.83203125" style="1" customWidth="1"/>
    <col min="12289" max="12289" width="8.83203125" style="1"/>
    <col min="12290" max="12290" width="10.1640625" style="1" customWidth="1"/>
    <col min="12291" max="12291" width="10" style="1" customWidth="1"/>
    <col min="12292" max="12292" width="10.83203125" style="1" customWidth="1"/>
    <col min="12293" max="12293" width="11.33203125" style="1" customWidth="1"/>
    <col min="12294" max="12521" width="8.83203125" style="1"/>
    <col min="12522" max="12523" width="4.5" style="1" customWidth="1"/>
    <col min="12524" max="12524" width="8.6640625" style="1" customWidth="1"/>
    <col min="12525" max="12525" width="49.1640625" style="1" customWidth="1"/>
    <col min="12526" max="12526" width="3.1640625" style="1" customWidth="1"/>
    <col min="12527" max="12527" width="8.6640625" style="1" customWidth="1"/>
    <col min="12528" max="12528" width="10.5" style="1" customWidth="1"/>
    <col min="12529" max="12529" width="10.1640625" style="1" customWidth="1"/>
    <col min="12530" max="12530" width="11" style="1" customWidth="1"/>
    <col min="12531" max="12531" width="10.33203125" style="1" customWidth="1"/>
    <col min="12532" max="12532" width="9.83203125" style="1" customWidth="1"/>
    <col min="12533" max="12533" width="11.1640625" style="1" customWidth="1"/>
    <col min="12534" max="12534" width="10.5" style="1" customWidth="1"/>
    <col min="12535" max="12535" width="8.83203125" style="1" customWidth="1"/>
    <col min="12536" max="12536" width="10.33203125" style="1" customWidth="1"/>
    <col min="12537" max="12537" width="10.6640625" style="1" customWidth="1"/>
    <col min="12538" max="12538" width="12.5" style="1" customWidth="1"/>
    <col min="12539" max="12539" width="11.83203125" style="1" customWidth="1"/>
    <col min="12540" max="12540" width="11.1640625" style="1" customWidth="1"/>
    <col min="12541" max="12541" width="11" style="1" customWidth="1"/>
    <col min="12542" max="12542" width="11.1640625" style="1" customWidth="1"/>
    <col min="12543" max="12543" width="10.1640625" style="1" customWidth="1"/>
    <col min="12544" max="12544" width="11.83203125" style="1" customWidth="1"/>
    <col min="12545" max="12545" width="8.83203125" style="1"/>
    <col min="12546" max="12546" width="10.1640625" style="1" customWidth="1"/>
    <col min="12547" max="12547" width="10" style="1" customWidth="1"/>
    <col min="12548" max="12548" width="10.83203125" style="1" customWidth="1"/>
    <col min="12549" max="12549" width="11.33203125" style="1" customWidth="1"/>
    <col min="12550" max="12777" width="8.83203125" style="1"/>
    <col min="12778" max="12779" width="4.5" style="1" customWidth="1"/>
    <col min="12780" max="12780" width="8.6640625" style="1" customWidth="1"/>
    <col min="12781" max="12781" width="49.1640625" style="1" customWidth="1"/>
    <col min="12782" max="12782" width="3.1640625" style="1" customWidth="1"/>
    <col min="12783" max="12783" width="8.6640625" style="1" customWidth="1"/>
    <col min="12784" max="12784" width="10.5" style="1" customWidth="1"/>
    <col min="12785" max="12785" width="10.1640625" style="1" customWidth="1"/>
    <col min="12786" max="12786" width="11" style="1" customWidth="1"/>
    <col min="12787" max="12787" width="10.33203125" style="1" customWidth="1"/>
    <col min="12788" max="12788" width="9.83203125" style="1" customWidth="1"/>
    <col min="12789" max="12789" width="11.1640625" style="1" customWidth="1"/>
    <col min="12790" max="12790" width="10.5" style="1" customWidth="1"/>
    <col min="12791" max="12791" width="8.83203125" style="1" customWidth="1"/>
    <col min="12792" max="12792" width="10.33203125" style="1" customWidth="1"/>
    <col min="12793" max="12793" width="10.6640625" style="1" customWidth="1"/>
    <col min="12794" max="12794" width="12.5" style="1" customWidth="1"/>
    <col min="12795" max="12795" width="11.83203125" style="1" customWidth="1"/>
    <col min="12796" max="12796" width="11.1640625" style="1" customWidth="1"/>
    <col min="12797" max="12797" width="11" style="1" customWidth="1"/>
    <col min="12798" max="12798" width="11.1640625" style="1" customWidth="1"/>
    <col min="12799" max="12799" width="10.1640625" style="1" customWidth="1"/>
    <col min="12800" max="12800" width="11.83203125" style="1" customWidth="1"/>
    <col min="12801" max="12801" width="8.83203125" style="1"/>
    <col min="12802" max="12802" width="10.1640625" style="1" customWidth="1"/>
    <col min="12803" max="12803" width="10" style="1" customWidth="1"/>
    <col min="12804" max="12804" width="10.83203125" style="1" customWidth="1"/>
    <col min="12805" max="12805" width="11.33203125" style="1" customWidth="1"/>
    <col min="12806" max="13033" width="8.83203125" style="1"/>
    <col min="13034" max="13035" width="4.5" style="1" customWidth="1"/>
    <col min="13036" max="13036" width="8.6640625" style="1" customWidth="1"/>
    <col min="13037" max="13037" width="49.1640625" style="1" customWidth="1"/>
    <col min="13038" max="13038" width="3.1640625" style="1" customWidth="1"/>
    <col min="13039" max="13039" width="8.6640625" style="1" customWidth="1"/>
    <col min="13040" max="13040" width="10.5" style="1" customWidth="1"/>
    <col min="13041" max="13041" width="10.1640625" style="1" customWidth="1"/>
    <col min="13042" max="13042" width="11" style="1" customWidth="1"/>
    <col min="13043" max="13043" width="10.33203125" style="1" customWidth="1"/>
    <col min="13044" max="13044" width="9.83203125" style="1" customWidth="1"/>
    <col min="13045" max="13045" width="11.1640625" style="1" customWidth="1"/>
    <col min="13046" max="13046" width="10.5" style="1" customWidth="1"/>
    <col min="13047" max="13047" width="8.83203125" style="1" customWidth="1"/>
    <col min="13048" max="13048" width="10.33203125" style="1" customWidth="1"/>
    <col min="13049" max="13049" width="10.6640625" style="1" customWidth="1"/>
    <col min="13050" max="13050" width="12.5" style="1" customWidth="1"/>
    <col min="13051" max="13051" width="11.83203125" style="1" customWidth="1"/>
    <col min="13052" max="13052" width="11.1640625" style="1" customWidth="1"/>
    <col min="13053" max="13053" width="11" style="1" customWidth="1"/>
    <col min="13054" max="13054" width="11.1640625" style="1" customWidth="1"/>
    <col min="13055" max="13055" width="10.1640625" style="1" customWidth="1"/>
    <col min="13056" max="13056" width="11.83203125" style="1" customWidth="1"/>
    <col min="13057" max="13057" width="8.83203125" style="1"/>
    <col min="13058" max="13058" width="10.1640625" style="1" customWidth="1"/>
    <col min="13059" max="13059" width="10" style="1" customWidth="1"/>
    <col min="13060" max="13060" width="10.83203125" style="1" customWidth="1"/>
    <col min="13061" max="13061" width="11.33203125" style="1" customWidth="1"/>
    <col min="13062" max="13289" width="8.83203125" style="1"/>
    <col min="13290" max="13291" width="4.5" style="1" customWidth="1"/>
    <col min="13292" max="13292" width="8.6640625" style="1" customWidth="1"/>
    <col min="13293" max="13293" width="49.1640625" style="1" customWidth="1"/>
    <col min="13294" max="13294" width="3.1640625" style="1" customWidth="1"/>
    <col min="13295" max="13295" width="8.6640625" style="1" customWidth="1"/>
    <col min="13296" max="13296" width="10.5" style="1" customWidth="1"/>
    <col min="13297" max="13297" width="10.1640625" style="1" customWidth="1"/>
    <col min="13298" max="13298" width="11" style="1" customWidth="1"/>
    <col min="13299" max="13299" width="10.33203125" style="1" customWidth="1"/>
    <col min="13300" max="13300" width="9.83203125" style="1" customWidth="1"/>
    <col min="13301" max="13301" width="11.1640625" style="1" customWidth="1"/>
    <col min="13302" max="13302" width="10.5" style="1" customWidth="1"/>
    <col min="13303" max="13303" width="8.83203125" style="1" customWidth="1"/>
    <col min="13304" max="13304" width="10.33203125" style="1" customWidth="1"/>
    <col min="13305" max="13305" width="10.6640625" style="1" customWidth="1"/>
    <col min="13306" max="13306" width="12.5" style="1" customWidth="1"/>
    <col min="13307" max="13307" width="11.83203125" style="1" customWidth="1"/>
    <col min="13308" max="13308" width="11.1640625" style="1" customWidth="1"/>
    <col min="13309" max="13309" width="11" style="1" customWidth="1"/>
    <col min="13310" max="13310" width="11.1640625" style="1" customWidth="1"/>
    <col min="13311" max="13311" width="10.1640625" style="1" customWidth="1"/>
    <col min="13312" max="13312" width="11.83203125" style="1" customWidth="1"/>
    <col min="13313" max="13313" width="8.83203125" style="1"/>
    <col min="13314" max="13314" width="10.1640625" style="1" customWidth="1"/>
    <col min="13315" max="13315" width="10" style="1" customWidth="1"/>
    <col min="13316" max="13316" width="10.83203125" style="1" customWidth="1"/>
    <col min="13317" max="13317" width="11.33203125" style="1" customWidth="1"/>
    <col min="13318" max="13545" width="8.83203125" style="1"/>
    <col min="13546" max="13547" width="4.5" style="1" customWidth="1"/>
    <col min="13548" max="13548" width="8.6640625" style="1" customWidth="1"/>
    <col min="13549" max="13549" width="49.1640625" style="1" customWidth="1"/>
    <col min="13550" max="13550" width="3.1640625" style="1" customWidth="1"/>
    <col min="13551" max="13551" width="8.6640625" style="1" customWidth="1"/>
    <col min="13552" max="13552" width="10.5" style="1" customWidth="1"/>
    <col min="13553" max="13553" width="10.1640625" style="1" customWidth="1"/>
    <col min="13554" max="13554" width="11" style="1" customWidth="1"/>
    <col min="13555" max="13555" width="10.33203125" style="1" customWidth="1"/>
    <col min="13556" max="13556" width="9.83203125" style="1" customWidth="1"/>
    <col min="13557" max="13557" width="11.1640625" style="1" customWidth="1"/>
    <col min="13558" max="13558" width="10.5" style="1" customWidth="1"/>
    <col min="13559" max="13559" width="8.83203125" style="1" customWidth="1"/>
    <col min="13560" max="13560" width="10.33203125" style="1" customWidth="1"/>
    <col min="13561" max="13561" width="10.6640625" style="1" customWidth="1"/>
    <col min="13562" max="13562" width="12.5" style="1" customWidth="1"/>
    <col min="13563" max="13563" width="11.83203125" style="1" customWidth="1"/>
    <col min="13564" max="13564" width="11.1640625" style="1" customWidth="1"/>
    <col min="13565" max="13565" width="11" style="1" customWidth="1"/>
    <col min="13566" max="13566" width="11.1640625" style="1" customWidth="1"/>
    <col min="13567" max="13567" width="10.1640625" style="1" customWidth="1"/>
    <col min="13568" max="13568" width="11.83203125" style="1" customWidth="1"/>
    <col min="13569" max="13569" width="8.83203125" style="1"/>
    <col min="13570" max="13570" width="10.1640625" style="1" customWidth="1"/>
    <col min="13571" max="13571" width="10" style="1" customWidth="1"/>
    <col min="13572" max="13572" width="10.83203125" style="1" customWidth="1"/>
    <col min="13573" max="13573" width="11.33203125" style="1" customWidth="1"/>
    <col min="13574" max="13801" width="8.83203125" style="1"/>
    <col min="13802" max="13803" width="4.5" style="1" customWidth="1"/>
    <col min="13804" max="13804" width="8.6640625" style="1" customWidth="1"/>
    <col min="13805" max="13805" width="49.1640625" style="1" customWidth="1"/>
    <col min="13806" max="13806" width="3.1640625" style="1" customWidth="1"/>
    <col min="13807" max="13807" width="8.6640625" style="1" customWidth="1"/>
    <col min="13808" max="13808" width="10.5" style="1" customWidth="1"/>
    <col min="13809" max="13809" width="10.1640625" style="1" customWidth="1"/>
    <col min="13810" max="13810" width="11" style="1" customWidth="1"/>
    <col min="13811" max="13811" width="10.33203125" style="1" customWidth="1"/>
    <col min="13812" max="13812" width="9.83203125" style="1" customWidth="1"/>
    <col min="13813" max="13813" width="11.1640625" style="1" customWidth="1"/>
    <col min="13814" max="13814" width="10.5" style="1" customWidth="1"/>
    <col min="13815" max="13815" width="8.83203125" style="1" customWidth="1"/>
    <col min="13816" max="13816" width="10.33203125" style="1" customWidth="1"/>
    <col min="13817" max="13817" width="10.6640625" style="1" customWidth="1"/>
    <col min="13818" max="13818" width="12.5" style="1" customWidth="1"/>
    <col min="13819" max="13819" width="11.83203125" style="1" customWidth="1"/>
    <col min="13820" max="13820" width="11.1640625" style="1" customWidth="1"/>
    <col min="13821" max="13821" width="11" style="1" customWidth="1"/>
    <col min="13822" max="13822" width="11.1640625" style="1" customWidth="1"/>
    <col min="13823" max="13823" width="10.1640625" style="1" customWidth="1"/>
    <col min="13824" max="13824" width="11.83203125" style="1" customWidth="1"/>
    <col min="13825" max="13825" width="8.83203125" style="1"/>
    <col min="13826" max="13826" width="10.1640625" style="1" customWidth="1"/>
    <col min="13827" max="13827" width="10" style="1" customWidth="1"/>
    <col min="13828" max="13828" width="10.83203125" style="1" customWidth="1"/>
    <col min="13829" max="13829" width="11.33203125" style="1" customWidth="1"/>
    <col min="13830" max="14057" width="8.83203125" style="1"/>
    <col min="14058" max="14059" width="4.5" style="1" customWidth="1"/>
    <col min="14060" max="14060" width="8.6640625" style="1" customWidth="1"/>
    <col min="14061" max="14061" width="49.1640625" style="1" customWidth="1"/>
    <col min="14062" max="14062" width="3.1640625" style="1" customWidth="1"/>
    <col min="14063" max="14063" width="8.6640625" style="1" customWidth="1"/>
    <col min="14064" max="14064" width="10.5" style="1" customWidth="1"/>
    <col min="14065" max="14065" width="10.1640625" style="1" customWidth="1"/>
    <col min="14066" max="14066" width="11" style="1" customWidth="1"/>
    <col min="14067" max="14067" width="10.33203125" style="1" customWidth="1"/>
    <col min="14068" max="14068" width="9.83203125" style="1" customWidth="1"/>
    <col min="14069" max="14069" width="11.1640625" style="1" customWidth="1"/>
    <col min="14070" max="14070" width="10.5" style="1" customWidth="1"/>
    <col min="14071" max="14071" width="8.83203125" style="1" customWidth="1"/>
    <col min="14072" max="14072" width="10.33203125" style="1" customWidth="1"/>
    <col min="14073" max="14073" width="10.6640625" style="1" customWidth="1"/>
    <col min="14074" max="14074" width="12.5" style="1" customWidth="1"/>
    <col min="14075" max="14075" width="11.83203125" style="1" customWidth="1"/>
    <col min="14076" max="14076" width="11.1640625" style="1" customWidth="1"/>
    <col min="14077" max="14077" width="11" style="1" customWidth="1"/>
    <col min="14078" max="14078" width="11.1640625" style="1" customWidth="1"/>
    <col min="14079" max="14079" width="10.1640625" style="1" customWidth="1"/>
    <col min="14080" max="14080" width="11.83203125" style="1" customWidth="1"/>
    <col min="14081" max="14081" width="8.83203125" style="1"/>
    <col min="14082" max="14082" width="10.1640625" style="1" customWidth="1"/>
    <col min="14083" max="14083" width="10" style="1" customWidth="1"/>
    <col min="14084" max="14084" width="10.83203125" style="1" customWidth="1"/>
    <col min="14085" max="14085" width="11.33203125" style="1" customWidth="1"/>
    <col min="14086" max="14313" width="8.83203125" style="1"/>
    <col min="14314" max="14315" width="4.5" style="1" customWidth="1"/>
    <col min="14316" max="14316" width="8.6640625" style="1" customWidth="1"/>
    <col min="14317" max="14317" width="49.1640625" style="1" customWidth="1"/>
    <col min="14318" max="14318" width="3.1640625" style="1" customWidth="1"/>
    <col min="14319" max="14319" width="8.6640625" style="1" customWidth="1"/>
    <col min="14320" max="14320" width="10.5" style="1" customWidth="1"/>
    <col min="14321" max="14321" width="10.1640625" style="1" customWidth="1"/>
    <col min="14322" max="14322" width="11" style="1" customWidth="1"/>
    <col min="14323" max="14323" width="10.33203125" style="1" customWidth="1"/>
    <col min="14324" max="14324" width="9.83203125" style="1" customWidth="1"/>
    <col min="14325" max="14325" width="11.1640625" style="1" customWidth="1"/>
    <col min="14326" max="14326" width="10.5" style="1" customWidth="1"/>
    <col min="14327" max="14327" width="8.83203125" style="1" customWidth="1"/>
    <col min="14328" max="14328" width="10.33203125" style="1" customWidth="1"/>
    <col min="14329" max="14329" width="10.6640625" style="1" customWidth="1"/>
    <col min="14330" max="14330" width="12.5" style="1" customWidth="1"/>
    <col min="14331" max="14331" width="11.83203125" style="1" customWidth="1"/>
    <col min="14332" max="14332" width="11.1640625" style="1" customWidth="1"/>
    <col min="14333" max="14333" width="11" style="1" customWidth="1"/>
    <col min="14334" max="14334" width="11.1640625" style="1" customWidth="1"/>
    <col min="14335" max="14335" width="10.1640625" style="1" customWidth="1"/>
    <col min="14336" max="14336" width="11.83203125" style="1" customWidth="1"/>
    <col min="14337" max="14337" width="8.83203125" style="1"/>
    <col min="14338" max="14338" width="10.1640625" style="1" customWidth="1"/>
    <col min="14339" max="14339" width="10" style="1" customWidth="1"/>
    <col min="14340" max="14340" width="10.83203125" style="1" customWidth="1"/>
    <col min="14341" max="14341" width="11.33203125" style="1" customWidth="1"/>
    <col min="14342" max="14569" width="8.83203125" style="1"/>
    <col min="14570" max="14571" width="4.5" style="1" customWidth="1"/>
    <col min="14572" max="14572" width="8.6640625" style="1" customWidth="1"/>
    <col min="14573" max="14573" width="49.1640625" style="1" customWidth="1"/>
    <col min="14574" max="14574" width="3.1640625" style="1" customWidth="1"/>
    <col min="14575" max="14575" width="8.6640625" style="1" customWidth="1"/>
    <col min="14576" max="14576" width="10.5" style="1" customWidth="1"/>
    <col min="14577" max="14577" width="10.1640625" style="1" customWidth="1"/>
    <col min="14578" max="14578" width="11" style="1" customWidth="1"/>
    <col min="14579" max="14579" width="10.33203125" style="1" customWidth="1"/>
    <col min="14580" max="14580" width="9.83203125" style="1" customWidth="1"/>
    <col min="14581" max="14581" width="11.1640625" style="1" customWidth="1"/>
    <col min="14582" max="14582" width="10.5" style="1" customWidth="1"/>
    <col min="14583" max="14583" width="8.83203125" style="1" customWidth="1"/>
    <col min="14584" max="14584" width="10.33203125" style="1" customWidth="1"/>
    <col min="14585" max="14585" width="10.6640625" style="1" customWidth="1"/>
    <col min="14586" max="14586" width="12.5" style="1" customWidth="1"/>
    <col min="14587" max="14587" width="11.83203125" style="1" customWidth="1"/>
    <col min="14588" max="14588" width="11.1640625" style="1" customWidth="1"/>
    <col min="14589" max="14589" width="11" style="1" customWidth="1"/>
    <col min="14590" max="14590" width="11.1640625" style="1" customWidth="1"/>
    <col min="14591" max="14591" width="10.1640625" style="1" customWidth="1"/>
    <col min="14592" max="14592" width="11.83203125" style="1" customWidth="1"/>
    <col min="14593" max="14593" width="8.83203125" style="1"/>
    <col min="14594" max="14594" width="10.1640625" style="1" customWidth="1"/>
    <col min="14595" max="14595" width="10" style="1" customWidth="1"/>
    <col min="14596" max="14596" width="10.83203125" style="1" customWidth="1"/>
    <col min="14597" max="14597" width="11.33203125" style="1" customWidth="1"/>
    <col min="14598" max="14825" width="8.83203125" style="1"/>
    <col min="14826" max="14827" width="4.5" style="1" customWidth="1"/>
    <col min="14828" max="14828" width="8.6640625" style="1" customWidth="1"/>
    <col min="14829" max="14829" width="49.1640625" style="1" customWidth="1"/>
    <col min="14830" max="14830" width="3.1640625" style="1" customWidth="1"/>
    <col min="14831" max="14831" width="8.6640625" style="1" customWidth="1"/>
    <col min="14832" max="14832" width="10.5" style="1" customWidth="1"/>
    <col min="14833" max="14833" width="10.1640625" style="1" customWidth="1"/>
    <col min="14834" max="14834" width="11" style="1" customWidth="1"/>
    <col min="14835" max="14835" width="10.33203125" style="1" customWidth="1"/>
    <col min="14836" max="14836" width="9.83203125" style="1" customWidth="1"/>
    <col min="14837" max="14837" width="11.1640625" style="1" customWidth="1"/>
    <col min="14838" max="14838" width="10.5" style="1" customWidth="1"/>
    <col min="14839" max="14839" width="8.83203125" style="1" customWidth="1"/>
    <col min="14840" max="14840" width="10.33203125" style="1" customWidth="1"/>
    <col min="14841" max="14841" width="10.6640625" style="1" customWidth="1"/>
    <col min="14842" max="14842" width="12.5" style="1" customWidth="1"/>
    <col min="14843" max="14843" width="11.83203125" style="1" customWidth="1"/>
    <col min="14844" max="14844" width="11.1640625" style="1" customWidth="1"/>
    <col min="14845" max="14845" width="11" style="1" customWidth="1"/>
    <col min="14846" max="14846" width="11.1640625" style="1" customWidth="1"/>
    <col min="14847" max="14847" width="10.1640625" style="1" customWidth="1"/>
    <col min="14848" max="14848" width="11.83203125" style="1" customWidth="1"/>
    <col min="14849" max="14849" width="8.83203125" style="1"/>
    <col min="14850" max="14850" width="10.1640625" style="1" customWidth="1"/>
    <col min="14851" max="14851" width="10" style="1" customWidth="1"/>
    <col min="14852" max="14852" width="10.83203125" style="1" customWidth="1"/>
    <col min="14853" max="14853" width="11.33203125" style="1" customWidth="1"/>
    <col min="14854" max="15081" width="8.83203125" style="1"/>
    <col min="15082" max="15083" width="4.5" style="1" customWidth="1"/>
    <col min="15084" max="15084" width="8.6640625" style="1" customWidth="1"/>
    <col min="15085" max="15085" width="49.1640625" style="1" customWidth="1"/>
    <col min="15086" max="15086" width="3.1640625" style="1" customWidth="1"/>
    <col min="15087" max="15087" width="8.6640625" style="1" customWidth="1"/>
    <col min="15088" max="15088" width="10.5" style="1" customWidth="1"/>
    <col min="15089" max="15089" width="10.1640625" style="1" customWidth="1"/>
    <col min="15090" max="15090" width="11" style="1" customWidth="1"/>
    <col min="15091" max="15091" width="10.33203125" style="1" customWidth="1"/>
    <col min="15092" max="15092" width="9.83203125" style="1" customWidth="1"/>
    <col min="15093" max="15093" width="11.1640625" style="1" customWidth="1"/>
    <col min="15094" max="15094" width="10.5" style="1" customWidth="1"/>
    <col min="15095" max="15095" width="8.83203125" style="1" customWidth="1"/>
    <col min="15096" max="15096" width="10.33203125" style="1" customWidth="1"/>
    <col min="15097" max="15097" width="10.6640625" style="1" customWidth="1"/>
    <col min="15098" max="15098" width="12.5" style="1" customWidth="1"/>
    <col min="15099" max="15099" width="11.83203125" style="1" customWidth="1"/>
    <col min="15100" max="15100" width="11.1640625" style="1" customWidth="1"/>
    <col min="15101" max="15101" width="11" style="1" customWidth="1"/>
    <col min="15102" max="15102" width="11.1640625" style="1" customWidth="1"/>
    <col min="15103" max="15103" width="10.1640625" style="1" customWidth="1"/>
    <col min="15104" max="15104" width="11.83203125" style="1" customWidth="1"/>
    <col min="15105" max="15105" width="8.83203125" style="1"/>
    <col min="15106" max="15106" width="10.1640625" style="1" customWidth="1"/>
    <col min="15107" max="15107" width="10" style="1" customWidth="1"/>
    <col min="15108" max="15108" width="10.83203125" style="1" customWidth="1"/>
    <col min="15109" max="15109" width="11.33203125" style="1" customWidth="1"/>
    <col min="15110" max="15337" width="8.83203125" style="1"/>
    <col min="15338" max="15339" width="4.5" style="1" customWidth="1"/>
    <col min="15340" max="15340" width="8.6640625" style="1" customWidth="1"/>
    <col min="15341" max="15341" width="49.1640625" style="1" customWidth="1"/>
    <col min="15342" max="15342" width="3.1640625" style="1" customWidth="1"/>
    <col min="15343" max="15343" width="8.6640625" style="1" customWidth="1"/>
    <col min="15344" max="15344" width="10.5" style="1" customWidth="1"/>
    <col min="15345" max="15345" width="10.1640625" style="1" customWidth="1"/>
    <col min="15346" max="15346" width="11" style="1" customWidth="1"/>
    <col min="15347" max="15347" width="10.33203125" style="1" customWidth="1"/>
    <col min="15348" max="15348" width="9.83203125" style="1" customWidth="1"/>
    <col min="15349" max="15349" width="11.1640625" style="1" customWidth="1"/>
    <col min="15350" max="15350" width="10.5" style="1" customWidth="1"/>
    <col min="15351" max="15351" width="8.83203125" style="1" customWidth="1"/>
    <col min="15352" max="15352" width="10.33203125" style="1" customWidth="1"/>
    <col min="15353" max="15353" width="10.6640625" style="1" customWidth="1"/>
    <col min="15354" max="15354" width="12.5" style="1" customWidth="1"/>
    <col min="15355" max="15355" width="11.83203125" style="1" customWidth="1"/>
    <col min="15356" max="15356" width="11.1640625" style="1" customWidth="1"/>
    <col min="15357" max="15357" width="11" style="1" customWidth="1"/>
    <col min="15358" max="15358" width="11.1640625" style="1" customWidth="1"/>
    <col min="15359" max="15359" width="10.1640625" style="1" customWidth="1"/>
    <col min="15360" max="15360" width="11.83203125" style="1" customWidth="1"/>
    <col min="15361" max="15361" width="8.83203125" style="1"/>
    <col min="15362" max="15362" width="10.1640625" style="1" customWidth="1"/>
    <col min="15363" max="15363" width="10" style="1" customWidth="1"/>
    <col min="15364" max="15364" width="10.83203125" style="1" customWidth="1"/>
    <col min="15365" max="15365" width="11.33203125" style="1" customWidth="1"/>
    <col min="15366" max="15593" width="8.83203125" style="1"/>
    <col min="15594" max="15595" width="4.5" style="1" customWidth="1"/>
    <col min="15596" max="15596" width="8.6640625" style="1" customWidth="1"/>
    <col min="15597" max="15597" width="49.1640625" style="1" customWidth="1"/>
    <col min="15598" max="15598" width="3.1640625" style="1" customWidth="1"/>
    <col min="15599" max="15599" width="8.6640625" style="1" customWidth="1"/>
    <col min="15600" max="15600" width="10.5" style="1" customWidth="1"/>
    <col min="15601" max="15601" width="10.1640625" style="1" customWidth="1"/>
    <col min="15602" max="15602" width="11" style="1" customWidth="1"/>
    <col min="15603" max="15603" width="10.33203125" style="1" customWidth="1"/>
    <col min="15604" max="15604" width="9.83203125" style="1" customWidth="1"/>
    <col min="15605" max="15605" width="11.1640625" style="1" customWidth="1"/>
    <col min="15606" max="15606" width="10.5" style="1" customWidth="1"/>
    <col min="15607" max="15607" width="8.83203125" style="1" customWidth="1"/>
    <col min="15608" max="15608" width="10.33203125" style="1" customWidth="1"/>
    <col min="15609" max="15609" width="10.6640625" style="1" customWidth="1"/>
    <col min="15610" max="15610" width="12.5" style="1" customWidth="1"/>
    <col min="15611" max="15611" width="11.83203125" style="1" customWidth="1"/>
    <col min="15612" max="15612" width="11.1640625" style="1" customWidth="1"/>
    <col min="15613" max="15613" width="11" style="1" customWidth="1"/>
    <col min="15614" max="15614" width="11.1640625" style="1" customWidth="1"/>
    <col min="15615" max="15615" width="10.1640625" style="1" customWidth="1"/>
    <col min="15616" max="15616" width="11.83203125" style="1" customWidth="1"/>
    <col min="15617" max="15617" width="8.83203125" style="1"/>
    <col min="15618" max="15618" width="10.1640625" style="1" customWidth="1"/>
    <col min="15619" max="15619" width="10" style="1" customWidth="1"/>
    <col min="15620" max="15620" width="10.83203125" style="1" customWidth="1"/>
    <col min="15621" max="15621" width="11.33203125" style="1" customWidth="1"/>
    <col min="15622" max="15849" width="8.83203125" style="1"/>
    <col min="15850" max="15851" width="4.5" style="1" customWidth="1"/>
    <col min="15852" max="15852" width="8.6640625" style="1" customWidth="1"/>
    <col min="15853" max="15853" width="49.1640625" style="1" customWidth="1"/>
    <col min="15854" max="15854" width="3.1640625" style="1" customWidth="1"/>
    <col min="15855" max="15855" width="8.6640625" style="1" customWidth="1"/>
    <col min="15856" max="15856" width="10.5" style="1" customWidth="1"/>
    <col min="15857" max="15857" width="10.1640625" style="1" customWidth="1"/>
    <col min="15858" max="15858" width="11" style="1" customWidth="1"/>
    <col min="15859" max="15859" width="10.33203125" style="1" customWidth="1"/>
    <col min="15860" max="15860" width="9.83203125" style="1" customWidth="1"/>
    <col min="15861" max="15861" width="11.1640625" style="1" customWidth="1"/>
    <col min="15862" max="15862" width="10.5" style="1" customWidth="1"/>
    <col min="15863" max="15863" width="8.83203125" style="1" customWidth="1"/>
    <col min="15864" max="15864" width="10.33203125" style="1" customWidth="1"/>
    <col min="15865" max="15865" width="10.6640625" style="1" customWidth="1"/>
    <col min="15866" max="15866" width="12.5" style="1" customWidth="1"/>
    <col min="15867" max="15867" width="11.83203125" style="1" customWidth="1"/>
    <col min="15868" max="15868" width="11.1640625" style="1" customWidth="1"/>
    <col min="15869" max="15869" width="11" style="1" customWidth="1"/>
    <col min="15870" max="15870" width="11.1640625" style="1" customWidth="1"/>
    <col min="15871" max="15871" width="10.1640625" style="1" customWidth="1"/>
    <col min="15872" max="15872" width="11.83203125" style="1" customWidth="1"/>
    <col min="15873" max="15873" width="8.83203125" style="1"/>
    <col min="15874" max="15874" width="10.1640625" style="1" customWidth="1"/>
    <col min="15875" max="15875" width="10" style="1" customWidth="1"/>
    <col min="15876" max="15876" width="10.83203125" style="1" customWidth="1"/>
    <col min="15877" max="15877" width="11.33203125" style="1" customWidth="1"/>
    <col min="15878" max="16105" width="8.83203125" style="1"/>
    <col min="16106" max="16107" width="4.5" style="1" customWidth="1"/>
    <col min="16108" max="16108" width="8.6640625" style="1" customWidth="1"/>
    <col min="16109" max="16109" width="49.1640625" style="1" customWidth="1"/>
    <col min="16110" max="16110" width="3.1640625" style="1" customWidth="1"/>
    <col min="16111" max="16111" width="8.6640625" style="1" customWidth="1"/>
    <col min="16112" max="16112" width="10.5" style="1" customWidth="1"/>
    <col min="16113" max="16113" width="10.1640625" style="1" customWidth="1"/>
    <col min="16114" max="16114" width="11" style="1" customWidth="1"/>
    <col min="16115" max="16115" width="10.33203125" style="1" customWidth="1"/>
    <col min="16116" max="16116" width="9.83203125" style="1" customWidth="1"/>
    <col min="16117" max="16117" width="11.1640625" style="1" customWidth="1"/>
    <col min="16118" max="16118" width="10.5" style="1" customWidth="1"/>
    <col min="16119" max="16119" width="8.83203125" style="1" customWidth="1"/>
    <col min="16120" max="16120" width="10.33203125" style="1" customWidth="1"/>
    <col min="16121" max="16121" width="10.6640625" style="1" customWidth="1"/>
    <col min="16122" max="16122" width="12.5" style="1" customWidth="1"/>
    <col min="16123" max="16123" width="11.83203125" style="1" customWidth="1"/>
    <col min="16124" max="16124" width="11.1640625" style="1" customWidth="1"/>
    <col min="16125" max="16125" width="11" style="1" customWidth="1"/>
    <col min="16126" max="16126" width="11.1640625" style="1" customWidth="1"/>
    <col min="16127" max="16127" width="10.1640625" style="1" customWidth="1"/>
    <col min="16128" max="16128" width="11.83203125" style="1" customWidth="1"/>
    <col min="16129" max="16129" width="8.83203125" style="1"/>
    <col min="16130" max="16130" width="10.1640625" style="1" customWidth="1"/>
    <col min="16131" max="16131" width="10" style="1" customWidth="1"/>
    <col min="16132" max="16132" width="10.83203125" style="1" customWidth="1"/>
    <col min="16133" max="16133" width="11.33203125" style="1" customWidth="1"/>
    <col min="16134" max="16370" width="8.83203125" style="1"/>
    <col min="16371" max="16384" width="8.83203125" style="1" customWidth="1"/>
  </cols>
  <sheetData>
    <row r="1" spans="1:17" ht="25.5" customHeight="1" x14ac:dyDescent="0.2">
      <c r="A1" s="1023" t="s">
        <v>83</v>
      </c>
      <c r="B1" s="1023" t="s">
        <v>84</v>
      </c>
      <c r="C1" s="1023" t="s">
        <v>17</v>
      </c>
      <c r="D1" s="1025" t="s">
        <v>115</v>
      </c>
      <c r="E1" s="1027" t="s">
        <v>259</v>
      </c>
      <c r="F1" s="1017" t="s">
        <v>189</v>
      </c>
      <c r="G1" s="1012" t="s">
        <v>121</v>
      </c>
      <c r="H1" s="1012"/>
      <c r="I1" s="1012"/>
      <c r="J1" s="1012"/>
      <c r="K1" s="1012"/>
      <c r="L1" s="1012"/>
      <c r="M1" s="1012"/>
      <c r="N1" s="1013"/>
      <c r="O1" s="1014" t="s">
        <v>120</v>
      </c>
      <c r="P1" s="1013"/>
      <c r="Q1" s="1015" t="s">
        <v>260</v>
      </c>
    </row>
    <row r="2" spans="1:17" ht="57.95" customHeight="1" thickBot="1" x14ac:dyDescent="0.25">
      <c r="A2" s="1024"/>
      <c r="B2" s="1024"/>
      <c r="C2" s="1024"/>
      <c r="D2" s="1026"/>
      <c r="E2" s="1028"/>
      <c r="F2" s="1018"/>
      <c r="G2" s="182" t="s">
        <v>105</v>
      </c>
      <c r="H2" s="92" t="s">
        <v>175</v>
      </c>
      <c r="I2" s="92" t="s">
        <v>169</v>
      </c>
      <c r="J2" s="92" t="s">
        <v>15</v>
      </c>
      <c r="K2" s="92" t="s">
        <v>22</v>
      </c>
      <c r="L2" s="92" t="s">
        <v>20</v>
      </c>
      <c r="M2" s="92" t="s">
        <v>19</v>
      </c>
      <c r="N2" s="92" t="s">
        <v>16</v>
      </c>
      <c r="O2" s="93" t="s">
        <v>125</v>
      </c>
      <c r="P2" s="94" t="s">
        <v>127</v>
      </c>
      <c r="Q2" s="1016"/>
    </row>
    <row r="3" spans="1:17" ht="16.5" customHeight="1" x14ac:dyDescent="0.2">
      <c r="A3" s="95">
        <v>1</v>
      </c>
      <c r="B3" s="96"/>
      <c r="C3" s="97"/>
      <c r="D3" s="230" t="s">
        <v>261</v>
      </c>
      <c r="E3" s="98"/>
      <c r="F3" s="99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1"/>
    </row>
    <row r="4" spans="1:17" ht="12.75" customHeight="1" x14ac:dyDescent="0.2">
      <c r="A4" s="96">
        <v>1</v>
      </c>
      <c r="B4" s="96">
        <v>1</v>
      </c>
      <c r="C4" s="96"/>
      <c r="D4" s="230" t="s">
        <v>3</v>
      </c>
      <c r="E4" s="82"/>
      <c r="F4" s="102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</row>
    <row r="5" spans="1:17" ht="12" customHeight="1" x14ac:dyDescent="0.2">
      <c r="A5" s="103">
        <v>1</v>
      </c>
      <c r="B5" s="103">
        <v>12</v>
      </c>
      <c r="C5" s="103"/>
      <c r="D5" s="104" t="s">
        <v>94</v>
      </c>
      <c r="E5" s="105"/>
      <c r="F5" s="106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</row>
    <row r="6" spans="1:17" ht="14.45" customHeight="1" x14ac:dyDescent="0.2">
      <c r="A6" s="103"/>
      <c r="B6" s="103"/>
      <c r="C6" s="108"/>
      <c r="D6" s="109" t="s">
        <v>262</v>
      </c>
      <c r="E6" s="110"/>
      <c r="F6" s="111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</row>
    <row r="7" spans="1:17" ht="14.45" customHeight="1" x14ac:dyDescent="0.2">
      <c r="A7" s="103"/>
      <c r="B7" s="103"/>
      <c r="C7" s="108"/>
      <c r="D7" s="112" t="s">
        <v>263</v>
      </c>
      <c r="E7" s="113">
        <v>2</v>
      </c>
      <c r="F7" s="114">
        <v>121103</v>
      </c>
      <c r="G7" s="107"/>
      <c r="H7" s="107"/>
      <c r="I7" s="107"/>
      <c r="J7" s="107">
        <f>5000+táj2!J7</f>
        <v>5000</v>
      </c>
      <c r="K7" s="107"/>
      <c r="L7" s="107"/>
      <c r="M7" s="107"/>
      <c r="N7" s="107"/>
      <c r="O7" s="107"/>
      <c r="P7" s="107"/>
      <c r="Q7" s="107">
        <f>SUM(G7:P7)</f>
        <v>5000</v>
      </c>
    </row>
    <row r="8" spans="1:17" ht="14.45" customHeight="1" x14ac:dyDescent="0.2">
      <c r="A8" s="103"/>
      <c r="B8" s="103"/>
      <c r="C8" s="108"/>
      <c r="D8" s="112" t="s">
        <v>264</v>
      </c>
      <c r="E8" s="113"/>
      <c r="F8" s="114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</row>
    <row r="9" spans="1:17" ht="14.45" customHeight="1" x14ac:dyDescent="0.2">
      <c r="A9" s="103"/>
      <c r="B9" s="103"/>
      <c r="C9" s="108"/>
      <c r="D9" s="112" t="s">
        <v>265</v>
      </c>
      <c r="E9" s="113">
        <v>2</v>
      </c>
      <c r="F9" s="114">
        <v>121104</v>
      </c>
      <c r="G9" s="107"/>
      <c r="H9" s="107"/>
      <c r="I9" s="107"/>
      <c r="J9" s="107">
        <f>20000+táj2!J9</f>
        <v>20000</v>
      </c>
      <c r="K9" s="107"/>
      <c r="L9" s="107"/>
      <c r="M9" s="107"/>
      <c r="N9" s="107"/>
      <c r="O9" s="107"/>
      <c r="P9" s="107"/>
      <c r="Q9" s="107">
        <f>SUM(G9:P9)</f>
        <v>20000</v>
      </c>
    </row>
    <row r="10" spans="1:17" ht="25.9" customHeight="1" x14ac:dyDescent="0.2">
      <c r="A10" s="103"/>
      <c r="B10" s="103"/>
      <c r="C10" s="108"/>
      <c r="D10" s="302" t="s">
        <v>266</v>
      </c>
      <c r="E10" s="113">
        <v>2</v>
      </c>
      <c r="F10" s="114">
        <v>121117</v>
      </c>
      <c r="G10" s="107"/>
      <c r="H10" s="107"/>
      <c r="I10" s="107"/>
      <c r="J10" s="107">
        <f>9000+táj2!J10</f>
        <v>9000</v>
      </c>
      <c r="K10" s="107"/>
      <c r="L10" s="107"/>
      <c r="M10" s="107"/>
      <c r="N10" s="107"/>
      <c r="O10" s="107"/>
      <c r="P10" s="107"/>
      <c r="Q10" s="107">
        <f>SUM(G10:P10)</f>
        <v>9000</v>
      </c>
    </row>
    <row r="11" spans="1:17" ht="15" customHeight="1" x14ac:dyDescent="0.2">
      <c r="A11" s="352"/>
      <c r="B11" s="352"/>
      <c r="C11" s="353"/>
      <c r="D11" s="354" t="s">
        <v>744</v>
      </c>
      <c r="E11" s="355">
        <v>2</v>
      </c>
      <c r="F11" s="356">
        <v>121202</v>
      </c>
      <c r="G11" s="357"/>
      <c r="H11" s="357"/>
      <c r="I11" s="357"/>
      <c r="J11" s="107">
        <f>2950+táj2!J11</f>
        <v>2950</v>
      </c>
      <c r="K11" s="357"/>
      <c r="L11" s="357"/>
      <c r="M11" s="357"/>
      <c r="N11" s="357"/>
      <c r="O11" s="357"/>
      <c r="P11" s="357"/>
      <c r="Q11" s="107">
        <f t="shared" ref="Q11:Q12" si="0">SUM(G11:P11)</f>
        <v>2950</v>
      </c>
    </row>
    <row r="12" spans="1:17" ht="15" customHeight="1" x14ac:dyDescent="0.2">
      <c r="A12" s="352"/>
      <c r="B12" s="352"/>
      <c r="C12" s="353"/>
      <c r="D12" s="354" t="s">
        <v>763</v>
      </c>
      <c r="E12" s="355">
        <v>2</v>
      </c>
      <c r="F12" s="356">
        <v>121205</v>
      </c>
      <c r="G12" s="357"/>
      <c r="H12" s="357"/>
      <c r="I12" s="357"/>
      <c r="J12" s="107">
        <f>3200+táj2!J12</f>
        <v>3200</v>
      </c>
      <c r="K12" s="357"/>
      <c r="L12" s="357"/>
      <c r="M12" s="357"/>
      <c r="N12" s="357"/>
      <c r="O12" s="357"/>
      <c r="P12" s="357"/>
      <c r="Q12" s="107">
        <f t="shared" si="0"/>
        <v>3200</v>
      </c>
    </row>
    <row r="13" spans="1:17" ht="14.45" customHeight="1" x14ac:dyDescent="0.2">
      <c r="A13" s="103"/>
      <c r="B13" s="103"/>
      <c r="C13" s="108"/>
      <c r="D13" s="112" t="s">
        <v>267</v>
      </c>
      <c r="E13" s="113"/>
      <c r="F13" s="114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</row>
    <row r="14" spans="1:17" ht="14.45" customHeight="1" x14ac:dyDescent="0.2">
      <c r="A14" s="103"/>
      <c r="B14" s="103"/>
      <c r="C14" s="108"/>
      <c r="D14" s="112" t="s">
        <v>268</v>
      </c>
      <c r="E14" s="113">
        <v>2</v>
      </c>
      <c r="F14" s="114">
        <v>121111</v>
      </c>
      <c r="G14" s="107"/>
      <c r="H14" s="107"/>
      <c r="I14" s="107"/>
      <c r="J14" s="107">
        <f>2000+táj2!J14</f>
        <v>2000</v>
      </c>
      <c r="K14" s="107"/>
      <c r="L14" s="107"/>
      <c r="M14" s="107"/>
      <c r="N14" s="107"/>
      <c r="O14" s="107"/>
      <c r="P14" s="107"/>
      <c r="Q14" s="107">
        <f t="shared" ref="Q14:Q18" si="1">SUM(G14:P14)</f>
        <v>2000</v>
      </c>
    </row>
    <row r="15" spans="1:17" ht="14.45" customHeight="1" x14ac:dyDescent="0.2">
      <c r="A15" s="103"/>
      <c r="B15" s="103"/>
      <c r="C15" s="108"/>
      <c r="D15" s="112" t="s">
        <v>269</v>
      </c>
      <c r="E15" s="113">
        <v>2</v>
      </c>
      <c r="F15" s="82">
        <v>121127</v>
      </c>
      <c r="G15" s="107"/>
      <c r="H15" s="107"/>
      <c r="I15" s="107"/>
      <c r="J15" s="107">
        <f>6000+táj2!J15</f>
        <v>6000</v>
      </c>
      <c r="K15" s="107"/>
      <c r="L15" s="107"/>
      <c r="M15" s="107"/>
      <c r="N15" s="107"/>
      <c r="O15" s="107"/>
      <c r="P15" s="107"/>
      <c r="Q15" s="107">
        <f t="shared" si="1"/>
        <v>6000</v>
      </c>
    </row>
    <row r="16" spans="1:17" ht="14.45" customHeight="1" x14ac:dyDescent="0.2">
      <c r="A16" s="103"/>
      <c r="B16" s="103"/>
      <c r="C16" s="108"/>
      <c r="D16" s="112" t="s">
        <v>784</v>
      </c>
      <c r="E16" s="113">
        <v>2</v>
      </c>
      <c r="F16" s="82">
        <v>121115</v>
      </c>
      <c r="G16" s="107"/>
      <c r="H16" s="107"/>
      <c r="I16" s="107"/>
      <c r="J16" s="107">
        <f>700+táj2!J16</f>
        <v>2700</v>
      </c>
      <c r="K16" s="107"/>
      <c r="L16" s="107"/>
      <c r="M16" s="107"/>
      <c r="N16" s="107"/>
      <c r="O16" s="107"/>
      <c r="P16" s="107"/>
      <c r="Q16" s="107">
        <f t="shared" si="1"/>
        <v>2700</v>
      </c>
    </row>
    <row r="17" spans="1:17" ht="14.45" customHeight="1" x14ac:dyDescent="0.2">
      <c r="A17" s="103"/>
      <c r="B17" s="103"/>
      <c r="C17" s="108"/>
      <c r="D17" s="112" t="s">
        <v>270</v>
      </c>
      <c r="E17" s="113">
        <v>2</v>
      </c>
      <c r="F17" s="82">
        <v>121129</v>
      </c>
      <c r="G17" s="107"/>
      <c r="H17" s="107"/>
      <c r="I17" s="107"/>
      <c r="J17" s="107">
        <f>3600+táj2!J17</f>
        <v>3600</v>
      </c>
      <c r="K17" s="107"/>
      <c r="L17" s="107"/>
      <c r="M17" s="107"/>
      <c r="N17" s="107"/>
      <c r="O17" s="107"/>
      <c r="P17" s="107"/>
      <c r="Q17" s="107">
        <f t="shared" si="1"/>
        <v>3600</v>
      </c>
    </row>
    <row r="18" spans="1:17" ht="14.45" customHeight="1" x14ac:dyDescent="0.2">
      <c r="A18" s="103"/>
      <c r="B18" s="103"/>
      <c r="C18" s="108"/>
      <c r="D18" s="303" t="s">
        <v>271</v>
      </c>
      <c r="E18" s="113">
        <v>2</v>
      </c>
      <c r="F18" s="82">
        <v>121106</v>
      </c>
      <c r="G18" s="107"/>
      <c r="H18" s="107"/>
      <c r="I18" s="107"/>
      <c r="J18" s="107">
        <f>5000+táj2!J18</f>
        <v>5000</v>
      </c>
      <c r="K18" s="107"/>
      <c r="L18" s="107"/>
      <c r="M18" s="107"/>
      <c r="N18" s="107"/>
      <c r="O18" s="107"/>
      <c r="P18" s="107"/>
      <c r="Q18" s="107">
        <f t="shared" si="1"/>
        <v>5000</v>
      </c>
    </row>
    <row r="19" spans="1:17" ht="22.5" customHeight="1" x14ac:dyDescent="0.2">
      <c r="A19" s="103"/>
      <c r="B19" s="103"/>
      <c r="C19" s="108"/>
      <c r="D19" s="304" t="s">
        <v>272</v>
      </c>
      <c r="E19" s="113"/>
      <c r="F19" s="113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</row>
    <row r="20" spans="1:17" ht="14.45" customHeight="1" x14ac:dyDescent="0.2">
      <c r="A20" s="103"/>
      <c r="B20" s="103"/>
      <c r="C20" s="108"/>
      <c r="D20" s="112" t="s">
        <v>273</v>
      </c>
      <c r="E20" s="113">
        <v>2</v>
      </c>
      <c r="F20" s="82">
        <v>121131</v>
      </c>
      <c r="G20" s="107"/>
      <c r="H20" s="107"/>
      <c r="I20" s="107"/>
      <c r="J20" s="107">
        <f>2000+táj2!J20</f>
        <v>2000</v>
      </c>
      <c r="K20" s="107"/>
      <c r="L20" s="107"/>
      <c r="M20" s="107"/>
      <c r="N20" s="107"/>
      <c r="O20" s="107"/>
      <c r="P20" s="107"/>
      <c r="Q20" s="107">
        <f>SUM(G20:P20)</f>
        <v>2000</v>
      </c>
    </row>
    <row r="21" spans="1:17" ht="14.45" customHeight="1" x14ac:dyDescent="0.2">
      <c r="A21" s="103"/>
      <c r="B21" s="103"/>
      <c r="C21" s="108"/>
      <c r="D21" s="112" t="s">
        <v>264</v>
      </c>
      <c r="E21" s="113"/>
      <c r="F21" s="113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</row>
    <row r="22" spans="1:17" ht="14.45" customHeight="1" x14ac:dyDescent="0.2">
      <c r="A22" s="103"/>
      <c r="B22" s="103"/>
      <c r="C22" s="108"/>
      <c r="D22" s="112" t="s">
        <v>274</v>
      </c>
      <c r="E22" s="113">
        <v>2</v>
      </c>
      <c r="F22" s="82">
        <v>121130</v>
      </c>
      <c r="G22" s="107"/>
      <c r="H22" s="107"/>
      <c r="I22" s="107"/>
      <c r="J22" s="107">
        <f>1000+táj2!J22</f>
        <v>1000</v>
      </c>
      <c r="K22" s="107"/>
      <c r="L22" s="107"/>
      <c r="M22" s="107"/>
      <c r="N22" s="107"/>
      <c r="O22" s="107"/>
      <c r="P22" s="107"/>
      <c r="Q22" s="107">
        <f>SUM(G22:P22)</f>
        <v>1000</v>
      </c>
    </row>
    <row r="23" spans="1:17" ht="14.45" customHeight="1" x14ac:dyDescent="0.2">
      <c r="A23" s="103"/>
      <c r="B23" s="103"/>
      <c r="C23" s="108"/>
      <c r="D23" s="112" t="s">
        <v>267</v>
      </c>
      <c r="E23" s="113"/>
      <c r="F23" s="113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</row>
    <row r="24" spans="1:17" ht="14.45" customHeight="1" x14ac:dyDescent="0.2">
      <c r="A24" s="103"/>
      <c r="B24" s="103"/>
      <c r="C24" s="108"/>
      <c r="D24" s="112" t="s">
        <v>275</v>
      </c>
      <c r="E24" s="113">
        <v>1</v>
      </c>
      <c r="F24" s="114">
        <v>121204</v>
      </c>
      <c r="G24" s="107"/>
      <c r="H24" s="107"/>
      <c r="I24" s="107"/>
      <c r="J24" s="107">
        <f>14000+táj2!J24</f>
        <v>12000</v>
      </c>
      <c r="K24" s="107"/>
      <c r="L24" s="107"/>
      <c r="M24" s="107"/>
      <c r="N24" s="107"/>
      <c r="O24" s="107"/>
      <c r="P24" s="107"/>
      <c r="Q24" s="107">
        <f>SUM(G24:P24)</f>
        <v>12000</v>
      </c>
    </row>
    <row r="25" spans="1:17" ht="14.45" customHeight="1" x14ac:dyDescent="0.2">
      <c r="A25" s="103"/>
      <c r="B25" s="103"/>
      <c r="C25" s="108"/>
      <c r="D25" s="231" t="s">
        <v>276</v>
      </c>
      <c r="E25" s="232">
        <v>1</v>
      </c>
      <c r="F25" s="114">
        <v>121132</v>
      </c>
      <c r="G25" s="107"/>
      <c r="H25" s="107"/>
      <c r="I25" s="107"/>
      <c r="J25" s="107">
        <f>1500+táj2!J25</f>
        <v>1500</v>
      </c>
      <c r="K25" s="107"/>
      <c r="L25" s="107"/>
      <c r="M25" s="107"/>
      <c r="N25" s="107"/>
      <c r="O25" s="107"/>
      <c r="P25" s="107"/>
      <c r="Q25" s="107">
        <f>SUM(G25:P25)</f>
        <v>1500</v>
      </c>
    </row>
    <row r="26" spans="1:17" ht="14.45" customHeight="1" x14ac:dyDescent="0.2">
      <c r="A26" s="103"/>
      <c r="B26" s="103"/>
      <c r="C26" s="108"/>
      <c r="D26" s="115" t="s">
        <v>277</v>
      </c>
      <c r="E26" s="113">
        <v>1</v>
      </c>
      <c r="F26" s="114">
        <v>121203</v>
      </c>
      <c r="G26" s="107"/>
      <c r="H26" s="107"/>
      <c r="I26" s="107">
        <f>1200+táj2!I26</f>
        <v>1200</v>
      </c>
      <c r="J26" s="107">
        <f>4700+táj2!J26</f>
        <v>4700</v>
      </c>
      <c r="K26" s="107">
        <f>600+táj2!K26</f>
        <v>600</v>
      </c>
      <c r="L26" s="107"/>
      <c r="M26" s="107"/>
      <c r="N26" s="107"/>
      <c r="O26" s="107"/>
      <c r="P26" s="107"/>
      <c r="Q26" s="107">
        <f>SUM(G26:P26)</f>
        <v>6500</v>
      </c>
    </row>
    <row r="27" spans="1:17" ht="14.45" customHeight="1" x14ac:dyDescent="0.2">
      <c r="A27" s="103"/>
      <c r="B27" s="103"/>
      <c r="C27" s="108"/>
      <c r="D27" s="116" t="s">
        <v>278</v>
      </c>
      <c r="E27" s="113"/>
      <c r="F27" s="82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</row>
    <row r="28" spans="1:17" ht="14.45" customHeight="1" x14ac:dyDescent="0.2">
      <c r="A28" s="103"/>
      <c r="B28" s="103"/>
      <c r="C28" s="108"/>
      <c r="D28" s="112" t="s">
        <v>279</v>
      </c>
      <c r="E28" s="113">
        <v>2</v>
      </c>
      <c r="F28" s="114">
        <v>121504</v>
      </c>
      <c r="G28" s="107"/>
      <c r="H28" s="107"/>
      <c r="I28" s="107"/>
      <c r="J28" s="107">
        <f>0+táj2!J28</f>
        <v>0</v>
      </c>
      <c r="K28" s="107">
        <f>4000+táj2!K28</f>
        <v>4000</v>
      </c>
      <c r="L28" s="107"/>
      <c r="M28" s="107"/>
      <c r="N28" s="107"/>
      <c r="O28" s="107"/>
      <c r="P28" s="107"/>
      <c r="Q28" s="107">
        <f>SUM(G28:P28)</f>
        <v>4000</v>
      </c>
    </row>
    <row r="29" spans="1:17" ht="14.45" customHeight="1" x14ac:dyDescent="0.2">
      <c r="A29" s="103"/>
      <c r="B29" s="103"/>
      <c r="C29" s="108"/>
      <c r="D29" s="112" t="s">
        <v>233</v>
      </c>
      <c r="E29" s="113"/>
      <c r="F29" s="114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</row>
    <row r="30" spans="1:17" ht="12.6" customHeight="1" x14ac:dyDescent="0.2">
      <c r="A30" s="102"/>
      <c r="B30" s="117"/>
      <c r="C30" s="233"/>
      <c r="D30" s="82" t="s">
        <v>280</v>
      </c>
      <c r="E30" s="113">
        <v>1</v>
      </c>
      <c r="F30" s="82">
        <v>121403</v>
      </c>
      <c r="G30" s="107"/>
      <c r="H30" s="107"/>
      <c r="I30" s="107">
        <f>50+táj2!I30</f>
        <v>50</v>
      </c>
      <c r="J30" s="107"/>
      <c r="K30" s="107"/>
      <c r="L30" s="107"/>
      <c r="M30" s="107"/>
      <c r="N30" s="107"/>
      <c r="O30" s="107"/>
      <c r="P30" s="107"/>
      <c r="Q30" s="107">
        <f>SUM(G30:P30)</f>
        <v>50</v>
      </c>
    </row>
    <row r="31" spans="1:17" ht="12.6" customHeight="1" x14ac:dyDescent="0.2">
      <c r="A31" s="102"/>
      <c r="B31" s="117"/>
      <c r="C31" s="233"/>
      <c r="D31" s="82" t="s">
        <v>281</v>
      </c>
      <c r="E31" s="82"/>
      <c r="F31" s="82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</row>
    <row r="32" spans="1:17" ht="12.6" customHeight="1" x14ac:dyDescent="0.2">
      <c r="A32" s="102"/>
      <c r="B32" s="102"/>
      <c r="C32" s="118"/>
      <c r="D32" s="116" t="s">
        <v>282</v>
      </c>
      <c r="E32" s="82">
        <v>1</v>
      </c>
      <c r="F32" s="82">
        <v>121301</v>
      </c>
      <c r="G32" s="107"/>
      <c r="H32" s="107"/>
      <c r="I32" s="107"/>
      <c r="J32" s="107">
        <f>0+táj2!J32</f>
        <v>0</v>
      </c>
      <c r="K32" s="107"/>
      <c r="L32" s="107"/>
      <c r="M32" s="107"/>
      <c r="N32" s="107"/>
      <c r="O32" s="107"/>
      <c r="P32" s="107"/>
      <c r="Q32" s="107">
        <f>SUM(G32:P32)</f>
        <v>0</v>
      </c>
    </row>
    <row r="33" spans="1:17" ht="12.6" customHeight="1" x14ac:dyDescent="0.2">
      <c r="A33" s="102"/>
      <c r="B33" s="102"/>
      <c r="C33" s="118"/>
      <c r="D33" s="119" t="s">
        <v>190</v>
      </c>
      <c r="E33" s="113"/>
      <c r="F33" s="82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</row>
    <row r="34" spans="1:17" ht="12.6" customHeight="1" x14ac:dyDescent="0.2">
      <c r="A34" s="102"/>
      <c r="B34" s="102"/>
      <c r="C34" s="118"/>
      <c r="D34" s="120" t="s">
        <v>283</v>
      </c>
      <c r="E34" s="113">
        <v>2</v>
      </c>
      <c r="F34" s="82">
        <v>221902</v>
      </c>
      <c r="G34" s="107"/>
      <c r="H34" s="107"/>
      <c r="I34" s="107">
        <f>68568+táj2!I34</f>
        <v>67889</v>
      </c>
      <c r="J34" s="107"/>
      <c r="K34" s="107"/>
      <c r="L34" s="107"/>
      <c r="M34" s="107"/>
      <c r="N34" s="107"/>
      <c r="O34" s="107"/>
      <c r="P34" s="107"/>
      <c r="Q34" s="107">
        <f>SUM(G34:P34)</f>
        <v>67889</v>
      </c>
    </row>
    <row r="35" spans="1:17" ht="12.6" customHeight="1" x14ac:dyDescent="0.2">
      <c r="A35" s="102"/>
      <c r="B35" s="102"/>
      <c r="C35" s="118"/>
      <c r="D35" s="121" t="s">
        <v>284</v>
      </c>
      <c r="E35" s="113">
        <v>2</v>
      </c>
      <c r="F35" s="82" t="s">
        <v>285</v>
      </c>
      <c r="G35" s="107"/>
      <c r="H35" s="107">
        <f>4200+táj2!H35</f>
        <v>4200</v>
      </c>
      <c r="I35" s="107">
        <f>500+táj2!I35</f>
        <v>500</v>
      </c>
      <c r="J35" s="107">
        <f>18120+táj2!J35</f>
        <v>18120</v>
      </c>
      <c r="K35" s="107"/>
      <c r="L35" s="107"/>
      <c r="M35" s="107"/>
      <c r="N35" s="107"/>
      <c r="O35" s="107"/>
      <c r="P35" s="107"/>
      <c r="Q35" s="107">
        <f>SUM(G35:P35)</f>
        <v>22820</v>
      </c>
    </row>
    <row r="36" spans="1:17" ht="12.6" customHeight="1" x14ac:dyDescent="0.2">
      <c r="A36" s="102"/>
      <c r="B36" s="102"/>
      <c r="C36" s="118"/>
      <c r="D36" s="121" t="s">
        <v>643</v>
      </c>
      <c r="E36" s="113">
        <v>1</v>
      </c>
      <c r="F36" s="82">
        <v>121118</v>
      </c>
      <c r="G36" s="107"/>
      <c r="H36" s="107"/>
      <c r="I36" s="107">
        <f>200+táj2!I36</f>
        <v>200</v>
      </c>
      <c r="J36" s="107"/>
      <c r="K36" s="107"/>
      <c r="L36" s="107"/>
      <c r="M36" s="107"/>
      <c r="N36" s="107"/>
      <c r="O36" s="107"/>
      <c r="P36" s="107"/>
      <c r="Q36" s="107">
        <f t="shared" ref="Q36:Q37" si="2">SUM(G36:P36)</f>
        <v>200</v>
      </c>
    </row>
    <row r="37" spans="1:17" ht="12.6" customHeight="1" x14ac:dyDescent="0.2">
      <c r="A37" s="102"/>
      <c r="B37" s="102"/>
      <c r="C37" s="118"/>
      <c r="D37" s="115" t="s">
        <v>644</v>
      </c>
      <c r="E37" s="113">
        <v>1</v>
      </c>
      <c r="F37" s="82">
        <v>121515</v>
      </c>
      <c r="G37" s="107"/>
      <c r="H37" s="107"/>
      <c r="I37" s="107">
        <f>200+táj2!I37</f>
        <v>200</v>
      </c>
      <c r="J37" s="107"/>
      <c r="K37" s="107"/>
      <c r="L37" s="107"/>
      <c r="M37" s="107"/>
      <c r="N37" s="107"/>
      <c r="O37" s="107"/>
      <c r="P37" s="107"/>
      <c r="Q37" s="107">
        <f t="shared" si="2"/>
        <v>200</v>
      </c>
    </row>
    <row r="38" spans="1:17" ht="14.1" customHeight="1" x14ac:dyDescent="0.2">
      <c r="A38" s="102"/>
      <c r="B38" s="102"/>
      <c r="C38" s="118"/>
      <c r="D38" s="109" t="s">
        <v>286</v>
      </c>
      <c r="E38" s="113"/>
      <c r="F38" s="82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</row>
    <row r="39" spans="1:17" ht="14.1" customHeight="1" x14ac:dyDescent="0.2">
      <c r="A39" s="102"/>
      <c r="B39" s="102"/>
      <c r="C39" s="118"/>
      <c r="D39" s="116" t="s">
        <v>287</v>
      </c>
      <c r="E39" s="113">
        <v>1</v>
      </c>
      <c r="F39" s="82">
        <v>121601</v>
      </c>
      <c r="G39" s="107">
        <f>150+táj2!G39</f>
        <v>150</v>
      </c>
      <c r="H39" s="107">
        <f>50+táj2!H39</f>
        <v>50</v>
      </c>
      <c r="I39" s="107">
        <f>200+táj2!I39</f>
        <v>200</v>
      </c>
      <c r="J39" s="107"/>
      <c r="K39" s="107">
        <f>100+táj2!K39</f>
        <v>100</v>
      </c>
      <c r="L39" s="107"/>
      <c r="M39" s="107"/>
      <c r="N39" s="107"/>
      <c r="O39" s="107"/>
      <c r="P39" s="107"/>
      <c r="Q39" s="107">
        <f>SUM(G39:P39)</f>
        <v>500</v>
      </c>
    </row>
    <row r="40" spans="1:17" ht="14.1" customHeight="1" x14ac:dyDescent="0.2">
      <c r="A40" s="102"/>
      <c r="B40" s="102"/>
      <c r="C40" s="118"/>
      <c r="D40" s="123" t="s">
        <v>288</v>
      </c>
      <c r="E40" s="113"/>
      <c r="F40" s="113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</row>
    <row r="41" spans="1:17" ht="14.1" customHeight="1" x14ac:dyDescent="0.2">
      <c r="A41" s="102"/>
      <c r="B41" s="102"/>
      <c r="C41" s="118"/>
      <c r="D41" s="116" t="s">
        <v>289</v>
      </c>
      <c r="E41" s="113">
        <v>2</v>
      </c>
      <c r="F41" s="82">
        <v>121517</v>
      </c>
      <c r="G41" s="107"/>
      <c r="H41" s="107"/>
      <c r="I41" s="107"/>
      <c r="J41" s="107"/>
      <c r="K41" s="107">
        <f>3000+táj2!K41</f>
        <v>3000</v>
      </c>
      <c r="L41" s="107"/>
      <c r="M41" s="107"/>
      <c r="N41" s="107"/>
      <c r="O41" s="107"/>
      <c r="P41" s="107"/>
      <c r="Q41" s="107">
        <f>SUM(G41:P41)</f>
        <v>3000</v>
      </c>
    </row>
    <row r="42" spans="1:17" x14ac:dyDescent="0.2">
      <c r="A42" s="124"/>
      <c r="B42" s="124"/>
      <c r="C42" s="125"/>
      <c r="D42" s="126" t="s">
        <v>290</v>
      </c>
      <c r="E42" s="127"/>
      <c r="F42" s="128"/>
      <c r="G42" s="128">
        <f t="shared" ref="G42:Q42" si="3">SUM(G7:G41)</f>
        <v>150</v>
      </c>
      <c r="H42" s="128">
        <f t="shared" si="3"/>
        <v>4250</v>
      </c>
      <c r="I42" s="128">
        <f t="shared" si="3"/>
        <v>70239</v>
      </c>
      <c r="J42" s="128">
        <f t="shared" si="3"/>
        <v>98770</v>
      </c>
      <c r="K42" s="128">
        <f t="shared" si="3"/>
        <v>7700</v>
      </c>
      <c r="L42" s="128">
        <f t="shared" si="3"/>
        <v>0</v>
      </c>
      <c r="M42" s="128">
        <f t="shared" si="3"/>
        <v>0</v>
      </c>
      <c r="N42" s="128">
        <f t="shared" si="3"/>
        <v>0</v>
      </c>
      <c r="O42" s="128">
        <f t="shared" si="3"/>
        <v>0</v>
      </c>
      <c r="P42" s="128">
        <f t="shared" si="3"/>
        <v>0</v>
      </c>
      <c r="Q42" s="128">
        <f t="shared" si="3"/>
        <v>181109</v>
      </c>
    </row>
    <row r="43" spans="1:17" x14ac:dyDescent="0.2">
      <c r="A43" s="129"/>
      <c r="B43" s="129"/>
      <c r="C43" s="118"/>
      <c r="D43" s="116" t="s">
        <v>291</v>
      </c>
      <c r="E43" s="130"/>
      <c r="F43" s="8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</row>
    <row r="44" spans="1:17" ht="24" x14ac:dyDescent="0.2">
      <c r="A44" s="129"/>
      <c r="B44" s="129"/>
      <c r="C44" s="118" t="s">
        <v>292</v>
      </c>
      <c r="D44" s="305" t="s">
        <v>293</v>
      </c>
      <c r="E44" s="130"/>
      <c r="F44" s="82">
        <v>121401</v>
      </c>
      <c r="G44" s="82"/>
      <c r="H44" s="82"/>
      <c r="I44" s="82"/>
      <c r="J44" s="82"/>
      <c r="K44" s="82"/>
      <c r="L44" s="82"/>
      <c r="M44" s="82"/>
      <c r="N44" s="82">
        <f>2000+táj2!N44</f>
        <v>2000</v>
      </c>
      <c r="O44" s="82"/>
      <c r="P44" s="82"/>
      <c r="Q44" s="82">
        <f>SUM(G44:P44)</f>
        <v>2000</v>
      </c>
    </row>
    <row r="45" spans="1:17" x14ac:dyDescent="0.2">
      <c r="A45" s="129"/>
      <c r="B45" s="129"/>
      <c r="C45" s="118"/>
      <c r="D45" s="116" t="s">
        <v>868</v>
      </c>
      <c r="E45" s="130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</row>
    <row r="46" spans="1:17" x14ac:dyDescent="0.2">
      <c r="A46" s="129"/>
      <c r="B46" s="129"/>
      <c r="C46" s="118" t="s">
        <v>294</v>
      </c>
      <c r="D46" s="306" t="s">
        <v>295</v>
      </c>
      <c r="E46" s="130"/>
      <c r="F46" s="82">
        <v>121405</v>
      </c>
      <c r="G46" s="82"/>
      <c r="H46" s="82"/>
      <c r="I46" s="82"/>
      <c r="J46" s="82"/>
      <c r="K46" s="82"/>
      <c r="L46" s="82"/>
      <c r="M46" s="82"/>
      <c r="N46" s="82">
        <f>1000+táj2!N46</f>
        <v>1000</v>
      </c>
      <c r="O46" s="82"/>
      <c r="P46" s="82"/>
      <c r="Q46" s="82">
        <f>SUM(G46:P46)</f>
        <v>1000</v>
      </c>
    </row>
    <row r="47" spans="1:17" ht="24" x14ac:dyDescent="0.2">
      <c r="A47" s="129"/>
      <c r="B47" s="129"/>
      <c r="C47" s="118" t="s">
        <v>296</v>
      </c>
      <c r="D47" s="307" t="s">
        <v>297</v>
      </c>
      <c r="E47" s="130"/>
      <c r="F47" s="82">
        <v>121402</v>
      </c>
      <c r="G47" s="82"/>
      <c r="H47" s="82"/>
      <c r="I47" s="82"/>
      <c r="J47" s="82"/>
      <c r="K47" s="82"/>
      <c r="L47" s="82"/>
      <c r="M47" s="82"/>
      <c r="N47" s="82">
        <f>0+táj2!N47</f>
        <v>0</v>
      </c>
      <c r="O47" s="82"/>
      <c r="P47" s="82"/>
      <c r="Q47" s="82">
        <f>SUM(G47:P47)</f>
        <v>0</v>
      </c>
    </row>
    <row r="48" spans="1:17" x14ac:dyDescent="0.2">
      <c r="A48" s="124"/>
      <c r="B48" s="124"/>
      <c r="C48" s="125"/>
      <c r="D48" s="126" t="s">
        <v>298</v>
      </c>
      <c r="E48" s="127"/>
      <c r="F48" s="128"/>
      <c r="G48" s="128">
        <f t="shared" ref="G48:Q48" si="4">SUM(G42:G47)</f>
        <v>150</v>
      </c>
      <c r="H48" s="128">
        <f t="shared" si="4"/>
        <v>4250</v>
      </c>
      <c r="I48" s="128">
        <f t="shared" si="4"/>
        <v>70239</v>
      </c>
      <c r="J48" s="128">
        <f t="shared" si="4"/>
        <v>98770</v>
      </c>
      <c r="K48" s="128">
        <f t="shared" si="4"/>
        <v>7700</v>
      </c>
      <c r="L48" s="128">
        <f t="shared" si="4"/>
        <v>0</v>
      </c>
      <c r="M48" s="128">
        <f t="shared" si="4"/>
        <v>0</v>
      </c>
      <c r="N48" s="128">
        <f t="shared" si="4"/>
        <v>3000</v>
      </c>
      <c r="O48" s="128">
        <f t="shared" si="4"/>
        <v>0</v>
      </c>
      <c r="P48" s="128">
        <f t="shared" si="4"/>
        <v>0</v>
      </c>
      <c r="Q48" s="128">
        <f t="shared" si="4"/>
        <v>184109</v>
      </c>
    </row>
    <row r="49" spans="1:17" ht="12" customHeight="1" x14ac:dyDescent="0.2">
      <c r="A49" s="102">
        <v>1</v>
      </c>
      <c r="B49" s="102">
        <v>13</v>
      </c>
      <c r="C49" s="102"/>
      <c r="D49" s="104" t="s">
        <v>95</v>
      </c>
      <c r="E49" s="131" t="s">
        <v>299</v>
      </c>
      <c r="F49" s="132"/>
      <c r="G49" s="132"/>
      <c r="H49" s="107"/>
      <c r="I49" s="107"/>
      <c r="J49" s="107"/>
      <c r="K49" s="107"/>
      <c r="L49" s="107"/>
      <c r="M49" s="132"/>
      <c r="N49" s="132"/>
      <c r="O49" s="132"/>
      <c r="P49" s="132"/>
      <c r="Q49" s="132"/>
    </row>
    <row r="50" spans="1:17" x14ac:dyDescent="0.2">
      <c r="A50" s="102"/>
      <c r="B50" s="102"/>
      <c r="C50" s="118"/>
      <c r="D50" s="133" t="s">
        <v>300</v>
      </c>
      <c r="E50" s="131"/>
      <c r="F50" s="132"/>
      <c r="G50" s="132"/>
      <c r="H50" s="107"/>
      <c r="I50" s="107"/>
      <c r="J50" s="107"/>
      <c r="K50" s="107"/>
      <c r="L50" s="107"/>
      <c r="M50" s="132"/>
      <c r="N50" s="132"/>
      <c r="O50" s="132"/>
      <c r="P50" s="132"/>
      <c r="Q50" s="132"/>
    </row>
    <row r="51" spans="1:17" ht="12" customHeight="1" x14ac:dyDescent="0.2">
      <c r="A51" s="102"/>
      <c r="B51" s="102"/>
      <c r="C51" s="118"/>
      <c r="D51" s="115" t="s">
        <v>301</v>
      </c>
      <c r="E51" s="134"/>
      <c r="F51" s="113"/>
      <c r="G51" s="82"/>
      <c r="H51" s="107"/>
      <c r="I51" s="107"/>
      <c r="J51" s="107"/>
      <c r="K51" s="107"/>
      <c r="L51" s="107"/>
      <c r="M51" s="82"/>
      <c r="N51" s="82"/>
      <c r="O51" s="82"/>
      <c r="P51" s="82"/>
      <c r="Q51" s="82"/>
    </row>
    <row r="52" spans="1:17" ht="27" customHeight="1" x14ac:dyDescent="0.2">
      <c r="A52" s="102"/>
      <c r="B52" s="102"/>
      <c r="C52" s="118"/>
      <c r="D52" s="123" t="s">
        <v>302</v>
      </c>
      <c r="E52" s="82">
        <v>2</v>
      </c>
      <c r="F52" s="82">
        <v>131112</v>
      </c>
      <c r="G52" s="82"/>
      <c r="H52" s="82"/>
      <c r="I52" s="82"/>
      <c r="J52" s="82"/>
      <c r="K52" s="82">
        <f>17000+táj2!K52</f>
        <v>17000</v>
      </c>
      <c r="L52" s="82"/>
      <c r="M52" s="82"/>
      <c r="N52" s="82"/>
      <c r="O52" s="82"/>
      <c r="P52" s="82"/>
      <c r="Q52" s="82">
        <f t="shared" ref="Q52:Q58" si="5">SUM(G52:P52)</f>
        <v>17000</v>
      </c>
    </row>
    <row r="53" spans="1:17" ht="24.75" customHeight="1" x14ac:dyDescent="0.2">
      <c r="A53" s="102"/>
      <c r="B53" s="102"/>
      <c r="C53" s="118"/>
      <c r="D53" s="135" t="s">
        <v>303</v>
      </c>
      <c r="E53" s="82">
        <v>2</v>
      </c>
      <c r="F53" s="82">
        <v>131123</v>
      </c>
      <c r="G53" s="82"/>
      <c r="H53" s="82"/>
      <c r="I53" s="82"/>
      <c r="J53" s="82"/>
      <c r="K53" s="82">
        <f>3000+táj2!K53</f>
        <v>3000</v>
      </c>
      <c r="L53" s="82"/>
      <c r="M53" s="82"/>
      <c r="N53" s="82"/>
      <c r="O53" s="82"/>
      <c r="P53" s="82"/>
      <c r="Q53" s="82">
        <f t="shared" si="5"/>
        <v>3000</v>
      </c>
    </row>
    <row r="54" spans="1:17" ht="17.45" customHeight="1" x14ac:dyDescent="0.2">
      <c r="A54" s="102"/>
      <c r="B54" s="102"/>
      <c r="C54" s="118"/>
      <c r="D54" s="135" t="s">
        <v>1087</v>
      </c>
      <c r="E54" s="82">
        <v>2</v>
      </c>
      <c r="F54" s="82">
        <v>131212</v>
      </c>
      <c r="G54" s="82">
        <f>695+táj2!G54</f>
        <v>695</v>
      </c>
      <c r="H54" s="82">
        <f>502+táj2!H54</f>
        <v>502</v>
      </c>
      <c r="I54" s="82">
        <f>275+táj2!I54</f>
        <v>275</v>
      </c>
      <c r="J54" s="82"/>
      <c r="K54" s="82"/>
      <c r="L54" s="82"/>
      <c r="M54" s="82"/>
      <c r="N54" s="82"/>
      <c r="O54" s="82"/>
      <c r="P54" s="82"/>
      <c r="Q54" s="82">
        <f t="shared" si="5"/>
        <v>1472</v>
      </c>
    </row>
    <row r="55" spans="1:17" ht="22.5" customHeight="1" x14ac:dyDescent="0.2">
      <c r="A55" s="102"/>
      <c r="B55" s="102"/>
      <c r="C55" s="118"/>
      <c r="D55" s="135" t="s">
        <v>304</v>
      </c>
      <c r="E55" s="82">
        <v>2</v>
      </c>
      <c r="F55" s="82">
        <v>131122</v>
      </c>
      <c r="G55" s="82">
        <f>1000+táj2!G55</f>
        <v>692</v>
      </c>
      <c r="H55" s="82">
        <f>130+táj2!H55</f>
        <v>11</v>
      </c>
      <c r="I55" s="82">
        <f>870+táj2!I55</f>
        <v>7</v>
      </c>
      <c r="J55" s="82"/>
      <c r="K55" s="82"/>
      <c r="L55" s="82"/>
      <c r="M55" s="82"/>
      <c r="N55" s="82"/>
      <c r="O55" s="82"/>
      <c r="P55" s="82"/>
      <c r="Q55" s="82">
        <f t="shared" si="5"/>
        <v>710</v>
      </c>
    </row>
    <row r="56" spans="1:17" ht="15" customHeight="1" x14ac:dyDescent="0.2">
      <c r="A56" s="102"/>
      <c r="B56" s="102"/>
      <c r="C56" s="118"/>
      <c r="D56" s="116" t="s">
        <v>305</v>
      </c>
      <c r="E56" s="82">
        <v>2</v>
      </c>
      <c r="F56" s="82">
        <v>131107</v>
      </c>
      <c r="G56" s="82"/>
      <c r="H56" s="82"/>
      <c r="I56" s="82"/>
      <c r="J56" s="82"/>
      <c r="K56" s="82">
        <f>45000+táj2!K56</f>
        <v>45000</v>
      </c>
      <c r="L56" s="82"/>
      <c r="M56" s="82"/>
      <c r="N56" s="82"/>
      <c r="O56" s="82"/>
      <c r="P56" s="82"/>
      <c r="Q56" s="82">
        <f t="shared" si="5"/>
        <v>45000</v>
      </c>
    </row>
    <row r="57" spans="1:17" ht="15" customHeight="1" x14ac:dyDescent="0.2">
      <c r="A57" s="102"/>
      <c r="B57" s="102"/>
      <c r="C57" s="118"/>
      <c r="D57" s="116" t="s">
        <v>306</v>
      </c>
      <c r="E57" s="82">
        <v>2</v>
      </c>
      <c r="F57" s="82">
        <v>131128</v>
      </c>
      <c r="G57" s="82"/>
      <c r="H57" s="82"/>
      <c r="I57" s="82"/>
      <c r="J57" s="82"/>
      <c r="K57" s="82">
        <f>0+táj2!K57</f>
        <v>0</v>
      </c>
      <c r="L57" s="82"/>
      <c r="M57" s="82"/>
      <c r="N57" s="82"/>
      <c r="O57" s="82"/>
      <c r="P57" s="82"/>
      <c r="Q57" s="82">
        <f t="shared" si="5"/>
        <v>0</v>
      </c>
    </row>
    <row r="58" spans="1:17" ht="27.6" customHeight="1" x14ac:dyDescent="0.2">
      <c r="A58" s="408"/>
      <c r="B58" s="408"/>
      <c r="C58" s="409"/>
      <c r="D58" s="546" t="s">
        <v>988</v>
      </c>
      <c r="E58" s="411">
        <v>2</v>
      </c>
      <c r="F58" s="411">
        <v>131129</v>
      </c>
      <c r="G58" s="411"/>
      <c r="H58" s="411"/>
      <c r="I58" s="411"/>
      <c r="J58" s="411"/>
      <c r="K58" s="82">
        <f>2500+táj2!K58</f>
        <v>2500</v>
      </c>
      <c r="L58" s="411"/>
      <c r="M58" s="411"/>
      <c r="N58" s="411"/>
      <c r="O58" s="411"/>
      <c r="P58" s="411"/>
      <c r="Q58" s="82">
        <f t="shared" si="5"/>
        <v>2500</v>
      </c>
    </row>
    <row r="59" spans="1:17" ht="14.1" customHeight="1" x14ac:dyDescent="0.2">
      <c r="A59" s="102"/>
      <c r="B59" s="102"/>
      <c r="C59" s="118"/>
      <c r="D59" s="136" t="s">
        <v>307</v>
      </c>
      <c r="E59" s="137"/>
      <c r="F59" s="137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</row>
    <row r="60" spans="1:17" ht="24.95" customHeight="1" x14ac:dyDescent="0.2">
      <c r="A60" s="102"/>
      <c r="B60" s="102"/>
      <c r="C60" s="118"/>
      <c r="D60" s="135" t="s">
        <v>308</v>
      </c>
      <c r="E60" s="138"/>
      <c r="F60" s="138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</row>
    <row r="61" spans="1:17" ht="15" customHeight="1" x14ac:dyDescent="0.2">
      <c r="A61" s="102"/>
      <c r="B61" s="102"/>
      <c r="C61" s="118"/>
      <c r="D61" s="116" t="s">
        <v>309</v>
      </c>
      <c r="E61" s="82">
        <v>2</v>
      </c>
      <c r="F61" s="82">
        <v>131201</v>
      </c>
      <c r="G61" s="82">
        <f>1346+táj2!G61</f>
        <v>1346</v>
      </c>
      <c r="H61" s="82">
        <f>450+táj2!H61</f>
        <v>449</v>
      </c>
      <c r="I61" s="82">
        <f>204+táj2!I61</f>
        <v>35</v>
      </c>
      <c r="J61" s="82"/>
      <c r="K61" s="82"/>
      <c r="L61" s="82"/>
      <c r="M61" s="82"/>
      <c r="N61" s="82"/>
      <c r="O61" s="82"/>
      <c r="P61" s="82"/>
      <c r="Q61" s="82">
        <f t="shared" ref="Q61:Q66" si="6">SUM(G61:P61)</f>
        <v>1830</v>
      </c>
    </row>
    <row r="62" spans="1:17" ht="15" customHeight="1" x14ac:dyDescent="0.2">
      <c r="A62" s="102"/>
      <c r="B62" s="102"/>
      <c r="C62" s="118"/>
      <c r="D62" s="116" t="s">
        <v>310</v>
      </c>
      <c r="E62" s="82">
        <v>2</v>
      </c>
      <c r="F62" s="82">
        <v>131202</v>
      </c>
      <c r="G62" s="82">
        <f>458+táj2!G62</f>
        <v>1058</v>
      </c>
      <c r="H62" s="82">
        <f>197+táj2!H62</f>
        <v>409</v>
      </c>
      <c r="I62" s="82">
        <f>545+táj2!I62</f>
        <v>1233</v>
      </c>
      <c r="J62" s="82"/>
      <c r="K62" s="82"/>
      <c r="L62" s="82"/>
      <c r="M62" s="82"/>
      <c r="N62" s="82">
        <f>1000+táj2!N62</f>
        <v>1000</v>
      </c>
      <c r="O62" s="82"/>
      <c r="P62" s="82"/>
      <c r="Q62" s="82">
        <f t="shared" si="6"/>
        <v>3700</v>
      </c>
    </row>
    <row r="63" spans="1:17" ht="15" customHeight="1" x14ac:dyDescent="0.2">
      <c r="A63" s="102"/>
      <c r="B63" s="102"/>
      <c r="C63" s="118"/>
      <c r="D63" s="116" t="s">
        <v>311</v>
      </c>
      <c r="E63" s="82">
        <v>2</v>
      </c>
      <c r="F63" s="82">
        <v>131205</v>
      </c>
      <c r="G63" s="82">
        <f>31+táj2!G63</f>
        <v>31</v>
      </c>
      <c r="H63" s="82">
        <f>11+táj2!H63</f>
        <v>10</v>
      </c>
      <c r="I63" s="82">
        <f>2102+táj2!I63</f>
        <v>602</v>
      </c>
      <c r="J63" s="82"/>
      <c r="K63" s="82">
        <f>1506+táj2!K63</f>
        <v>1480</v>
      </c>
      <c r="L63" s="82"/>
      <c r="M63" s="82"/>
      <c r="N63" s="82"/>
      <c r="O63" s="82"/>
      <c r="P63" s="82"/>
      <c r="Q63" s="82">
        <f t="shared" si="6"/>
        <v>2123</v>
      </c>
    </row>
    <row r="64" spans="1:17" ht="15" customHeight="1" x14ac:dyDescent="0.2">
      <c r="A64" s="102"/>
      <c r="B64" s="102"/>
      <c r="C64" s="118"/>
      <c r="D64" s="116" t="s">
        <v>312</v>
      </c>
      <c r="E64" s="82">
        <v>2</v>
      </c>
      <c r="F64" s="82">
        <v>131206</v>
      </c>
      <c r="G64" s="82"/>
      <c r="H64" s="82"/>
      <c r="I64" s="82"/>
      <c r="J64" s="82"/>
      <c r="K64" s="82">
        <f>250+táj2!K64</f>
        <v>250</v>
      </c>
      <c r="L64" s="82"/>
      <c r="M64" s="82"/>
      <c r="N64" s="82"/>
      <c r="O64" s="82"/>
      <c r="P64" s="82"/>
      <c r="Q64" s="82">
        <f t="shared" si="6"/>
        <v>250</v>
      </c>
    </row>
    <row r="65" spans="1:17" ht="15" customHeight="1" x14ac:dyDescent="0.2">
      <c r="A65" s="102"/>
      <c r="B65" s="102"/>
      <c r="C65" s="118"/>
      <c r="D65" s="115" t="s">
        <v>313</v>
      </c>
      <c r="E65" s="82">
        <v>2</v>
      </c>
      <c r="F65" s="82">
        <v>131209</v>
      </c>
      <c r="G65" s="82">
        <f>585+táj2!G65</f>
        <v>585</v>
      </c>
      <c r="H65" s="82">
        <f>300+táj2!H65</f>
        <v>300</v>
      </c>
      <c r="I65" s="82">
        <f>310+táj2!I65</f>
        <v>337</v>
      </c>
      <c r="J65" s="82"/>
      <c r="K65" s="82"/>
      <c r="L65" s="82"/>
      <c r="M65" s="82"/>
      <c r="N65" s="82"/>
      <c r="O65" s="82"/>
      <c r="P65" s="82"/>
      <c r="Q65" s="82">
        <f t="shared" si="6"/>
        <v>1222</v>
      </c>
    </row>
    <row r="66" spans="1:17" ht="26.45" customHeight="1" x14ac:dyDescent="0.2">
      <c r="A66" s="102"/>
      <c r="B66" s="102"/>
      <c r="C66" s="118"/>
      <c r="D66" s="648" t="s">
        <v>973</v>
      </c>
      <c r="E66" s="411">
        <v>2</v>
      </c>
      <c r="F66" s="411">
        <v>131214</v>
      </c>
      <c r="G66" s="82"/>
      <c r="H66" s="82"/>
      <c r="I66" s="82"/>
      <c r="J66" s="82"/>
      <c r="K66" s="82">
        <f>500+táj2!K66</f>
        <v>500</v>
      </c>
      <c r="L66" s="82"/>
      <c r="M66" s="82"/>
      <c r="N66" s="82"/>
      <c r="O66" s="82"/>
      <c r="P66" s="82"/>
      <c r="Q66" s="82">
        <f t="shared" si="6"/>
        <v>500</v>
      </c>
    </row>
    <row r="67" spans="1:17" ht="14.1" customHeight="1" x14ac:dyDescent="0.2">
      <c r="A67" s="102"/>
      <c r="B67" s="102"/>
      <c r="C67" s="118"/>
      <c r="D67" s="116" t="s">
        <v>278</v>
      </c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</row>
    <row r="68" spans="1:17" ht="14.1" customHeight="1" x14ac:dyDescent="0.2">
      <c r="A68" s="102"/>
      <c r="B68" s="102"/>
      <c r="C68" s="118"/>
      <c r="D68" s="115" t="s">
        <v>314</v>
      </c>
      <c r="E68" s="82">
        <v>2</v>
      </c>
      <c r="F68" s="82">
        <v>131101</v>
      </c>
      <c r="G68" s="82"/>
      <c r="H68" s="82"/>
      <c r="I68" s="82"/>
      <c r="J68" s="82">
        <f>10500+táj2!J68</f>
        <v>10500</v>
      </c>
      <c r="K68" s="82">
        <f>6500+táj2!K68</f>
        <v>6500</v>
      </c>
      <c r="L68" s="82"/>
      <c r="M68" s="82"/>
      <c r="N68" s="82"/>
      <c r="O68" s="82"/>
      <c r="P68" s="82"/>
      <c r="Q68" s="82">
        <f>SUM(G68:P68)</f>
        <v>17000</v>
      </c>
    </row>
    <row r="69" spans="1:17" ht="14.1" customHeight="1" x14ac:dyDescent="0.2">
      <c r="A69" s="102"/>
      <c r="B69" s="102"/>
      <c r="C69" s="118"/>
      <c r="D69" s="115" t="s">
        <v>315</v>
      </c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</row>
    <row r="70" spans="1:17" ht="14.1" customHeight="1" x14ac:dyDescent="0.2">
      <c r="A70" s="102"/>
      <c r="B70" s="102"/>
      <c r="C70" s="118"/>
      <c r="D70" s="116" t="s">
        <v>316</v>
      </c>
      <c r="E70" s="82">
        <v>2</v>
      </c>
      <c r="F70" s="82">
        <v>131120</v>
      </c>
      <c r="G70" s="82">
        <f>150+táj2!G70</f>
        <v>0</v>
      </c>
      <c r="H70" s="82">
        <f>45+táj2!H70</f>
        <v>0</v>
      </c>
      <c r="I70" s="82">
        <f>305+táj2!I70</f>
        <v>445</v>
      </c>
      <c r="J70" s="82"/>
      <c r="K70" s="82"/>
      <c r="L70" s="82"/>
      <c r="M70" s="82"/>
      <c r="N70" s="82"/>
      <c r="O70" s="82"/>
      <c r="P70" s="82"/>
      <c r="Q70" s="82">
        <f>SUM(G70:P70)</f>
        <v>445</v>
      </c>
    </row>
    <row r="71" spans="1:17" ht="14.1" customHeight="1" x14ac:dyDescent="0.2">
      <c r="A71" s="102"/>
      <c r="B71" s="102"/>
      <c r="C71" s="118"/>
      <c r="D71" s="116" t="s">
        <v>317</v>
      </c>
      <c r="E71" s="113"/>
      <c r="F71" s="113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</row>
    <row r="72" spans="1:17" ht="14.1" customHeight="1" x14ac:dyDescent="0.2">
      <c r="A72" s="102"/>
      <c r="B72" s="102"/>
      <c r="C72" s="118"/>
      <c r="D72" s="116" t="s">
        <v>318</v>
      </c>
      <c r="E72" s="82">
        <v>2</v>
      </c>
      <c r="F72" s="82">
        <v>131346</v>
      </c>
      <c r="G72" s="82">
        <f>820+táj2!G72</f>
        <v>820</v>
      </c>
      <c r="H72" s="82">
        <f>210+táj2!H72</f>
        <v>210</v>
      </c>
      <c r="I72" s="82">
        <f>1930+táj2!I72</f>
        <v>2155</v>
      </c>
      <c r="J72" s="82"/>
      <c r="K72" s="82">
        <f>4350+táj2!K72</f>
        <v>4350</v>
      </c>
      <c r="L72" s="82"/>
      <c r="M72" s="82"/>
      <c r="N72" s="82"/>
      <c r="O72" s="82"/>
      <c r="P72" s="82"/>
      <c r="Q72" s="82">
        <f t="shared" ref="Q72:Q101" si="7">SUM(G72:P72)</f>
        <v>7535</v>
      </c>
    </row>
    <row r="73" spans="1:17" ht="14.1" customHeight="1" x14ac:dyDescent="0.2">
      <c r="A73" s="102"/>
      <c r="B73" s="102"/>
      <c r="C73" s="118"/>
      <c r="D73" s="351" t="s">
        <v>785</v>
      </c>
      <c r="E73" s="359">
        <v>2</v>
      </c>
      <c r="F73" s="359">
        <v>131339</v>
      </c>
      <c r="G73" s="82"/>
      <c r="H73" s="82"/>
      <c r="I73" s="82"/>
      <c r="J73" s="82"/>
      <c r="K73" s="82">
        <f>1500+táj2!K73</f>
        <v>1500</v>
      </c>
      <c r="L73" s="82"/>
      <c r="M73" s="82"/>
      <c r="N73" s="82"/>
      <c r="O73" s="82"/>
      <c r="P73" s="82"/>
      <c r="Q73" s="82">
        <f t="shared" si="7"/>
        <v>1500</v>
      </c>
    </row>
    <row r="74" spans="1:17" ht="14.1" customHeight="1" x14ac:dyDescent="0.2">
      <c r="A74" s="102"/>
      <c r="B74" s="102"/>
      <c r="C74" s="118"/>
      <c r="D74" s="116" t="s">
        <v>319</v>
      </c>
      <c r="E74" s="82">
        <v>2</v>
      </c>
      <c r="F74" s="82">
        <v>131306</v>
      </c>
      <c r="G74" s="82"/>
      <c r="H74" s="82"/>
      <c r="I74" s="82"/>
      <c r="J74" s="82"/>
      <c r="K74" s="82">
        <f>1000+táj2!K74</f>
        <v>1000</v>
      </c>
      <c r="L74" s="82"/>
      <c r="M74" s="82"/>
      <c r="N74" s="82"/>
      <c r="O74" s="82"/>
      <c r="P74" s="82"/>
      <c r="Q74" s="82">
        <f t="shared" si="7"/>
        <v>1000</v>
      </c>
    </row>
    <row r="75" spans="1:17" ht="14.1" customHeight="1" x14ac:dyDescent="0.2">
      <c r="A75" s="341"/>
      <c r="B75" s="341"/>
      <c r="C75" s="363"/>
      <c r="D75" s="351" t="s">
        <v>786</v>
      </c>
      <c r="E75" s="359">
        <v>2</v>
      </c>
      <c r="F75" s="359">
        <v>131341</v>
      </c>
      <c r="G75" s="359"/>
      <c r="H75" s="359"/>
      <c r="I75" s="359"/>
      <c r="J75" s="359"/>
      <c r="K75" s="82">
        <f>14000+táj2!K75</f>
        <v>14000</v>
      </c>
      <c r="L75" s="359"/>
      <c r="M75" s="359"/>
      <c r="N75" s="359"/>
      <c r="O75" s="359"/>
      <c r="P75" s="359"/>
      <c r="Q75" s="82">
        <f t="shared" si="7"/>
        <v>14000</v>
      </c>
    </row>
    <row r="76" spans="1:17" ht="14.1" customHeight="1" x14ac:dyDescent="0.2">
      <c r="A76" s="341"/>
      <c r="B76" s="341"/>
      <c r="C76" s="363"/>
      <c r="D76" s="545" t="s">
        <v>869</v>
      </c>
      <c r="E76" s="411">
        <v>2</v>
      </c>
      <c r="F76" s="411">
        <v>131326</v>
      </c>
      <c r="G76" s="359"/>
      <c r="H76" s="359"/>
      <c r="I76" s="359"/>
      <c r="J76" s="359"/>
      <c r="K76" s="82">
        <f>2500+táj2!K76</f>
        <v>2850</v>
      </c>
      <c r="L76" s="359"/>
      <c r="M76" s="359"/>
      <c r="N76" s="359"/>
      <c r="O76" s="359"/>
      <c r="P76" s="359"/>
      <c r="Q76" s="82">
        <f t="shared" si="7"/>
        <v>2850</v>
      </c>
    </row>
    <row r="77" spans="1:17" ht="14.1" customHeight="1" x14ac:dyDescent="0.2">
      <c r="A77" s="341"/>
      <c r="B77" s="341"/>
      <c r="C77" s="363"/>
      <c r="D77" s="545" t="s">
        <v>870</v>
      </c>
      <c r="E77" s="411">
        <v>2</v>
      </c>
      <c r="F77" s="411">
        <v>221910</v>
      </c>
      <c r="G77" s="359"/>
      <c r="H77" s="359"/>
      <c r="I77" s="359"/>
      <c r="J77" s="359"/>
      <c r="K77" s="82">
        <f>4000+táj2!K77</f>
        <v>1000</v>
      </c>
      <c r="L77" s="359"/>
      <c r="M77" s="359"/>
      <c r="N77" s="359"/>
      <c r="O77" s="359"/>
      <c r="P77" s="359"/>
      <c r="Q77" s="82">
        <f t="shared" si="7"/>
        <v>1000</v>
      </c>
    </row>
    <row r="78" spans="1:17" ht="14.1" customHeight="1" x14ac:dyDescent="0.2">
      <c r="A78" s="341"/>
      <c r="B78" s="341"/>
      <c r="C78" s="363"/>
      <c r="D78" s="545" t="s">
        <v>871</v>
      </c>
      <c r="E78" s="411">
        <v>2</v>
      </c>
      <c r="F78" s="411">
        <v>131332</v>
      </c>
      <c r="G78" s="359"/>
      <c r="H78" s="359"/>
      <c r="I78" s="359"/>
      <c r="J78" s="359"/>
      <c r="K78" s="82">
        <f>1500+táj2!K78</f>
        <v>1500</v>
      </c>
      <c r="L78" s="359"/>
      <c r="M78" s="359"/>
      <c r="N78" s="359"/>
      <c r="O78" s="359"/>
      <c r="P78" s="359"/>
      <c r="Q78" s="82">
        <f t="shared" si="7"/>
        <v>1500</v>
      </c>
    </row>
    <row r="79" spans="1:17" ht="14.1" customHeight="1" x14ac:dyDescent="0.2">
      <c r="A79" s="341"/>
      <c r="B79" s="341"/>
      <c r="C79" s="363"/>
      <c r="D79" s="545" t="s">
        <v>872</v>
      </c>
      <c r="E79" s="411">
        <v>2</v>
      </c>
      <c r="F79" s="411">
        <v>131333</v>
      </c>
      <c r="G79" s="359"/>
      <c r="H79" s="359"/>
      <c r="I79" s="359"/>
      <c r="J79" s="359"/>
      <c r="K79" s="82">
        <f>3800+táj2!K79</f>
        <v>3800</v>
      </c>
      <c r="L79" s="359"/>
      <c r="M79" s="359"/>
      <c r="N79" s="359"/>
      <c r="O79" s="359"/>
      <c r="P79" s="359"/>
      <c r="Q79" s="82">
        <f t="shared" si="7"/>
        <v>3800</v>
      </c>
    </row>
    <row r="80" spans="1:17" ht="14.1" customHeight="1" x14ac:dyDescent="0.2">
      <c r="A80" s="341"/>
      <c r="B80" s="341"/>
      <c r="C80" s="363"/>
      <c r="D80" s="545" t="s">
        <v>873</v>
      </c>
      <c r="E80" s="411">
        <v>2</v>
      </c>
      <c r="F80" s="411">
        <v>131361</v>
      </c>
      <c r="G80" s="359"/>
      <c r="H80" s="359"/>
      <c r="I80" s="359"/>
      <c r="J80" s="359"/>
      <c r="K80" s="82">
        <f>500+táj2!K80</f>
        <v>500</v>
      </c>
      <c r="L80" s="359"/>
      <c r="M80" s="359"/>
      <c r="N80" s="359"/>
      <c r="O80" s="359"/>
      <c r="P80" s="359"/>
      <c r="Q80" s="82">
        <f t="shared" si="7"/>
        <v>500</v>
      </c>
    </row>
    <row r="81" spans="1:17" ht="14.1" customHeight="1" x14ac:dyDescent="0.2">
      <c r="A81" s="341"/>
      <c r="B81" s="341"/>
      <c r="C81" s="363"/>
      <c r="D81" s="544" t="s">
        <v>787</v>
      </c>
      <c r="E81" s="411">
        <v>2</v>
      </c>
      <c r="F81" s="411">
        <v>131409</v>
      </c>
      <c r="G81" s="359"/>
      <c r="H81" s="359"/>
      <c r="I81" s="359"/>
      <c r="J81" s="359"/>
      <c r="K81" s="82">
        <f>4500+táj2!K81</f>
        <v>4500</v>
      </c>
      <c r="L81" s="359"/>
      <c r="M81" s="359"/>
      <c r="N81" s="359"/>
      <c r="O81" s="359"/>
      <c r="P81" s="359"/>
      <c r="Q81" s="82">
        <f t="shared" si="7"/>
        <v>4500</v>
      </c>
    </row>
    <row r="82" spans="1:17" ht="14.1" customHeight="1" x14ac:dyDescent="0.2">
      <c r="A82" s="341"/>
      <c r="B82" s="341"/>
      <c r="C82" s="363"/>
      <c r="D82" s="544" t="s">
        <v>788</v>
      </c>
      <c r="E82" s="411">
        <v>2</v>
      </c>
      <c r="F82" s="411">
        <v>131352</v>
      </c>
      <c r="G82" s="359"/>
      <c r="H82" s="359"/>
      <c r="I82" s="359"/>
      <c r="J82" s="359"/>
      <c r="K82" s="82">
        <f>0+táj2!K82</f>
        <v>0</v>
      </c>
      <c r="L82" s="359"/>
      <c r="M82" s="359"/>
      <c r="N82" s="359"/>
      <c r="O82" s="359"/>
      <c r="P82" s="359"/>
      <c r="Q82" s="82">
        <f t="shared" si="7"/>
        <v>0</v>
      </c>
    </row>
    <row r="83" spans="1:17" ht="14.1" customHeight="1" x14ac:dyDescent="0.2">
      <c r="A83" s="341"/>
      <c r="B83" s="341"/>
      <c r="C83" s="363"/>
      <c r="D83" s="544" t="s">
        <v>789</v>
      </c>
      <c r="E83" s="411">
        <v>2</v>
      </c>
      <c r="F83" s="411">
        <v>131353</v>
      </c>
      <c r="G83" s="359"/>
      <c r="H83" s="359"/>
      <c r="I83" s="359"/>
      <c r="J83" s="359"/>
      <c r="K83" s="82">
        <f>100+táj2!K83</f>
        <v>100</v>
      </c>
      <c r="L83" s="359"/>
      <c r="M83" s="359"/>
      <c r="N83" s="359"/>
      <c r="O83" s="359"/>
      <c r="P83" s="359"/>
      <c r="Q83" s="82">
        <f t="shared" si="7"/>
        <v>100</v>
      </c>
    </row>
    <row r="84" spans="1:17" ht="14.1" customHeight="1" x14ac:dyDescent="0.2">
      <c r="A84" s="341"/>
      <c r="B84" s="341"/>
      <c r="C84" s="363"/>
      <c r="D84" s="544" t="s">
        <v>790</v>
      </c>
      <c r="E84" s="411">
        <v>2</v>
      </c>
      <c r="F84" s="411">
        <v>131329</v>
      </c>
      <c r="G84" s="359"/>
      <c r="H84" s="359"/>
      <c r="I84" s="359"/>
      <c r="J84" s="359"/>
      <c r="K84" s="82">
        <f>100+táj2!K84</f>
        <v>2600</v>
      </c>
      <c r="L84" s="359"/>
      <c r="M84" s="359"/>
      <c r="N84" s="359"/>
      <c r="O84" s="359"/>
      <c r="P84" s="359"/>
      <c r="Q84" s="82">
        <f t="shared" si="7"/>
        <v>2600</v>
      </c>
    </row>
    <row r="85" spans="1:17" ht="14.1" customHeight="1" x14ac:dyDescent="0.2">
      <c r="A85" s="341"/>
      <c r="B85" s="341"/>
      <c r="C85" s="363"/>
      <c r="D85" s="546" t="s">
        <v>634</v>
      </c>
      <c r="E85" s="411">
        <v>2</v>
      </c>
      <c r="F85" s="411">
        <v>131321</v>
      </c>
      <c r="G85" s="359"/>
      <c r="H85" s="359"/>
      <c r="I85" s="359"/>
      <c r="J85" s="359"/>
      <c r="K85" s="82">
        <f>163000+táj2!K85</f>
        <v>163000</v>
      </c>
      <c r="L85" s="359"/>
      <c r="M85" s="359"/>
      <c r="N85" s="359"/>
      <c r="O85" s="359"/>
      <c r="P85" s="359"/>
      <c r="Q85" s="82">
        <f t="shared" si="7"/>
        <v>163000</v>
      </c>
    </row>
    <row r="86" spans="1:17" ht="26.25" customHeight="1" x14ac:dyDescent="0.2">
      <c r="A86" s="341"/>
      <c r="B86" s="341"/>
      <c r="C86" s="363"/>
      <c r="D86" s="546" t="s">
        <v>320</v>
      </c>
      <c r="E86" s="411">
        <v>2</v>
      </c>
      <c r="F86" s="411">
        <v>131313</v>
      </c>
      <c r="G86" s="359"/>
      <c r="H86" s="359"/>
      <c r="I86" s="359"/>
      <c r="J86" s="359"/>
      <c r="K86" s="82">
        <f>30000+táj2!K86</f>
        <v>30000</v>
      </c>
      <c r="L86" s="359"/>
      <c r="M86" s="359"/>
      <c r="N86" s="359"/>
      <c r="O86" s="359"/>
      <c r="P86" s="359"/>
      <c r="Q86" s="82">
        <f t="shared" si="7"/>
        <v>30000</v>
      </c>
    </row>
    <row r="87" spans="1:17" ht="14.1" customHeight="1" x14ac:dyDescent="0.2">
      <c r="A87" s="341"/>
      <c r="B87" s="341"/>
      <c r="C87" s="363"/>
      <c r="D87" s="547" t="s">
        <v>321</v>
      </c>
      <c r="E87" s="411">
        <v>2</v>
      </c>
      <c r="F87" s="411">
        <v>131501</v>
      </c>
      <c r="G87" s="359"/>
      <c r="H87" s="359"/>
      <c r="I87" s="82">
        <f>200+táj2!I87</f>
        <v>120</v>
      </c>
      <c r="J87" s="82"/>
      <c r="K87" s="82"/>
      <c r="L87" s="359"/>
      <c r="M87" s="359"/>
      <c r="N87" s="359"/>
      <c r="O87" s="359"/>
      <c r="P87" s="359"/>
      <c r="Q87" s="82">
        <f t="shared" si="7"/>
        <v>120</v>
      </c>
    </row>
    <row r="88" spans="1:17" ht="14.1" customHeight="1" x14ac:dyDescent="0.2">
      <c r="A88" s="341"/>
      <c r="B88" s="341"/>
      <c r="C88" s="363"/>
      <c r="D88" s="548" t="s">
        <v>745</v>
      </c>
      <c r="E88" s="411">
        <v>2</v>
      </c>
      <c r="F88" s="411">
        <v>131310</v>
      </c>
      <c r="G88" s="359"/>
      <c r="H88" s="359"/>
      <c r="I88" s="359"/>
      <c r="J88" s="359"/>
      <c r="K88" s="82">
        <f>300+táj2!K88</f>
        <v>300</v>
      </c>
      <c r="L88" s="359"/>
      <c r="M88" s="359"/>
      <c r="N88" s="359"/>
      <c r="O88" s="359"/>
      <c r="P88" s="359"/>
      <c r="Q88" s="82">
        <f t="shared" si="7"/>
        <v>300</v>
      </c>
    </row>
    <row r="89" spans="1:17" ht="14.1" customHeight="1" x14ac:dyDescent="0.2">
      <c r="A89" s="341"/>
      <c r="B89" s="341"/>
      <c r="C89" s="363"/>
      <c r="D89" s="549" t="s">
        <v>746</v>
      </c>
      <c r="E89" s="411">
        <v>2</v>
      </c>
      <c r="F89" s="411">
        <v>131410</v>
      </c>
      <c r="G89" s="359"/>
      <c r="H89" s="359"/>
      <c r="I89" s="359"/>
      <c r="J89" s="359"/>
      <c r="K89" s="82">
        <f>500+táj2!K89</f>
        <v>500</v>
      </c>
      <c r="L89" s="359"/>
      <c r="M89" s="359"/>
      <c r="N89" s="359"/>
      <c r="O89" s="359"/>
      <c r="P89" s="359"/>
      <c r="Q89" s="82">
        <f t="shared" si="7"/>
        <v>500</v>
      </c>
    </row>
    <row r="90" spans="1:17" ht="14.1" customHeight="1" x14ac:dyDescent="0.2">
      <c r="A90" s="341"/>
      <c r="B90" s="341"/>
      <c r="C90" s="363"/>
      <c r="D90" s="549" t="s">
        <v>874</v>
      </c>
      <c r="E90" s="411">
        <v>2</v>
      </c>
      <c r="F90" s="411">
        <v>221944</v>
      </c>
      <c r="G90" s="359"/>
      <c r="H90" s="359"/>
      <c r="I90" s="359"/>
      <c r="J90" s="359"/>
      <c r="K90" s="82">
        <f>500+táj2!K90</f>
        <v>500</v>
      </c>
      <c r="L90" s="359"/>
      <c r="M90" s="359"/>
      <c r="N90" s="359"/>
      <c r="O90" s="359"/>
      <c r="P90" s="359"/>
      <c r="Q90" s="82">
        <f t="shared" si="7"/>
        <v>500</v>
      </c>
    </row>
    <row r="91" spans="1:17" ht="14.1" customHeight="1" x14ac:dyDescent="0.2">
      <c r="A91" s="341"/>
      <c r="B91" s="341"/>
      <c r="C91" s="363"/>
      <c r="D91" s="549" t="s">
        <v>875</v>
      </c>
      <c r="E91" s="411">
        <v>2</v>
      </c>
      <c r="F91" s="411">
        <v>131362</v>
      </c>
      <c r="G91" s="359"/>
      <c r="H91" s="359"/>
      <c r="I91" s="359"/>
      <c r="J91" s="359"/>
      <c r="K91" s="82">
        <f>1000+táj2!K91</f>
        <v>0</v>
      </c>
      <c r="L91" s="359"/>
      <c r="M91" s="359"/>
      <c r="N91" s="359"/>
      <c r="O91" s="359"/>
      <c r="P91" s="359"/>
      <c r="Q91" s="82">
        <f t="shared" si="7"/>
        <v>0</v>
      </c>
    </row>
    <row r="92" spans="1:17" ht="14.1" customHeight="1" x14ac:dyDescent="0.2">
      <c r="A92" s="341"/>
      <c r="B92" s="341"/>
      <c r="C92" s="363"/>
      <c r="D92" s="549" t="s">
        <v>791</v>
      </c>
      <c r="E92" s="411">
        <v>2</v>
      </c>
      <c r="F92" s="411">
        <v>131307</v>
      </c>
      <c r="G92" s="359"/>
      <c r="H92" s="359"/>
      <c r="I92" s="359"/>
      <c r="J92" s="359"/>
      <c r="K92" s="82">
        <f>1200+táj2!K92</f>
        <v>1200</v>
      </c>
      <c r="L92" s="359"/>
      <c r="M92" s="359"/>
      <c r="N92" s="359"/>
      <c r="O92" s="359"/>
      <c r="P92" s="359"/>
      <c r="Q92" s="82">
        <f t="shared" si="7"/>
        <v>1200</v>
      </c>
    </row>
    <row r="93" spans="1:17" ht="14.1" customHeight="1" x14ac:dyDescent="0.2">
      <c r="A93" s="341"/>
      <c r="B93" s="341"/>
      <c r="C93" s="363"/>
      <c r="D93" s="549" t="s">
        <v>876</v>
      </c>
      <c r="E93" s="411">
        <v>2</v>
      </c>
      <c r="F93" s="411">
        <v>131357</v>
      </c>
      <c r="G93" s="359"/>
      <c r="H93" s="359"/>
      <c r="I93" s="359"/>
      <c r="J93" s="359"/>
      <c r="K93" s="82">
        <f>500+táj2!K93</f>
        <v>500</v>
      </c>
      <c r="L93" s="359"/>
      <c r="M93" s="359"/>
      <c r="N93" s="359"/>
      <c r="O93" s="359"/>
      <c r="P93" s="359"/>
      <c r="Q93" s="82">
        <f t="shared" si="7"/>
        <v>500</v>
      </c>
    </row>
    <row r="94" spans="1:17" ht="14.1" customHeight="1" x14ac:dyDescent="0.2">
      <c r="A94" s="341"/>
      <c r="B94" s="341"/>
      <c r="C94" s="363"/>
      <c r="D94" s="549" t="s">
        <v>792</v>
      </c>
      <c r="E94" s="411">
        <v>2</v>
      </c>
      <c r="F94" s="411">
        <v>131323</v>
      </c>
      <c r="G94" s="359"/>
      <c r="H94" s="359"/>
      <c r="I94" s="359"/>
      <c r="J94" s="359"/>
      <c r="K94" s="82">
        <f>1500+táj2!K94</f>
        <v>1500</v>
      </c>
      <c r="L94" s="359"/>
      <c r="M94" s="359"/>
      <c r="N94" s="359"/>
      <c r="O94" s="359"/>
      <c r="P94" s="359"/>
      <c r="Q94" s="82">
        <f t="shared" si="7"/>
        <v>1500</v>
      </c>
    </row>
    <row r="95" spans="1:17" ht="14.1" customHeight="1" x14ac:dyDescent="0.2">
      <c r="A95" s="341"/>
      <c r="B95" s="341"/>
      <c r="C95" s="363"/>
      <c r="D95" s="549" t="s">
        <v>1005</v>
      </c>
      <c r="E95" s="411">
        <v>2</v>
      </c>
      <c r="F95" s="411">
        <v>131319</v>
      </c>
      <c r="G95" s="359"/>
      <c r="H95" s="359"/>
      <c r="I95" s="359"/>
      <c r="J95" s="359"/>
      <c r="K95" s="82">
        <f>4000+táj2!K95</f>
        <v>4000</v>
      </c>
      <c r="L95" s="359"/>
      <c r="M95" s="359"/>
      <c r="N95" s="359"/>
      <c r="O95" s="359"/>
      <c r="P95" s="359"/>
      <c r="Q95" s="82">
        <f t="shared" si="7"/>
        <v>4000</v>
      </c>
    </row>
    <row r="96" spans="1:17" ht="14.1" customHeight="1" x14ac:dyDescent="0.2">
      <c r="A96" s="102"/>
      <c r="B96" s="102"/>
      <c r="C96" s="118"/>
      <c r="D96" s="550" t="s">
        <v>322</v>
      </c>
      <c r="E96" s="411">
        <v>2</v>
      </c>
      <c r="F96" s="411">
        <v>131348</v>
      </c>
      <c r="G96" s="82"/>
      <c r="H96" s="82"/>
      <c r="I96" s="82"/>
      <c r="J96" s="82"/>
      <c r="K96" s="82">
        <f>6000+táj2!K96</f>
        <v>6000</v>
      </c>
      <c r="L96" s="82"/>
      <c r="M96" s="82"/>
      <c r="N96" s="82"/>
      <c r="O96" s="82"/>
      <c r="P96" s="82"/>
      <c r="Q96" s="82">
        <f t="shared" si="7"/>
        <v>6000</v>
      </c>
    </row>
    <row r="97" spans="1:17" ht="14.1" customHeight="1" x14ac:dyDescent="0.2">
      <c r="A97" s="102"/>
      <c r="B97" s="102"/>
      <c r="C97" s="118"/>
      <c r="D97" s="551" t="s">
        <v>877</v>
      </c>
      <c r="E97" s="411">
        <v>2</v>
      </c>
      <c r="F97" s="411">
        <v>131213</v>
      </c>
      <c r="G97" s="82"/>
      <c r="H97" s="82"/>
      <c r="I97" s="82"/>
      <c r="J97" s="82"/>
      <c r="K97" s="82">
        <f>3500+táj2!K97</f>
        <v>3500</v>
      </c>
      <c r="L97" s="82"/>
      <c r="M97" s="82"/>
      <c r="N97" s="82"/>
      <c r="O97" s="82"/>
      <c r="P97" s="82"/>
      <c r="Q97" s="82">
        <f t="shared" si="7"/>
        <v>3500</v>
      </c>
    </row>
    <row r="98" spans="1:17" ht="16.149999999999999" customHeight="1" x14ac:dyDescent="0.2">
      <c r="A98" s="102"/>
      <c r="B98" s="102"/>
      <c r="C98" s="118"/>
      <c r="D98" s="551" t="s">
        <v>878</v>
      </c>
      <c r="E98" s="411">
        <v>2</v>
      </c>
      <c r="F98" s="411">
        <v>131363</v>
      </c>
      <c r="G98" s="82"/>
      <c r="H98" s="82"/>
      <c r="I98" s="82"/>
      <c r="J98" s="82"/>
      <c r="K98" s="82">
        <f>3500+táj2!K98</f>
        <v>3500</v>
      </c>
      <c r="L98" s="82"/>
      <c r="M98" s="82"/>
      <c r="N98" s="82"/>
      <c r="O98" s="82"/>
      <c r="P98" s="82"/>
      <c r="Q98" s="82">
        <f t="shared" si="7"/>
        <v>3500</v>
      </c>
    </row>
    <row r="99" spans="1:17" ht="25.5" customHeight="1" x14ac:dyDescent="0.2">
      <c r="A99" s="102"/>
      <c r="B99" s="102"/>
      <c r="C99" s="118"/>
      <c r="D99" s="551" t="s">
        <v>323</v>
      </c>
      <c r="E99" s="411">
        <v>2</v>
      </c>
      <c r="F99" s="411">
        <v>131345</v>
      </c>
      <c r="G99" s="82"/>
      <c r="H99" s="82"/>
      <c r="I99" s="82"/>
      <c r="J99" s="82"/>
      <c r="K99" s="82">
        <f>500+táj2!K99</f>
        <v>500</v>
      </c>
      <c r="L99" s="82"/>
      <c r="M99" s="82"/>
      <c r="N99" s="82"/>
      <c r="O99" s="82"/>
      <c r="P99" s="82"/>
      <c r="Q99" s="82">
        <f t="shared" si="7"/>
        <v>500</v>
      </c>
    </row>
    <row r="100" spans="1:17" ht="14.1" customHeight="1" x14ac:dyDescent="0.2">
      <c r="A100" s="808"/>
      <c r="B100" s="808"/>
      <c r="C100" s="809"/>
      <c r="D100" s="813" t="s">
        <v>1184</v>
      </c>
      <c r="E100" s="810">
        <v>2</v>
      </c>
      <c r="F100" s="811">
        <v>131364</v>
      </c>
      <c r="G100" s="811"/>
      <c r="H100" s="811"/>
      <c r="I100" s="811"/>
      <c r="J100" s="811"/>
      <c r="K100" s="811">
        <f>1000+táj2!K100</f>
        <v>1000</v>
      </c>
      <c r="L100" s="811"/>
      <c r="M100" s="811"/>
      <c r="N100" s="811"/>
      <c r="O100" s="811"/>
      <c r="P100" s="811"/>
      <c r="Q100" s="82">
        <f t="shared" si="7"/>
        <v>1000</v>
      </c>
    </row>
    <row r="101" spans="1:17" ht="14.1" customHeight="1" x14ac:dyDescent="0.2">
      <c r="A101" s="808"/>
      <c r="B101" s="808"/>
      <c r="C101" s="809"/>
      <c r="D101" s="859" t="s">
        <v>1186</v>
      </c>
      <c r="E101" s="810">
        <v>2</v>
      </c>
      <c r="F101" s="811">
        <v>131365</v>
      </c>
      <c r="G101" s="811"/>
      <c r="H101" s="811"/>
      <c r="I101" s="811">
        <f>0+táj2!I101</f>
        <v>3000</v>
      </c>
      <c r="J101" s="811"/>
      <c r="K101" s="811"/>
      <c r="L101" s="811"/>
      <c r="M101" s="811"/>
      <c r="N101" s="811"/>
      <c r="O101" s="811"/>
      <c r="P101" s="811"/>
      <c r="Q101" s="82">
        <f t="shared" si="7"/>
        <v>3000</v>
      </c>
    </row>
    <row r="102" spans="1:17" ht="14.45" customHeight="1" x14ac:dyDescent="0.2">
      <c r="A102" s="102"/>
      <c r="B102" s="102"/>
      <c r="C102" s="118"/>
      <c r="D102" s="544" t="s">
        <v>324</v>
      </c>
      <c r="E102" s="552"/>
      <c r="F102" s="553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</row>
    <row r="103" spans="1:17" ht="25.9" customHeight="1" x14ac:dyDescent="0.2">
      <c r="A103" s="102"/>
      <c r="B103" s="102"/>
      <c r="C103" s="234"/>
      <c r="D103" s="546" t="s">
        <v>325</v>
      </c>
      <c r="E103" s="553">
        <v>2</v>
      </c>
      <c r="F103" s="411">
        <v>131401</v>
      </c>
      <c r="G103" s="82"/>
      <c r="H103" s="82"/>
      <c r="I103" s="82"/>
      <c r="J103" s="82"/>
      <c r="K103" s="82">
        <f>1000+táj2!K103</f>
        <v>1000</v>
      </c>
      <c r="L103" s="82"/>
      <c r="M103" s="82"/>
      <c r="N103" s="82"/>
      <c r="O103" s="82"/>
      <c r="P103" s="82"/>
      <c r="Q103" s="82">
        <f t="shared" ref="Q103:Q111" si="8">SUM(G103:P103)</f>
        <v>1000</v>
      </c>
    </row>
    <row r="104" spans="1:17" ht="14.1" customHeight="1" x14ac:dyDescent="0.2">
      <c r="A104" s="102"/>
      <c r="B104" s="102"/>
      <c r="C104" s="118"/>
      <c r="D104" s="235" t="s">
        <v>326</v>
      </c>
      <c r="E104" s="553">
        <v>2</v>
      </c>
      <c r="F104" s="411">
        <v>131402</v>
      </c>
      <c r="G104" s="82"/>
      <c r="H104" s="82"/>
      <c r="I104" s="82"/>
      <c r="J104" s="82"/>
      <c r="K104" s="82">
        <f>5000+táj2!K104</f>
        <v>5000</v>
      </c>
      <c r="L104" s="82"/>
      <c r="M104" s="82"/>
      <c r="N104" s="82"/>
      <c r="O104" s="82"/>
      <c r="P104" s="82"/>
      <c r="Q104" s="82">
        <f t="shared" si="8"/>
        <v>5000</v>
      </c>
    </row>
    <row r="105" spans="1:17" ht="14.1" customHeight="1" x14ac:dyDescent="0.2">
      <c r="A105" s="102"/>
      <c r="B105" s="102"/>
      <c r="C105" s="118"/>
      <c r="D105" s="544" t="s">
        <v>327</v>
      </c>
      <c r="E105" s="553">
        <v>2</v>
      </c>
      <c r="F105" s="411">
        <v>131403</v>
      </c>
      <c r="G105" s="82"/>
      <c r="H105" s="82"/>
      <c r="I105" s="82"/>
      <c r="J105" s="82"/>
      <c r="K105" s="82">
        <f>7000+táj2!K105</f>
        <v>7000</v>
      </c>
      <c r="L105" s="82"/>
      <c r="M105" s="82"/>
      <c r="N105" s="82"/>
      <c r="O105" s="82"/>
      <c r="P105" s="82"/>
      <c r="Q105" s="82">
        <f t="shared" si="8"/>
        <v>7000</v>
      </c>
    </row>
    <row r="106" spans="1:17" ht="14.1" customHeight="1" x14ac:dyDescent="0.2">
      <c r="A106" s="102"/>
      <c r="B106" s="102"/>
      <c r="C106" s="118"/>
      <c r="D106" s="544" t="s">
        <v>328</v>
      </c>
      <c r="E106" s="553">
        <v>2</v>
      </c>
      <c r="F106" s="411">
        <v>131404</v>
      </c>
      <c r="G106" s="82"/>
      <c r="H106" s="82"/>
      <c r="I106" s="82"/>
      <c r="J106" s="82"/>
      <c r="K106" s="82">
        <f>4000+táj2!K106</f>
        <v>4000</v>
      </c>
      <c r="L106" s="82"/>
      <c r="M106" s="82"/>
      <c r="N106" s="82"/>
      <c r="O106" s="82"/>
      <c r="P106" s="82"/>
      <c r="Q106" s="82">
        <f t="shared" si="8"/>
        <v>4000</v>
      </c>
    </row>
    <row r="107" spans="1:17" ht="14.1" customHeight="1" x14ac:dyDescent="0.2">
      <c r="A107" s="102"/>
      <c r="B107" s="102"/>
      <c r="C107" s="118"/>
      <c r="D107" s="544" t="s">
        <v>329</v>
      </c>
      <c r="E107" s="553">
        <v>2</v>
      </c>
      <c r="F107" s="411">
        <v>131330</v>
      </c>
      <c r="G107" s="82"/>
      <c r="H107" s="82"/>
      <c r="I107" s="82"/>
      <c r="J107" s="82"/>
      <c r="K107" s="82">
        <f>3000+táj2!K107</f>
        <v>3000</v>
      </c>
      <c r="L107" s="82"/>
      <c r="M107" s="82"/>
      <c r="N107" s="82"/>
      <c r="O107" s="82"/>
      <c r="P107" s="82"/>
      <c r="Q107" s="82">
        <f t="shared" si="8"/>
        <v>3000</v>
      </c>
    </row>
    <row r="108" spans="1:17" ht="14.1" customHeight="1" x14ac:dyDescent="0.2">
      <c r="A108" s="102"/>
      <c r="B108" s="102"/>
      <c r="C108" s="234"/>
      <c r="D108" s="544" t="s">
        <v>330</v>
      </c>
      <c r="E108" s="553">
        <v>2</v>
      </c>
      <c r="F108" s="411">
        <v>131507</v>
      </c>
      <c r="G108" s="82"/>
      <c r="H108" s="82"/>
      <c r="I108" s="82"/>
      <c r="J108" s="82"/>
      <c r="K108" s="82">
        <f>3000+táj2!K108</f>
        <v>3000</v>
      </c>
      <c r="L108" s="82"/>
      <c r="M108" s="82"/>
      <c r="N108" s="82"/>
      <c r="O108" s="82"/>
      <c r="P108" s="82"/>
      <c r="Q108" s="82">
        <f t="shared" si="8"/>
        <v>3000</v>
      </c>
    </row>
    <row r="109" spans="1:17" ht="14.1" customHeight="1" x14ac:dyDescent="0.2">
      <c r="A109" s="102"/>
      <c r="B109" s="102"/>
      <c r="C109" s="118"/>
      <c r="D109" s="411" t="s">
        <v>331</v>
      </c>
      <c r="E109" s="553">
        <v>2</v>
      </c>
      <c r="F109" s="411">
        <v>171943</v>
      </c>
      <c r="G109" s="82"/>
      <c r="H109" s="82"/>
      <c r="I109" s="82"/>
      <c r="J109" s="82"/>
      <c r="K109" s="82">
        <f>500+táj2!K109</f>
        <v>500</v>
      </c>
      <c r="L109" s="82"/>
      <c r="M109" s="82"/>
      <c r="N109" s="82"/>
      <c r="O109" s="82"/>
      <c r="P109" s="82"/>
      <c r="Q109" s="82">
        <f t="shared" si="8"/>
        <v>500</v>
      </c>
    </row>
    <row r="110" spans="1:17" ht="14.1" customHeight="1" x14ac:dyDescent="0.2">
      <c r="A110" s="102"/>
      <c r="B110" s="102"/>
      <c r="C110" s="118"/>
      <c r="D110" s="547" t="s">
        <v>332</v>
      </c>
      <c r="E110" s="554"/>
      <c r="F110" s="406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</row>
    <row r="111" spans="1:17" ht="15" customHeight="1" x14ac:dyDescent="0.2">
      <c r="A111" s="102"/>
      <c r="B111" s="102"/>
      <c r="C111" s="118"/>
      <c r="D111" s="547" t="s">
        <v>333</v>
      </c>
      <c r="E111" s="555">
        <v>2</v>
      </c>
      <c r="F111" s="407">
        <v>131502</v>
      </c>
      <c r="G111" s="82"/>
      <c r="H111" s="82"/>
      <c r="I111" s="82"/>
      <c r="J111" s="82">
        <f>500+táj2!J111</f>
        <v>500</v>
      </c>
      <c r="K111" s="82"/>
      <c r="L111" s="82"/>
      <c r="M111" s="82"/>
      <c r="N111" s="82"/>
      <c r="O111" s="82"/>
      <c r="P111" s="82"/>
      <c r="Q111" s="82">
        <f t="shared" si="8"/>
        <v>500</v>
      </c>
    </row>
    <row r="112" spans="1:17" ht="13.15" customHeight="1" x14ac:dyDescent="0.2">
      <c r="A112" s="102"/>
      <c r="B112" s="102"/>
      <c r="C112" s="118"/>
      <c r="D112" s="556" t="s">
        <v>638</v>
      </c>
      <c r="E112" s="557"/>
      <c r="F112" s="407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</row>
    <row r="113" spans="1:17" ht="24.75" customHeight="1" x14ac:dyDescent="0.2">
      <c r="A113" s="102"/>
      <c r="B113" s="102"/>
      <c r="C113" s="118"/>
      <c r="D113" s="547" t="s">
        <v>645</v>
      </c>
      <c r="E113" s="555">
        <v>1</v>
      </c>
      <c r="F113" s="407">
        <v>131508</v>
      </c>
      <c r="G113" s="82"/>
      <c r="H113" s="82"/>
      <c r="I113" s="82"/>
      <c r="J113" s="82"/>
      <c r="K113" s="82">
        <f>72125+táj2!K113</f>
        <v>72125</v>
      </c>
      <c r="L113" s="82"/>
      <c r="M113" s="82"/>
      <c r="N113" s="82"/>
      <c r="O113" s="82"/>
      <c r="P113" s="82"/>
      <c r="Q113" s="82">
        <f>SUM(G113:P113)</f>
        <v>72125</v>
      </c>
    </row>
    <row r="114" spans="1:17" ht="14.1" customHeight="1" x14ac:dyDescent="0.2">
      <c r="A114" s="341"/>
      <c r="B114" s="341"/>
      <c r="C114" s="363"/>
      <c r="D114" s="547" t="s">
        <v>646</v>
      </c>
      <c r="E114" s="555">
        <v>1</v>
      </c>
      <c r="F114" s="407">
        <v>131509</v>
      </c>
      <c r="G114" s="359"/>
      <c r="H114" s="359"/>
      <c r="I114" s="359"/>
      <c r="J114" s="359"/>
      <c r="K114" s="82">
        <f>16250+táj2!K114</f>
        <v>16250</v>
      </c>
      <c r="L114" s="359"/>
      <c r="M114" s="359"/>
      <c r="N114" s="359"/>
      <c r="O114" s="359"/>
      <c r="P114" s="359"/>
      <c r="Q114" s="82">
        <f>SUM(G114:P114)</f>
        <v>16250</v>
      </c>
    </row>
    <row r="115" spans="1:17" ht="14.1" customHeight="1" x14ac:dyDescent="0.2">
      <c r="A115" s="341"/>
      <c r="B115" s="341"/>
      <c r="C115" s="409"/>
      <c r="D115" s="547" t="s">
        <v>974</v>
      </c>
      <c r="E115" s="555">
        <v>1</v>
      </c>
      <c r="F115" s="407">
        <v>131513</v>
      </c>
      <c r="G115" s="411"/>
      <c r="H115" s="411"/>
      <c r="I115" s="411"/>
      <c r="J115" s="411"/>
      <c r="K115" s="82">
        <f>150000+táj2!K115</f>
        <v>150000</v>
      </c>
      <c r="L115" s="411"/>
      <c r="M115" s="411"/>
      <c r="N115" s="411"/>
      <c r="O115" s="411"/>
      <c r="P115" s="411"/>
      <c r="Q115" s="82">
        <f>SUM(G115:P115)</f>
        <v>150000</v>
      </c>
    </row>
    <row r="116" spans="1:17" ht="14.1" customHeight="1" x14ac:dyDescent="0.2">
      <c r="A116" s="102"/>
      <c r="B116" s="102"/>
      <c r="C116" s="118"/>
      <c r="D116" s="558" t="s">
        <v>334</v>
      </c>
      <c r="E116" s="559"/>
      <c r="F116" s="560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</row>
    <row r="117" spans="1:17" ht="14.1" customHeight="1" x14ac:dyDescent="0.2">
      <c r="A117" s="102"/>
      <c r="B117" s="102"/>
      <c r="C117" s="118"/>
      <c r="D117" s="561" t="s">
        <v>335</v>
      </c>
      <c r="E117" s="552"/>
      <c r="F117" s="553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</row>
    <row r="118" spans="1:17" ht="14.1" customHeight="1" x14ac:dyDescent="0.2">
      <c r="A118" s="102"/>
      <c r="B118" s="102"/>
      <c r="C118" s="118"/>
      <c r="D118" s="561" t="s">
        <v>336</v>
      </c>
      <c r="E118" s="553">
        <v>1</v>
      </c>
      <c r="F118" s="411">
        <v>131703</v>
      </c>
      <c r="G118" s="82"/>
      <c r="H118" s="82"/>
      <c r="I118" s="82">
        <f>15750+táj2!I118</f>
        <v>15750</v>
      </c>
      <c r="J118" s="82"/>
      <c r="K118" s="82"/>
      <c r="L118" s="82"/>
      <c r="M118" s="82"/>
      <c r="N118" s="82"/>
      <c r="O118" s="82"/>
      <c r="P118" s="82"/>
      <c r="Q118" s="82">
        <f>SUM(G118:P118)</f>
        <v>15750</v>
      </c>
    </row>
    <row r="119" spans="1:17" ht="15" customHeight="1" x14ac:dyDescent="0.2">
      <c r="A119" s="102"/>
      <c r="B119" s="102"/>
      <c r="C119" s="118"/>
      <c r="D119" s="562" t="s">
        <v>879</v>
      </c>
      <c r="E119" s="553">
        <v>2</v>
      </c>
      <c r="F119" s="411">
        <v>131720</v>
      </c>
      <c r="G119" s="82"/>
      <c r="H119" s="82"/>
      <c r="I119" s="82"/>
      <c r="J119" s="82"/>
      <c r="K119" s="82">
        <f>500+táj2!K119</f>
        <v>500</v>
      </c>
      <c r="L119" s="82"/>
      <c r="M119" s="82"/>
      <c r="N119" s="82"/>
      <c r="O119" s="82"/>
      <c r="P119" s="82"/>
      <c r="Q119" s="82">
        <f>SUM(G119:P119)</f>
        <v>500</v>
      </c>
    </row>
    <row r="120" spans="1:17" ht="14.45" customHeight="1" x14ac:dyDescent="0.2">
      <c r="A120" s="102"/>
      <c r="B120" s="102"/>
      <c r="C120" s="118"/>
      <c r="D120" s="563" t="s">
        <v>337</v>
      </c>
      <c r="E120" s="553">
        <v>1</v>
      </c>
      <c r="F120" s="411">
        <v>121319</v>
      </c>
      <c r="G120" s="82"/>
      <c r="H120" s="82"/>
      <c r="I120" s="82"/>
      <c r="J120" s="82"/>
      <c r="K120" s="82">
        <f>7518+táj2!K120</f>
        <v>10584</v>
      </c>
      <c r="L120" s="82"/>
      <c r="M120" s="82"/>
      <c r="N120" s="82"/>
      <c r="O120" s="82"/>
      <c r="P120" s="82"/>
      <c r="Q120" s="82">
        <f t="shared" ref="Q120:Q122" si="9">SUM(G120:P120)</f>
        <v>10584</v>
      </c>
    </row>
    <row r="121" spans="1:17" ht="27" customHeight="1" x14ac:dyDescent="0.2">
      <c r="A121" s="102"/>
      <c r="B121" s="102"/>
      <c r="C121" s="118"/>
      <c r="D121" s="564" t="s">
        <v>338</v>
      </c>
      <c r="E121" s="401"/>
      <c r="F121" s="411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</row>
    <row r="122" spans="1:17" ht="15" customHeight="1" x14ac:dyDescent="0.2">
      <c r="A122" s="102"/>
      <c r="B122" s="102"/>
      <c r="C122" s="118"/>
      <c r="D122" s="564" t="s">
        <v>339</v>
      </c>
      <c r="E122" s="411">
        <v>2</v>
      </c>
      <c r="F122" s="411">
        <v>131506</v>
      </c>
      <c r="G122" s="82">
        <f>1800+táj2!G122</f>
        <v>1800</v>
      </c>
      <c r="H122" s="82">
        <f>565+táj2!H122</f>
        <v>565</v>
      </c>
      <c r="I122" s="82">
        <f>1090+táj2!I122</f>
        <v>1090</v>
      </c>
      <c r="J122" s="82"/>
      <c r="K122" s="82"/>
      <c r="L122" s="82"/>
      <c r="M122" s="82"/>
      <c r="N122" s="82"/>
      <c r="O122" s="82"/>
      <c r="P122" s="82"/>
      <c r="Q122" s="82">
        <f t="shared" si="9"/>
        <v>3455</v>
      </c>
    </row>
    <row r="123" spans="1:17" ht="15" customHeight="1" x14ac:dyDescent="0.2">
      <c r="A123" s="102"/>
      <c r="B123" s="102"/>
      <c r="C123" s="118"/>
      <c r="D123" s="544" t="s">
        <v>340</v>
      </c>
      <c r="E123" s="401"/>
      <c r="F123" s="411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</row>
    <row r="124" spans="1:17" ht="15" customHeight="1" x14ac:dyDescent="0.2">
      <c r="A124" s="102"/>
      <c r="B124" s="102"/>
      <c r="C124" s="118"/>
      <c r="D124" s="544" t="s">
        <v>637</v>
      </c>
      <c r="E124" s="411">
        <v>2</v>
      </c>
      <c r="F124" s="411">
        <v>131707</v>
      </c>
      <c r="G124" s="82"/>
      <c r="H124" s="82"/>
      <c r="I124" s="82"/>
      <c r="J124" s="82"/>
      <c r="K124" s="82">
        <f>11500+táj2!K124</f>
        <v>11500</v>
      </c>
      <c r="L124" s="82"/>
      <c r="M124" s="82"/>
      <c r="N124" s="82"/>
      <c r="O124" s="82"/>
      <c r="P124" s="82"/>
      <c r="Q124" s="82">
        <f>SUM(G124:P124)</f>
        <v>11500</v>
      </c>
    </row>
    <row r="125" spans="1:17" ht="15" customHeight="1" x14ac:dyDescent="0.2">
      <c r="A125" s="476"/>
      <c r="B125" s="476"/>
      <c r="C125" s="477"/>
      <c r="D125" s="544" t="s">
        <v>341</v>
      </c>
      <c r="E125" s="411">
        <v>2</v>
      </c>
      <c r="F125" s="411">
        <v>131713</v>
      </c>
      <c r="G125" s="475"/>
      <c r="H125" s="475"/>
      <c r="I125" s="475"/>
      <c r="J125" s="475"/>
      <c r="K125" s="82">
        <f>3000+táj2!K125</f>
        <v>3000</v>
      </c>
      <c r="L125" s="475"/>
      <c r="M125" s="475"/>
      <c r="N125" s="475"/>
      <c r="O125" s="475"/>
      <c r="P125" s="475"/>
      <c r="Q125" s="475">
        <f>SUM(G125:P125)</f>
        <v>3000</v>
      </c>
    </row>
    <row r="126" spans="1:17" ht="16.5" customHeight="1" x14ac:dyDescent="0.2">
      <c r="A126" s="102"/>
      <c r="B126" s="102"/>
      <c r="C126" s="118"/>
      <c r="D126" s="546" t="s">
        <v>288</v>
      </c>
      <c r="E126" s="554"/>
      <c r="F126" s="406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475"/>
    </row>
    <row r="127" spans="1:17" ht="15" customHeight="1" x14ac:dyDescent="0.2">
      <c r="A127" s="102"/>
      <c r="B127" s="102"/>
      <c r="C127" s="118"/>
      <c r="D127" s="544" t="s">
        <v>342</v>
      </c>
      <c r="E127" s="553">
        <v>2</v>
      </c>
      <c r="F127" s="411">
        <v>131706</v>
      </c>
      <c r="G127" s="82">
        <f>820+táj2!G127</f>
        <v>820</v>
      </c>
      <c r="H127" s="82">
        <f>100+táj2!H127</f>
        <v>159</v>
      </c>
      <c r="I127" s="82">
        <f>280+táj2!I127</f>
        <v>287</v>
      </c>
      <c r="J127" s="82"/>
      <c r="K127" s="82">
        <f>1800+táj2!K127</f>
        <v>1734</v>
      </c>
      <c r="L127" s="82"/>
      <c r="M127" s="82"/>
      <c r="N127" s="82"/>
      <c r="O127" s="82"/>
      <c r="P127" s="82"/>
      <c r="Q127" s="82">
        <f>SUM(G127:P127)</f>
        <v>3000</v>
      </c>
    </row>
    <row r="128" spans="1:17" ht="15" customHeight="1" x14ac:dyDescent="0.2">
      <c r="A128" s="102"/>
      <c r="B128" s="102"/>
      <c r="C128" s="118"/>
      <c r="D128" s="544" t="s">
        <v>880</v>
      </c>
      <c r="E128" s="553">
        <v>2</v>
      </c>
      <c r="F128" s="411">
        <v>131712</v>
      </c>
      <c r="G128" s="82"/>
      <c r="H128" s="82"/>
      <c r="I128" s="82">
        <f>2430+táj2!I128</f>
        <v>1650</v>
      </c>
      <c r="J128" s="82"/>
      <c r="K128" s="82"/>
      <c r="L128" s="82"/>
      <c r="M128" s="82"/>
      <c r="N128" s="82"/>
      <c r="O128" s="82"/>
      <c r="P128" s="82"/>
      <c r="Q128" s="82">
        <f>SUM(G128:P128)</f>
        <v>1650</v>
      </c>
    </row>
    <row r="129" spans="1:17" ht="15" customHeight="1" x14ac:dyDescent="0.2">
      <c r="A129" s="102"/>
      <c r="B129" s="102"/>
      <c r="C129" s="118"/>
      <c r="D129" s="546" t="s">
        <v>343</v>
      </c>
      <c r="E129" s="553">
        <v>2</v>
      </c>
      <c r="F129" s="411">
        <v>131714</v>
      </c>
      <c r="G129" s="82"/>
      <c r="H129" s="82"/>
      <c r="I129" s="82"/>
      <c r="J129" s="82"/>
      <c r="K129" s="82">
        <f>410+táj2!K129</f>
        <v>410</v>
      </c>
      <c r="L129" s="82"/>
      <c r="M129" s="82"/>
      <c r="N129" s="82"/>
      <c r="O129" s="82"/>
      <c r="P129" s="82"/>
      <c r="Q129" s="82">
        <f>SUM(G129:P129)</f>
        <v>410</v>
      </c>
    </row>
    <row r="130" spans="1:17" ht="15" customHeight="1" x14ac:dyDescent="0.2">
      <c r="A130" s="102"/>
      <c r="B130" s="102"/>
      <c r="C130" s="118"/>
      <c r="D130" s="544" t="s">
        <v>324</v>
      </c>
      <c r="E130" s="552"/>
      <c r="F130" s="411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</row>
    <row r="131" spans="1:17" ht="15" customHeight="1" x14ac:dyDescent="0.2">
      <c r="A131" s="102"/>
      <c r="B131" s="102"/>
      <c r="C131" s="118"/>
      <c r="D131" s="544" t="s">
        <v>344</v>
      </c>
      <c r="E131" s="553">
        <v>2</v>
      </c>
      <c r="F131" s="411">
        <v>128901</v>
      </c>
      <c r="G131" s="82"/>
      <c r="H131" s="82"/>
      <c r="I131" s="82"/>
      <c r="J131" s="82"/>
      <c r="K131" s="82">
        <f>670+táj2!K131</f>
        <v>670</v>
      </c>
      <c r="L131" s="82"/>
      <c r="M131" s="82"/>
      <c r="N131" s="82">
        <f>80+táj2!N131</f>
        <v>80</v>
      </c>
      <c r="O131" s="82"/>
      <c r="P131" s="82"/>
      <c r="Q131" s="82">
        <f>SUM(G131:P131)</f>
        <v>750</v>
      </c>
    </row>
    <row r="132" spans="1:17" ht="15" customHeight="1" x14ac:dyDescent="0.2">
      <c r="A132" s="285"/>
      <c r="B132" s="285"/>
      <c r="C132" s="286"/>
      <c r="D132" s="544" t="s">
        <v>583</v>
      </c>
      <c r="E132" s="401"/>
      <c r="F132" s="411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</row>
    <row r="133" spans="1:17" ht="15" customHeight="1" x14ac:dyDescent="0.2">
      <c r="A133" s="285"/>
      <c r="B133" s="285"/>
      <c r="C133" s="286"/>
      <c r="D133" s="544" t="s">
        <v>584</v>
      </c>
      <c r="E133" s="411">
        <v>2</v>
      </c>
      <c r="F133" s="411">
        <v>191401</v>
      </c>
      <c r="G133" s="82"/>
      <c r="H133" s="82"/>
      <c r="I133" s="82"/>
      <c r="J133" s="82"/>
      <c r="K133" s="82">
        <f>6000+táj2!K133</f>
        <v>6000</v>
      </c>
      <c r="L133" s="82"/>
      <c r="M133" s="82"/>
      <c r="N133" s="82"/>
      <c r="O133" s="82"/>
      <c r="P133" s="82"/>
      <c r="Q133" s="82">
        <f>SUM(G133:P133)</f>
        <v>6000</v>
      </c>
    </row>
    <row r="134" spans="1:17" ht="15" customHeight="1" x14ac:dyDescent="0.2">
      <c r="A134" s="102"/>
      <c r="B134" s="102"/>
      <c r="C134" s="118"/>
      <c r="D134" s="544" t="s">
        <v>881</v>
      </c>
      <c r="E134" s="411">
        <v>2</v>
      </c>
      <c r="F134" s="411">
        <v>131721</v>
      </c>
      <c r="G134" s="82">
        <f>0+táj2!G134</f>
        <v>812</v>
      </c>
      <c r="H134" s="82">
        <f>0+táj2!H134</f>
        <v>238</v>
      </c>
      <c r="I134" s="82">
        <f>4028+táj2!I134</f>
        <v>6135</v>
      </c>
      <c r="J134" s="82"/>
      <c r="K134" s="82">
        <f>972+táj2!K134</f>
        <v>1250</v>
      </c>
      <c r="L134" s="82"/>
      <c r="M134" s="82"/>
      <c r="N134" s="82"/>
      <c r="O134" s="82"/>
      <c r="P134" s="82"/>
      <c r="Q134" s="82">
        <f>SUM(G134:P134)</f>
        <v>8435</v>
      </c>
    </row>
    <row r="135" spans="1:17" ht="15" customHeight="1" x14ac:dyDescent="0.2">
      <c r="A135" s="102"/>
      <c r="B135" s="102"/>
      <c r="C135" s="118"/>
      <c r="D135" s="558" t="s">
        <v>345</v>
      </c>
      <c r="E135" s="401"/>
      <c r="F135" s="411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</row>
    <row r="136" spans="1:17" ht="15" customHeight="1" x14ac:dyDescent="0.2">
      <c r="A136" s="102"/>
      <c r="B136" s="102"/>
      <c r="C136" s="118"/>
      <c r="D136" s="563" t="s">
        <v>346</v>
      </c>
      <c r="E136" s="552"/>
      <c r="F136" s="553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</row>
    <row r="137" spans="1:17" ht="15" customHeight="1" x14ac:dyDescent="0.2">
      <c r="A137" s="102"/>
      <c r="B137" s="102"/>
      <c r="C137" s="118"/>
      <c r="D137" s="544" t="s">
        <v>882</v>
      </c>
      <c r="E137" s="411">
        <v>2</v>
      </c>
      <c r="F137" s="411">
        <v>131803</v>
      </c>
      <c r="G137" s="82"/>
      <c r="H137" s="82"/>
      <c r="I137" s="82"/>
      <c r="J137" s="82"/>
      <c r="K137" s="82">
        <f>165000+táj2!K137</f>
        <v>165000</v>
      </c>
      <c r="L137" s="82"/>
      <c r="M137" s="82"/>
      <c r="N137" s="82"/>
      <c r="O137" s="82"/>
      <c r="P137" s="82"/>
      <c r="Q137" s="82">
        <f>SUM(G137:P137)</f>
        <v>165000</v>
      </c>
    </row>
    <row r="138" spans="1:17" ht="15" customHeight="1" x14ac:dyDescent="0.2">
      <c r="A138" s="102"/>
      <c r="B138" s="102"/>
      <c r="C138" s="118"/>
      <c r="D138" s="544" t="s">
        <v>347</v>
      </c>
      <c r="E138" s="411">
        <v>2</v>
      </c>
      <c r="F138" s="411">
        <v>131804</v>
      </c>
      <c r="G138" s="82"/>
      <c r="H138" s="82"/>
      <c r="I138" s="82"/>
      <c r="J138" s="82"/>
      <c r="K138" s="82">
        <f>216000+táj2!K138</f>
        <v>259000</v>
      </c>
      <c r="L138" s="82"/>
      <c r="M138" s="82"/>
      <c r="N138" s="82"/>
      <c r="O138" s="82"/>
      <c r="P138" s="82"/>
      <c r="Q138" s="82">
        <f>SUM(G138:P138)</f>
        <v>259000</v>
      </c>
    </row>
    <row r="139" spans="1:17" ht="15" customHeight="1" x14ac:dyDescent="0.2">
      <c r="A139" s="102"/>
      <c r="B139" s="102"/>
      <c r="C139" s="118"/>
      <c r="D139" s="544" t="s">
        <v>348</v>
      </c>
      <c r="E139" s="411">
        <v>2</v>
      </c>
      <c r="F139" s="411">
        <v>131805</v>
      </c>
      <c r="G139" s="82"/>
      <c r="H139" s="82"/>
      <c r="I139" s="82"/>
      <c r="J139" s="82"/>
      <c r="K139" s="82">
        <f>5000+táj2!K139</f>
        <v>5000</v>
      </c>
      <c r="L139" s="82"/>
      <c r="M139" s="82"/>
      <c r="N139" s="82"/>
      <c r="O139" s="82"/>
      <c r="P139" s="82"/>
      <c r="Q139" s="82">
        <f>SUM(G139:P139)</f>
        <v>5000</v>
      </c>
    </row>
    <row r="140" spans="1:17" ht="15" customHeight="1" x14ac:dyDescent="0.2">
      <c r="A140" s="102"/>
      <c r="B140" s="102"/>
      <c r="C140" s="118"/>
      <c r="D140" s="563" t="s">
        <v>349</v>
      </c>
      <c r="E140" s="552"/>
      <c r="F140" s="553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</row>
    <row r="141" spans="1:17" ht="15" customHeight="1" x14ac:dyDescent="0.2">
      <c r="A141" s="102"/>
      <c r="B141" s="102"/>
      <c r="C141" s="118"/>
      <c r="D141" s="544" t="s">
        <v>350</v>
      </c>
      <c r="E141" s="553">
        <v>1</v>
      </c>
      <c r="F141" s="411">
        <v>131808</v>
      </c>
      <c r="G141" s="82">
        <f>217+táj2!G141</f>
        <v>217</v>
      </c>
      <c r="H141" s="82">
        <f>45+táj2!H141</f>
        <v>45</v>
      </c>
      <c r="I141" s="82">
        <f>778+táj2!I141</f>
        <v>1641</v>
      </c>
      <c r="J141" s="82"/>
      <c r="K141" s="82"/>
      <c r="L141" s="82"/>
      <c r="M141" s="82"/>
      <c r="N141" s="82"/>
      <c r="O141" s="82"/>
      <c r="P141" s="82"/>
      <c r="Q141" s="82">
        <f>SUM(G141:P141)</f>
        <v>1903</v>
      </c>
    </row>
    <row r="142" spans="1:17" ht="15" customHeight="1" x14ac:dyDescent="0.2">
      <c r="A142" s="102"/>
      <c r="B142" s="102"/>
      <c r="C142" s="118"/>
      <c r="D142" s="544" t="s">
        <v>351</v>
      </c>
      <c r="E142" s="411">
        <v>1</v>
      </c>
      <c r="F142" s="411">
        <v>131807</v>
      </c>
      <c r="G142" s="82">
        <f>250+táj2!G142</f>
        <v>201</v>
      </c>
      <c r="H142" s="82">
        <f>70+táj2!H142</f>
        <v>70</v>
      </c>
      <c r="I142" s="82">
        <f>280+táj2!I142</f>
        <v>329</v>
      </c>
      <c r="J142" s="82"/>
      <c r="K142" s="82">
        <f>200+táj2!K142</f>
        <v>200</v>
      </c>
      <c r="L142" s="82"/>
      <c r="M142" s="82"/>
      <c r="N142" s="82"/>
      <c r="O142" s="82"/>
      <c r="P142" s="82"/>
      <c r="Q142" s="82">
        <f>SUM(G142:P142)</f>
        <v>800</v>
      </c>
    </row>
    <row r="143" spans="1:17" ht="15" customHeight="1" x14ac:dyDescent="0.2">
      <c r="A143" s="102"/>
      <c r="B143" s="102"/>
      <c r="C143" s="118"/>
      <c r="D143" s="544" t="s">
        <v>352</v>
      </c>
      <c r="E143" s="553">
        <v>1</v>
      </c>
      <c r="F143" s="411">
        <v>131809</v>
      </c>
      <c r="G143" s="82"/>
      <c r="H143" s="82"/>
      <c r="I143" s="82"/>
      <c r="J143" s="82"/>
      <c r="K143" s="82">
        <f>400+táj2!K143</f>
        <v>400</v>
      </c>
      <c r="L143" s="82"/>
      <c r="M143" s="82"/>
      <c r="N143" s="82"/>
      <c r="O143" s="82"/>
      <c r="P143" s="82"/>
      <c r="Q143" s="82">
        <f>SUM(G143:P143)</f>
        <v>400</v>
      </c>
    </row>
    <row r="144" spans="1:17" ht="15" customHeight="1" x14ac:dyDescent="0.2">
      <c r="A144" s="102"/>
      <c r="B144" s="102"/>
      <c r="C144" s="118"/>
      <c r="D144" s="544" t="s">
        <v>883</v>
      </c>
      <c r="E144" s="553">
        <v>2</v>
      </c>
      <c r="F144" s="411">
        <v>131866</v>
      </c>
      <c r="G144" s="82"/>
      <c r="H144" s="82"/>
      <c r="I144" s="82"/>
      <c r="J144" s="82"/>
      <c r="K144" s="82">
        <f>2000+táj2!K144</f>
        <v>2000</v>
      </c>
      <c r="L144" s="82"/>
      <c r="M144" s="82"/>
      <c r="N144" s="82"/>
      <c r="O144" s="82"/>
      <c r="P144" s="82"/>
      <c r="Q144" s="82">
        <f>SUM(G144:P144)</f>
        <v>2000</v>
      </c>
    </row>
    <row r="145" spans="1:17" ht="15" customHeight="1" x14ac:dyDescent="0.2">
      <c r="A145" s="102"/>
      <c r="B145" s="102"/>
      <c r="C145" s="118"/>
      <c r="D145" s="563" t="s">
        <v>353</v>
      </c>
      <c r="E145" s="552"/>
      <c r="F145" s="553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</row>
    <row r="146" spans="1:17" ht="15" customHeight="1" x14ac:dyDescent="0.2">
      <c r="A146" s="102"/>
      <c r="B146" s="102"/>
      <c r="C146" s="118"/>
      <c r="D146" s="544" t="s">
        <v>354</v>
      </c>
      <c r="E146" s="411">
        <v>1</v>
      </c>
      <c r="F146" s="411">
        <v>131811</v>
      </c>
      <c r="G146" s="82"/>
      <c r="H146" s="82"/>
      <c r="I146" s="82"/>
      <c r="J146" s="82"/>
      <c r="K146" s="82">
        <f>7000+táj2!K146</f>
        <v>7000</v>
      </c>
      <c r="L146" s="82"/>
      <c r="M146" s="82"/>
      <c r="N146" s="82"/>
      <c r="O146" s="82"/>
      <c r="P146" s="82"/>
      <c r="Q146" s="82">
        <f t="shared" ref="Q146:Q178" si="10">SUM(G146:P146)</f>
        <v>7000</v>
      </c>
    </row>
    <row r="147" spans="1:17" ht="15" customHeight="1" x14ac:dyDescent="0.2">
      <c r="A147" s="102"/>
      <c r="B147" s="102"/>
      <c r="C147" s="118"/>
      <c r="D147" s="544" t="s">
        <v>355</v>
      </c>
      <c r="E147" s="411">
        <v>1</v>
      </c>
      <c r="F147" s="411">
        <v>131812</v>
      </c>
      <c r="G147" s="82"/>
      <c r="H147" s="82"/>
      <c r="I147" s="82"/>
      <c r="J147" s="82"/>
      <c r="K147" s="82">
        <f>5000+táj2!K147</f>
        <v>5000</v>
      </c>
      <c r="L147" s="82"/>
      <c r="M147" s="82"/>
      <c r="N147" s="82"/>
      <c r="O147" s="82"/>
      <c r="P147" s="82"/>
      <c r="Q147" s="82">
        <f t="shared" si="10"/>
        <v>5000</v>
      </c>
    </row>
    <row r="148" spans="1:17" ht="15" customHeight="1" x14ac:dyDescent="0.2">
      <c r="A148" s="102"/>
      <c r="B148" s="102"/>
      <c r="C148" s="118"/>
      <c r="D148" s="544" t="s">
        <v>356</v>
      </c>
      <c r="E148" s="411">
        <v>1</v>
      </c>
      <c r="F148" s="411">
        <v>131813</v>
      </c>
      <c r="G148" s="82"/>
      <c r="H148" s="82"/>
      <c r="I148" s="82"/>
      <c r="J148" s="82"/>
      <c r="K148" s="82">
        <f>1600+táj2!K148</f>
        <v>1600</v>
      </c>
      <c r="L148" s="82"/>
      <c r="M148" s="82"/>
      <c r="N148" s="82">
        <f>0+táj2!N148</f>
        <v>540</v>
      </c>
      <c r="O148" s="82"/>
      <c r="P148" s="82"/>
      <c r="Q148" s="82">
        <f t="shared" si="10"/>
        <v>2140</v>
      </c>
    </row>
    <row r="149" spans="1:17" ht="15" customHeight="1" x14ac:dyDescent="0.2">
      <c r="A149" s="102"/>
      <c r="B149" s="102"/>
      <c r="C149" s="118"/>
      <c r="D149" s="544" t="s">
        <v>357</v>
      </c>
      <c r="E149" s="411">
        <v>1</v>
      </c>
      <c r="F149" s="411">
        <v>131816</v>
      </c>
      <c r="G149" s="82"/>
      <c r="H149" s="82"/>
      <c r="I149" s="82"/>
      <c r="J149" s="82"/>
      <c r="K149" s="82">
        <f>1800+táj2!K149</f>
        <v>1800</v>
      </c>
      <c r="L149" s="82"/>
      <c r="M149" s="82"/>
      <c r="N149" s="82"/>
      <c r="O149" s="82"/>
      <c r="P149" s="82"/>
      <c r="Q149" s="82">
        <f t="shared" si="10"/>
        <v>1800</v>
      </c>
    </row>
    <row r="150" spans="1:17" ht="15" customHeight="1" x14ac:dyDescent="0.2">
      <c r="A150" s="102"/>
      <c r="B150" s="102"/>
      <c r="C150" s="118"/>
      <c r="D150" s="544" t="s">
        <v>358</v>
      </c>
      <c r="E150" s="411">
        <v>1</v>
      </c>
      <c r="F150" s="411">
        <v>131817</v>
      </c>
      <c r="G150" s="82"/>
      <c r="H150" s="82"/>
      <c r="I150" s="82"/>
      <c r="J150" s="82"/>
      <c r="K150" s="82">
        <f>500+táj2!K150</f>
        <v>500</v>
      </c>
      <c r="L150" s="82"/>
      <c r="M150" s="82"/>
      <c r="N150" s="82"/>
      <c r="O150" s="82"/>
      <c r="P150" s="82"/>
      <c r="Q150" s="82">
        <f t="shared" si="10"/>
        <v>500</v>
      </c>
    </row>
    <row r="151" spans="1:17" ht="15" customHeight="1" x14ac:dyDescent="0.2">
      <c r="A151" s="102"/>
      <c r="B151" s="102"/>
      <c r="C151" s="118"/>
      <c r="D151" s="544" t="s">
        <v>359</v>
      </c>
      <c r="E151" s="411">
        <v>1</v>
      </c>
      <c r="F151" s="411">
        <v>131818</v>
      </c>
      <c r="G151" s="82"/>
      <c r="H151" s="82"/>
      <c r="I151" s="82"/>
      <c r="J151" s="82"/>
      <c r="K151" s="82">
        <f>150+táj2!K151</f>
        <v>150</v>
      </c>
      <c r="L151" s="82"/>
      <c r="M151" s="82"/>
      <c r="N151" s="82"/>
      <c r="O151" s="82"/>
      <c r="P151" s="82"/>
      <c r="Q151" s="82">
        <f t="shared" si="10"/>
        <v>150</v>
      </c>
    </row>
    <row r="152" spans="1:17" ht="15" customHeight="1" x14ac:dyDescent="0.2">
      <c r="A152" s="102"/>
      <c r="B152" s="102"/>
      <c r="C152" s="118"/>
      <c r="D152" s="544" t="s">
        <v>360</v>
      </c>
      <c r="E152" s="411">
        <v>1</v>
      </c>
      <c r="F152" s="411">
        <v>131832</v>
      </c>
      <c r="G152" s="82"/>
      <c r="H152" s="82"/>
      <c r="I152" s="82"/>
      <c r="J152" s="82"/>
      <c r="K152" s="82">
        <f>50+táj2!K152</f>
        <v>50</v>
      </c>
      <c r="L152" s="82"/>
      <c r="M152" s="82"/>
      <c r="N152" s="82"/>
      <c r="O152" s="82"/>
      <c r="P152" s="82"/>
      <c r="Q152" s="82">
        <f t="shared" si="10"/>
        <v>50</v>
      </c>
    </row>
    <row r="153" spans="1:17" ht="15" customHeight="1" x14ac:dyDescent="0.2">
      <c r="A153" s="341"/>
      <c r="B153" s="341"/>
      <c r="C153" s="363"/>
      <c r="D153" s="544" t="s">
        <v>361</v>
      </c>
      <c r="E153" s="411">
        <v>1</v>
      </c>
      <c r="F153" s="411">
        <v>131820</v>
      </c>
      <c r="G153" s="82">
        <f>900+táj2!G153</f>
        <v>540</v>
      </c>
      <c r="H153" s="82">
        <f>287+táj2!H153</f>
        <v>287</v>
      </c>
      <c r="I153" s="82">
        <f>743+táj2!I153</f>
        <v>743</v>
      </c>
      <c r="J153" s="82"/>
      <c r="K153" s="82">
        <f>2265+táj2!K153</f>
        <v>1542</v>
      </c>
      <c r="L153" s="82"/>
      <c r="M153" s="82"/>
      <c r="N153" s="82">
        <f>131+táj2!N153</f>
        <v>391</v>
      </c>
      <c r="O153" s="359"/>
      <c r="P153" s="359"/>
      <c r="Q153" s="82">
        <f t="shared" si="10"/>
        <v>3503</v>
      </c>
    </row>
    <row r="154" spans="1:17" ht="15" customHeight="1" x14ac:dyDescent="0.2">
      <c r="A154" s="102"/>
      <c r="B154" s="102"/>
      <c r="C154" s="118"/>
      <c r="D154" s="544" t="s">
        <v>793</v>
      </c>
      <c r="E154" s="411">
        <v>2</v>
      </c>
      <c r="F154" s="411">
        <v>131854</v>
      </c>
      <c r="G154" s="82"/>
      <c r="H154" s="82"/>
      <c r="I154" s="82"/>
      <c r="J154" s="82"/>
      <c r="K154" s="82">
        <f>100+táj2!K154</f>
        <v>100</v>
      </c>
      <c r="L154" s="82"/>
      <c r="M154" s="82"/>
      <c r="N154" s="82"/>
      <c r="O154" s="82"/>
      <c r="P154" s="82"/>
      <c r="Q154" s="82">
        <f t="shared" si="10"/>
        <v>100</v>
      </c>
    </row>
    <row r="155" spans="1:17" ht="15" customHeight="1" x14ac:dyDescent="0.2">
      <c r="A155" s="102"/>
      <c r="B155" s="102"/>
      <c r="C155" s="118"/>
      <c r="D155" s="544" t="s">
        <v>884</v>
      </c>
      <c r="E155" s="411">
        <v>2</v>
      </c>
      <c r="F155" s="411">
        <v>131869</v>
      </c>
      <c r="G155" s="82"/>
      <c r="H155" s="82"/>
      <c r="I155" s="82"/>
      <c r="J155" s="82"/>
      <c r="K155" s="82">
        <f>2000+táj2!K155</f>
        <v>2000</v>
      </c>
      <c r="L155" s="82"/>
      <c r="M155" s="82"/>
      <c r="N155" s="82"/>
      <c r="O155" s="82"/>
      <c r="P155" s="82"/>
      <c r="Q155" s="82">
        <f t="shared" si="10"/>
        <v>2000</v>
      </c>
    </row>
    <row r="156" spans="1:17" ht="15" customHeight="1" x14ac:dyDescent="0.2">
      <c r="A156" s="102"/>
      <c r="B156" s="102"/>
      <c r="C156" s="118"/>
      <c r="D156" s="544" t="s">
        <v>362</v>
      </c>
      <c r="E156" s="401"/>
      <c r="F156" s="411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>
        <f t="shared" si="10"/>
        <v>0</v>
      </c>
    </row>
    <row r="157" spans="1:17" ht="15" customHeight="1" x14ac:dyDescent="0.2">
      <c r="A157" s="102"/>
      <c r="B157" s="102"/>
      <c r="C157" s="118"/>
      <c r="D157" s="544" t="s">
        <v>363</v>
      </c>
      <c r="E157" s="553">
        <v>2</v>
      </c>
      <c r="F157" s="411">
        <v>131821</v>
      </c>
      <c r="G157" s="82"/>
      <c r="H157" s="82"/>
      <c r="I157" s="82"/>
      <c r="J157" s="82"/>
      <c r="K157" s="82">
        <f>3000+táj2!K157</f>
        <v>3000</v>
      </c>
      <c r="L157" s="82"/>
      <c r="M157" s="82"/>
      <c r="N157" s="82"/>
      <c r="O157" s="82"/>
      <c r="P157" s="82"/>
      <c r="Q157" s="82">
        <f t="shared" si="10"/>
        <v>3000</v>
      </c>
    </row>
    <row r="158" spans="1:17" ht="15" customHeight="1" x14ac:dyDescent="0.2">
      <c r="A158" s="102"/>
      <c r="B158" s="102"/>
      <c r="C158" s="118"/>
      <c r="D158" s="544" t="s">
        <v>364</v>
      </c>
      <c r="E158" s="553">
        <v>2</v>
      </c>
      <c r="F158" s="411">
        <v>131822</v>
      </c>
      <c r="G158" s="82"/>
      <c r="H158" s="82"/>
      <c r="I158" s="82"/>
      <c r="J158" s="82"/>
      <c r="K158" s="82">
        <f>1500+táj2!K158</f>
        <v>1500</v>
      </c>
      <c r="L158" s="82"/>
      <c r="M158" s="82"/>
      <c r="N158" s="82"/>
      <c r="O158" s="82"/>
      <c r="P158" s="82"/>
      <c r="Q158" s="82">
        <f t="shared" si="10"/>
        <v>1500</v>
      </c>
    </row>
    <row r="159" spans="1:17" ht="15" customHeight="1" x14ac:dyDescent="0.2">
      <c r="A159" s="102"/>
      <c r="B159" s="102"/>
      <c r="C159" s="118"/>
      <c r="D159" s="565" t="s">
        <v>365</v>
      </c>
      <c r="E159" s="566">
        <v>2</v>
      </c>
      <c r="F159" s="411">
        <v>131823</v>
      </c>
      <c r="G159" s="82"/>
      <c r="H159" s="82"/>
      <c r="I159" s="82"/>
      <c r="J159" s="82"/>
      <c r="K159" s="82">
        <f>15000+táj2!K159</f>
        <v>15000</v>
      </c>
      <c r="L159" s="82"/>
      <c r="M159" s="82"/>
      <c r="N159" s="82"/>
      <c r="O159" s="82"/>
      <c r="P159" s="82"/>
      <c r="Q159" s="82">
        <f t="shared" si="10"/>
        <v>15000</v>
      </c>
    </row>
    <row r="160" spans="1:17" ht="15" customHeight="1" x14ac:dyDescent="0.2">
      <c r="A160" s="102"/>
      <c r="B160" s="102"/>
      <c r="C160" s="118"/>
      <c r="D160" s="565" t="s">
        <v>366</v>
      </c>
      <c r="E160" s="567">
        <v>2</v>
      </c>
      <c r="F160" s="411">
        <v>131824</v>
      </c>
      <c r="G160" s="82"/>
      <c r="H160" s="82"/>
      <c r="I160" s="82"/>
      <c r="J160" s="82"/>
      <c r="K160" s="82">
        <f>5000+táj2!K160</f>
        <v>6800</v>
      </c>
      <c r="L160" s="82"/>
      <c r="M160" s="82"/>
      <c r="N160" s="82"/>
      <c r="O160" s="82"/>
      <c r="P160" s="82"/>
      <c r="Q160" s="82">
        <f t="shared" si="10"/>
        <v>6800</v>
      </c>
    </row>
    <row r="161" spans="1:17" ht="15" customHeight="1" x14ac:dyDescent="0.2">
      <c r="A161" s="102"/>
      <c r="B161" s="102"/>
      <c r="C161" s="118"/>
      <c r="D161" s="565" t="s">
        <v>367</v>
      </c>
      <c r="E161" s="567">
        <v>2</v>
      </c>
      <c r="F161" s="568">
        <v>131833</v>
      </c>
      <c r="G161" s="82"/>
      <c r="H161" s="82"/>
      <c r="I161" s="82"/>
      <c r="J161" s="82"/>
      <c r="K161" s="82">
        <f>2500+táj2!K161</f>
        <v>2500</v>
      </c>
      <c r="L161" s="82"/>
      <c r="M161" s="82"/>
      <c r="N161" s="82"/>
      <c r="O161" s="82"/>
      <c r="P161" s="82"/>
      <c r="Q161" s="82">
        <f t="shared" si="10"/>
        <v>2500</v>
      </c>
    </row>
    <row r="162" spans="1:17" ht="15" customHeight="1" x14ac:dyDescent="0.2">
      <c r="A162" s="102"/>
      <c r="B162" s="102"/>
      <c r="C162" s="118"/>
      <c r="D162" s="565" t="s">
        <v>368</v>
      </c>
      <c r="E162" s="567">
        <v>2</v>
      </c>
      <c r="F162" s="568">
        <v>131834</v>
      </c>
      <c r="G162" s="82"/>
      <c r="H162" s="82"/>
      <c r="I162" s="82"/>
      <c r="J162" s="82"/>
      <c r="K162" s="82">
        <f>2000+táj2!K162</f>
        <v>2000</v>
      </c>
      <c r="L162" s="82"/>
      <c r="M162" s="82"/>
      <c r="N162" s="82"/>
      <c r="O162" s="82"/>
      <c r="P162" s="82"/>
      <c r="Q162" s="82">
        <f t="shared" si="10"/>
        <v>2000</v>
      </c>
    </row>
    <row r="163" spans="1:17" ht="15" customHeight="1" x14ac:dyDescent="0.2">
      <c r="A163" s="102"/>
      <c r="B163" s="102"/>
      <c r="C163" s="118"/>
      <c r="D163" s="565" t="s">
        <v>369</v>
      </c>
      <c r="E163" s="567">
        <v>2</v>
      </c>
      <c r="F163" s="568">
        <v>131836</v>
      </c>
      <c r="G163" s="82"/>
      <c r="H163" s="82"/>
      <c r="I163" s="82"/>
      <c r="J163" s="82"/>
      <c r="K163" s="82">
        <f>9000+táj2!K163</f>
        <v>9000</v>
      </c>
      <c r="L163" s="82"/>
      <c r="M163" s="82"/>
      <c r="N163" s="82"/>
      <c r="O163" s="82"/>
      <c r="P163" s="82"/>
      <c r="Q163" s="82">
        <f t="shared" si="10"/>
        <v>9000</v>
      </c>
    </row>
    <row r="164" spans="1:17" ht="15" customHeight="1" x14ac:dyDescent="0.2">
      <c r="A164" s="102"/>
      <c r="B164" s="102"/>
      <c r="C164" s="118"/>
      <c r="D164" s="565" t="s">
        <v>370</v>
      </c>
      <c r="E164" s="567">
        <v>2</v>
      </c>
      <c r="F164" s="568">
        <v>131837</v>
      </c>
      <c r="G164" s="82"/>
      <c r="H164" s="82"/>
      <c r="I164" s="82"/>
      <c r="J164" s="82"/>
      <c r="K164" s="82">
        <f>7000+táj2!K164</f>
        <v>8000</v>
      </c>
      <c r="L164" s="82"/>
      <c r="M164" s="82"/>
      <c r="N164" s="82"/>
      <c r="O164" s="82"/>
      <c r="P164" s="82"/>
      <c r="Q164" s="82">
        <f t="shared" si="10"/>
        <v>8000</v>
      </c>
    </row>
    <row r="165" spans="1:17" ht="15" customHeight="1" x14ac:dyDescent="0.2">
      <c r="A165" s="102"/>
      <c r="B165" s="102"/>
      <c r="C165" s="118"/>
      <c r="D165" s="565" t="s">
        <v>762</v>
      </c>
      <c r="E165" s="567">
        <v>2</v>
      </c>
      <c r="F165" s="568">
        <v>131838</v>
      </c>
      <c r="G165" s="82"/>
      <c r="H165" s="82"/>
      <c r="I165" s="82"/>
      <c r="J165" s="82"/>
      <c r="K165" s="82">
        <f>25000+táj2!K165</f>
        <v>25000</v>
      </c>
      <c r="L165" s="82"/>
      <c r="M165" s="82"/>
      <c r="N165" s="82"/>
      <c r="O165" s="82"/>
      <c r="P165" s="82"/>
      <c r="Q165" s="82">
        <f t="shared" si="10"/>
        <v>25000</v>
      </c>
    </row>
    <row r="166" spans="1:17" ht="15" customHeight="1" x14ac:dyDescent="0.2">
      <c r="A166" s="102"/>
      <c r="B166" s="102"/>
      <c r="C166" s="118"/>
      <c r="D166" s="565" t="s">
        <v>371</v>
      </c>
      <c r="E166" s="567">
        <v>2</v>
      </c>
      <c r="F166" s="568">
        <v>131840</v>
      </c>
      <c r="G166" s="82"/>
      <c r="H166" s="82"/>
      <c r="I166" s="82"/>
      <c r="J166" s="82"/>
      <c r="K166" s="82">
        <f>1000+táj2!K166</f>
        <v>1000</v>
      </c>
      <c r="L166" s="82"/>
      <c r="M166" s="82"/>
      <c r="N166" s="82"/>
      <c r="O166" s="82"/>
      <c r="P166" s="82"/>
      <c r="Q166" s="82">
        <f t="shared" si="10"/>
        <v>1000</v>
      </c>
    </row>
    <row r="167" spans="1:17" ht="15" customHeight="1" x14ac:dyDescent="0.2">
      <c r="A167" s="102"/>
      <c r="B167" s="102"/>
      <c r="C167" s="102"/>
      <c r="D167" s="565" t="s">
        <v>885</v>
      </c>
      <c r="E167" s="567">
        <v>2</v>
      </c>
      <c r="F167" s="568">
        <v>131841</v>
      </c>
      <c r="G167" s="82"/>
      <c r="H167" s="82"/>
      <c r="I167" s="82"/>
      <c r="J167" s="82"/>
      <c r="K167" s="82">
        <f>300+táj2!K167</f>
        <v>300</v>
      </c>
      <c r="L167" s="82"/>
      <c r="M167" s="82"/>
      <c r="N167" s="82"/>
      <c r="O167" s="82"/>
      <c r="P167" s="82"/>
      <c r="Q167" s="82">
        <f t="shared" si="10"/>
        <v>300</v>
      </c>
    </row>
    <row r="168" spans="1:17" ht="15" customHeight="1" x14ac:dyDescent="0.2">
      <c r="A168" s="102"/>
      <c r="B168" s="102"/>
      <c r="C168" s="102"/>
      <c r="D168" s="565" t="s">
        <v>372</v>
      </c>
      <c r="E168" s="567">
        <v>2</v>
      </c>
      <c r="F168" s="568">
        <v>131843</v>
      </c>
      <c r="G168" s="82"/>
      <c r="H168" s="82"/>
      <c r="I168" s="82"/>
      <c r="J168" s="82"/>
      <c r="K168" s="82">
        <f>1000+táj2!K168</f>
        <v>1000</v>
      </c>
      <c r="L168" s="82"/>
      <c r="M168" s="82"/>
      <c r="N168" s="82"/>
      <c r="O168" s="82"/>
      <c r="P168" s="82"/>
      <c r="Q168" s="82">
        <f t="shared" si="10"/>
        <v>1000</v>
      </c>
    </row>
    <row r="169" spans="1:17" ht="15" customHeight="1" x14ac:dyDescent="0.2">
      <c r="A169" s="102"/>
      <c r="B169" s="102"/>
      <c r="C169" s="102"/>
      <c r="D169" s="411" t="s">
        <v>373</v>
      </c>
      <c r="E169" s="567">
        <v>2</v>
      </c>
      <c r="F169" s="568">
        <v>131847</v>
      </c>
      <c r="G169" s="82"/>
      <c r="H169" s="82"/>
      <c r="I169" s="82"/>
      <c r="J169" s="82"/>
      <c r="K169" s="82">
        <f>3000+táj2!K169</f>
        <v>3000</v>
      </c>
      <c r="L169" s="82"/>
      <c r="M169" s="82"/>
      <c r="N169" s="82"/>
      <c r="O169" s="82"/>
      <c r="P169" s="82"/>
      <c r="Q169" s="82">
        <f t="shared" si="10"/>
        <v>3000</v>
      </c>
    </row>
    <row r="170" spans="1:17" ht="15" customHeight="1" x14ac:dyDescent="0.2">
      <c r="A170" s="102"/>
      <c r="B170" s="102"/>
      <c r="C170" s="102"/>
      <c r="D170" s="569" t="s">
        <v>374</v>
      </c>
      <c r="E170" s="567">
        <v>2</v>
      </c>
      <c r="F170" s="568">
        <v>131848</v>
      </c>
      <c r="G170" s="82"/>
      <c r="H170" s="82"/>
      <c r="I170" s="82"/>
      <c r="J170" s="82"/>
      <c r="K170" s="82">
        <f>500+táj2!K170</f>
        <v>500</v>
      </c>
      <c r="L170" s="82"/>
      <c r="M170" s="82"/>
      <c r="N170" s="82"/>
      <c r="O170" s="82"/>
      <c r="P170" s="82"/>
      <c r="Q170" s="82">
        <f t="shared" si="10"/>
        <v>500</v>
      </c>
    </row>
    <row r="171" spans="1:17" ht="15" customHeight="1" x14ac:dyDescent="0.2">
      <c r="A171" s="341"/>
      <c r="B171" s="341"/>
      <c r="C171" s="341"/>
      <c r="D171" s="570" t="s">
        <v>375</v>
      </c>
      <c r="E171" s="446">
        <v>2</v>
      </c>
      <c r="F171" s="447">
        <v>131851</v>
      </c>
      <c r="G171" s="359"/>
      <c r="H171" s="359"/>
      <c r="I171" s="359"/>
      <c r="J171" s="359"/>
      <c r="K171" s="82">
        <f>500+táj2!K171</f>
        <v>500</v>
      </c>
      <c r="L171" s="359"/>
      <c r="M171" s="359"/>
      <c r="N171" s="359"/>
      <c r="O171" s="359"/>
      <c r="P171" s="359"/>
      <c r="Q171" s="82">
        <f t="shared" si="10"/>
        <v>500</v>
      </c>
    </row>
    <row r="172" spans="1:17" ht="15" customHeight="1" x14ac:dyDescent="0.2">
      <c r="A172" s="102"/>
      <c r="B172" s="102"/>
      <c r="C172" s="102"/>
      <c r="D172" s="359" t="s">
        <v>376</v>
      </c>
      <c r="E172" s="446">
        <v>2</v>
      </c>
      <c r="F172" s="447">
        <v>131852</v>
      </c>
      <c r="G172" s="82"/>
      <c r="H172" s="82"/>
      <c r="I172" s="82"/>
      <c r="J172" s="82"/>
      <c r="K172" s="82">
        <f>3000+táj2!K172</f>
        <v>3000</v>
      </c>
      <c r="L172" s="82"/>
      <c r="M172" s="82"/>
      <c r="N172" s="82"/>
      <c r="O172" s="82"/>
      <c r="P172" s="82"/>
      <c r="Q172" s="82">
        <f t="shared" si="10"/>
        <v>3000</v>
      </c>
    </row>
    <row r="173" spans="1:17" ht="24" customHeight="1" x14ac:dyDescent="0.2">
      <c r="A173" s="102"/>
      <c r="B173" s="102"/>
      <c r="C173" s="102"/>
      <c r="D173" s="571" t="s">
        <v>377</v>
      </c>
      <c r="E173" s="572">
        <v>2</v>
      </c>
      <c r="F173" s="368">
        <v>131862</v>
      </c>
      <c r="G173" s="82"/>
      <c r="H173" s="82"/>
      <c r="I173" s="82"/>
      <c r="J173" s="82"/>
      <c r="K173" s="82">
        <f>4000+táj2!K173</f>
        <v>4000</v>
      </c>
      <c r="L173" s="82"/>
      <c r="M173" s="82"/>
      <c r="N173" s="82"/>
      <c r="O173" s="82"/>
      <c r="P173" s="82"/>
      <c r="Q173" s="82">
        <f t="shared" si="10"/>
        <v>4000</v>
      </c>
    </row>
    <row r="174" spans="1:17" ht="15" customHeight="1" x14ac:dyDescent="0.2">
      <c r="A174" s="102"/>
      <c r="B174" s="102"/>
      <c r="C174" s="102"/>
      <c r="D174" s="573" t="s">
        <v>378</v>
      </c>
      <c r="E174" s="446">
        <v>2</v>
      </c>
      <c r="F174" s="447">
        <v>131859</v>
      </c>
      <c r="G174" s="82"/>
      <c r="H174" s="82"/>
      <c r="I174" s="82"/>
      <c r="J174" s="82"/>
      <c r="K174" s="82">
        <f>100+táj2!K174</f>
        <v>100</v>
      </c>
      <c r="L174" s="82"/>
      <c r="M174" s="82"/>
      <c r="N174" s="82"/>
      <c r="O174" s="82"/>
      <c r="P174" s="82"/>
      <c r="Q174" s="82">
        <f t="shared" si="10"/>
        <v>100</v>
      </c>
    </row>
    <row r="175" spans="1:17" ht="15" customHeight="1" x14ac:dyDescent="0.2">
      <c r="A175" s="102"/>
      <c r="B175" s="102"/>
      <c r="C175" s="102"/>
      <c r="D175" s="574" t="s">
        <v>379</v>
      </c>
      <c r="E175" s="567">
        <v>2</v>
      </c>
      <c r="F175" s="568">
        <v>131860</v>
      </c>
      <c r="G175" s="82"/>
      <c r="H175" s="82"/>
      <c r="I175" s="82"/>
      <c r="J175" s="82"/>
      <c r="K175" s="82">
        <f>100+táj2!K175</f>
        <v>100</v>
      </c>
      <c r="L175" s="82"/>
      <c r="M175" s="82"/>
      <c r="N175" s="82"/>
      <c r="O175" s="82"/>
      <c r="P175" s="82"/>
      <c r="Q175" s="82">
        <f t="shared" si="10"/>
        <v>100</v>
      </c>
    </row>
    <row r="176" spans="1:17" ht="15" customHeight="1" x14ac:dyDescent="0.2">
      <c r="A176" s="102"/>
      <c r="B176" s="102"/>
      <c r="C176" s="102"/>
      <c r="D176" s="574" t="s">
        <v>380</v>
      </c>
      <c r="E176" s="567">
        <v>2</v>
      </c>
      <c r="F176" s="568">
        <v>131861</v>
      </c>
      <c r="G176" s="82"/>
      <c r="H176" s="82"/>
      <c r="I176" s="82"/>
      <c r="J176" s="82"/>
      <c r="K176" s="82">
        <f>500+táj2!K176</f>
        <v>500</v>
      </c>
      <c r="L176" s="82"/>
      <c r="M176" s="82"/>
      <c r="N176" s="82"/>
      <c r="O176" s="82"/>
      <c r="P176" s="82"/>
      <c r="Q176" s="82">
        <f t="shared" si="10"/>
        <v>500</v>
      </c>
    </row>
    <row r="177" spans="1:17" ht="15" customHeight="1" x14ac:dyDescent="0.2">
      <c r="A177" s="341"/>
      <c r="B177" s="341"/>
      <c r="C177" s="341"/>
      <c r="D177" s="575" t="s">
        <v>886</v>
      </c>
      <c r="E177" s="567">
        <v>2</v>
      </c>
      <c r="F177" s="568">
        <v>131826</v>
      </c>
      <c r="G177" s="359"/>
      <c r="H177" s="359"/>
      <c r="I177" s="359"/>
      <c r="J177" s="359"/>
      <c r="K177" s="82">
        <f>1000+táj2!K177</f>
        <v>1000</v>
      </c>
      <c r="L177" s="359"/>
      <c r="M177" s="359"/>
      <c r="N177" s="359"/>
      <c r="O177" s="359"/>
      <c r="P177" s="359"/>
      <c r="Q177" s="82">
        <f t="shared" si="10"/>
        <v>1000</v>
      </c>
    </row>
    <row r="178" spans="1:17" ht="15" customHeight="1" x14ac:dyDescent="0.2">
      <c r="A178" s="102"/>
      <c r="B178" s="102"/>
      <c r="C178" s="102"/>
      <c r="D178" s="563" t="s">
        <v>381</v>
      </c>
      <c r="E178" s="553">
        <v>2</v>
      </c>
      <c r="F178" s="411">
        <v>131829</v>
      </c>
      <c r="G178" s="82">
        <f>250+táj2!G178</f>
        <v>950</v>
      </c>
      <c r="H178" s="82">
        <f>75+táj2!H178</f>
        <v>75</v>
      </c>
      <c r="I178" s="82">
        <f>400+táj2!I178</f>
        <v>400</v>
      </c>
      <c r="J178" s="82">
        <f>0+táj2!J178</f>
        <v>0</v>
      </c>
      <c r="K178" s="82">
        <f>2275+táj2!K178</f>
        <v>1575</v>
      </c>
      <c r="L178" s="82"/>
      <c r="M178" s="82"/>
      <c r="N178" s="82"/>
      <c r="O178" s="82"/>
      <c r="P178" s="82"/>
      <c r="Q178" s="82">
        <f t="shared" si="10"/>
        <v>3000</v>
      </c>
    </row>
    <row r="179" spans="1:17" ht="15" customHeight="1" x14ac:dyDescent="0.2">
      <c r="A179" s="102"/>
      <c r="B179" s="102"/>
      <c r="C179" s="118"/>
      <c r="D179" s="563" t="s">
        <v>794</v>
      </c>
      <c r="E179" s="553">
        <v>2</v>
      </c>
      <c r="F179" s="411">
        <v>131825</v>
      </c>
      <c r="G179" s="82"/>
      <c r="H179" s="82"/>
      <c r="I179" s="82"/>
      <c r="J179" s="82"/>
      <c r="K179" s="82">
        <f>1000+táj2!K179</f>
        <v>1000</v>
      </c>
      <c r="L179" s="82"/>
      <c r="M179" s="82"/>
      <c r="N179" s="82"/>
      <c r="O179" s="82"/>
      <c r="P179" s="82"/>
      <c r="Q179" s="82">
        <f>SUM(G179:P179)</f>
        <v>1000</v>
      </c>
    </row>
    <row r="180" spans="1:17" ht="15" customHeight="1" x14ac:dyDescent="0.2">
      <c r="A180" s="408"/>
      <c r="B180" s="408"/>
      <c r="C180" s="409"/>
      <c r="D180" s="544" t="s">
        <v>382</v>
      </c>
      <c r="E180" s="552"/>
      <c r="F180" s="411"/>
      <c r="G180" s="411"/>
      <c r="H180" s="411"/>
      <c r="I180" s="411"/>
      <c r="J180" s="411"/>
      <c r="K180" s="82"/>
      <c r="L180" s="411"/>
      <c r="M180" s="411"/>
      <c r="N180" s="411"/>
      <c r="O180" s="411"/>
      <c r="P180" s="411"/>
      <c r="Q180" s="411"/>
    </row>
    <row r="181" spans="1:17" ht="15" customHeight="1" x14ac:dyDescent="0.2">
      <c r="A181" s="102"/>
      <c r="B181" s="102"/>
      <c r="C181" s="118"/>
      <c r="D181" s="544" t="s">
        <v>383</v>
      </c>
      <c r="E181" s="553">
        <v>1</v>
      </c>
      <c r="F181" s="411">
        <v>131827</v>
      </c>
      <c r="G181" s="82"/>
      <c r="H181" s="82"/>
      <c r="I181" s="82">
        <f>8500+táj2!I181</f>
        <v>9000</v>
      </c>
      <c r="J181" s="82"/>
      <c r="K181" s="82">
        <f>35700+táj2!K181</f>
        <v>35200</v>
      </c>
      <c r="L181" s="82"/>
      <c r="M181" s="82"/>
      <c r="N181" s="82"/>
      <c r="O181" s="82"/>
      <c r="P181" s="82"/>
      <c r="Q181" s="82">
        <f>SUM(G181:P181)</f>
        <v>44200</v>
      </c>
    </row>
    <row r="182" spans="1:17" ht="15" customHeight="1" x14ac:dyDescent="0.2">
      <c r="A182" s="102"/>
      <c r="B182" s="102"/>
      <c r="C182" s="118"/>
      <c r="D182" s="576" t="s">
        <v>384</v>
      </c>
      <c r="E182" s="411">
        <v>2</v>
      </c>
      <c r="F182" s="411">
        <v>131844</v>
      </c>
      <c r="G182" s="82"/>
      <c r="H182" s="82"/>
      <c r="I182" s="82"/>
      <c r="J182" s="82"/>
      <c r="K182" s="82">
        <f>23200+táj2!K182</f>
        <v>20000</v>
      </c>
      <c r="L182" s="82"/>
      <c r="M182" s="82"/>
      <c r="N182" s="82"/>
      <c r="O182" s="82"/>
      <c r="P182" s="82"/>
      <c r="Q182" s="82">
        <f>SUM(G182:P182)</f>
        <v>20000</v>
      </c>
    </row>
    <row r="183" spans="1:17" ht="15" customHeight="1" x14ac:dyDescent="0.2">
      <c r="A183" s="102"/>
      <c r="B183" s="102"/>
      <c r="C183" s="118"/>
      <c r="D183" s="577" t="s">
        <v>711</v>
      </c>
      <c r="E183" s="410">
        <v>2</v>
      </c>
      <c r="F183" s="411">
        <v>221966</v>
      </c>
      <c r="G183" s="167"/>
      <c r="H183" s="167"/>
      <c r="I183" s="167"/>
      <c r="J183" s="167"/>
      <c r="K183" s="82">
        <f>127000+táj2!K183</f>
        <v>127000</v>
      </c>
      <c r="L183" s="167"/>
      <c r="M183" s="167"/>
      <c r="N183" s="167"/>
      <c r="O183" s="167"/>
      <c r="P183" s="167"/>
      <c r="Q183" s="158">
        <f>SUM(G183:P183)</f>
        <v>127000</v>
      </c>
    </row>
    <row r="184" spans="1:17" ht="15" customHeight="1" x14ac:dyDescent="0.2">
      <c r="A184" s="102"/>
      <c r="B184" s="102"/>
      <c r="C184" s="118"/>
      <c r="D184" s="544" t="s">
        <v>708</v>
      </c>
      <c r="E184" s="411">
        <v>2</v>
      </c>
      <c r="F184" s="411">
        <v>191801</v>
      </c>
      <c r="G184" s="82"/>
      <c r="H184" s="82"/>
      <c r="I184" s="82"/>
      <c r="J184" s="82"/>
      <c r="K184" s="82">
        <f>420000+táj2!K184</f>
        <v>420000</v>
      </c>
      <c r="L184" s="82"/>
      <c r="M184" s="82"/>
      <c r="N184" s="82"/>
      <c r="O184" s="82"/>
      <c r="P184" s="82"/>
      <c r="Q184" s="82">
        <f>SUM(G184:P184)</f>
        <v>420000</v>
      </c>
    </row>
    <row r="185" spans="1:17" ht="15" customHeight="1" x14ac:dyDescent="0.2">
      <c r="A185" s="124"/>
      <c r="B185" s="124"/>
      <c r="C185" s="125"/>
      <c r="D185" s="126" t="s">
        <v>385</v>
      </c>
      <c r="E185" s="127"/>
      <c r="F185" s="128"/>
      <c r="G185" s="141">
        <f t="shared" ref="G185:Q185" si="11">SUM(G52:G184)</f>
        <v>10567</v>
      </c>
      <c r="H185" s="141">
        <f t="shared" si="11"/>
        <v>3330</v>
      </c>
      <c r="I185" s="141">
        <f t="shared" si="11"/>
        <v>45234</v>
      </c>
      <c r="J185" s="141">
        <f t="shared" si="11"/>
        <v>11000</v>
      </c>
      <c r="K185" s="141">
        <f t="shared" si="11"/>
        <v>1771370</v>
      </c>
      <c r="L185" s="141">
        <f t="shared" si="11"/>
        <v>0</v>
      </c>
      <c r="M185" s="141">
        <f t="shared" si="11"/>
        <v>0</v>
      </c>
      <c r="N185" s="141">
        <f t="shared" si="11"/>
        <v>2011</v>
      </c>
      <c r="O185" s="141">
        <f t="shared" si="11"/>
        <v>0</v>
      </c>
      <c r="P185" s="141">
        <f t="shared" si="11"/>
        <v>0</v>
      </c>
      <c r="Q185" s="141">
        <f t="shared" si="11"/>
        <v>1843512</v>
      </c>
    </row>
    <row r="186" spans="1:17" ht="15" customHeight="1" x14ac:dyDescent="0.2">
      <c r="A186" s="129"/>
      <c r="B186" s="129"/>
      <c r="C186" s="142"/>
      <c r="D186" s="143" t="s">
        <v>291</v>
      </c>
      <c r="E186" s="131"/>
      <c r="F186" s="132"/>
      <c r="G186" s="144"/>
      <c r="H186" s="144"/>
      <c r="I186" s="144"/>
      <c r="J186" s="144"/>
      <c r="K186" s="144"/>
      <c r="L186" s="144"/>
      <c r="M186" s="144"/>
      <c r="N186" s="144"/>
      <c r="O186" s="144"/>
      <c r="P186" s="144"/>
      <c r="Q186" s="144"/>
    </row>
    <row r="187" spans="1:17" ht="15" customHeight="1" x14ac:dyDescent="0.2">
      <c r="A187" s="360"/>
      <c r="B187" s="360"/>
      <c r="C187" s="578" t="s">
        <v>85</v>
      </c>
      <c r="D187" s="415" t="s">
        <v>307</v>
      </c>
      <c r="E187" s="579"/>
      <c r="F187" s="411"/>
      <c r="G187" s="417"/>
      <c r="H187" s="417"/>
      <c r="I187" s="417"/>
      <c r="J187" s="417"/>
      <c r="K187" s="417"/>
      <c r="L187" s="417"/>
      <c r="M187" s="417"/>
      <c r="N187" s="417"/>
      <c r="O187" s="417"/>
      <c r="P187" s="417"/>
      <c r="Q187" s="147"/>
    </row>
    <row r="188" spans="1:17" ht="15" customHeight="1" x14ac:dyDescent="0.2">
      <c r="A188" s="360"/>
      <c r="B188" s="360"/>
      <c r="C188" s="409" t="s">
        <v>387</v>
      </c>
      <c r="D188" s="546" t="s">
        <v>796</v>
      </c>
      <c r="E188" s="416"/>
      <c r="F188" s="411">
        <v>134994</v>
      </c>
      <c r="G188" s="434"/>
      <c r="H188" s="434"/>
      <c r="I188" s="435">
        <f>2699+táj2!I188</f>
        <v>2699</v>
      </c>
      <c r="J188" s="435"/>
      <c r="K188" s="435"/>
      <c r="L188" s="435"/>
      <c r="M188" s="435">
        <f>0+táj2!M188</f>
        <v>0</v>
      </c>
      <c r="N188" s="434"/>
      <c r="O188" s="434"/>
      <c r="P188" s="434"/>
      <c r="Q188" s="147">
        <f t="shared" ref="Q188:Q211" si="12">SUM(G188:P188)</f>
        <v>2699</v>
      </c>
    </row>
    <row r="189" spans="1:17" ht="15" customHeight="1" x14ac:dyDescent="0.2">
      <c r="A189" s="360"/>
      <c r="B189" s="360"/>
      <c r="C189" s="409" t="s">
        <v>795</v>
      </c>
      <c r="D189" s="580" t="s">
        <v>887</v>
      </c>
      <c r="E189" s="416"/>
      <c r="F189" s="411">
        <v>134909</v>
      </c>
      <c r="G189" s="434"/>
      <c r="H189" s="434"/>
      <c r="I189" s="434"/>
      <c r="J189" s="434"/>
      <c r="K189" s="434"/>
      <c r="L189" s="434"/>
      <c r="M189" s="435">
        <f>1500+táj2!M189</f>
        <v>1500</v>
      </c>
      <c r="N189" s="434"/>
      <c r="O189" s="434"/>
      <c r="P189" s="434"/>
      <c r="Q189" s="147">
        <f t="shared" si="12"/>
        <v>1500</v>
      </c>
    </row>
    <row r="190" spans="1:17" ht="15" customHeight="1" x14ac:dyDescent="0.2">
      <c r="A190" s="360"/>
      <c r="B190" s="360"/>
      <c r="C190" s="409" t="s">
        <v>797</v>
      </c>
      <c r="D190" s="580" t="s">
        <v>888</v>
      </c>
      <c r="E190" s="416"/>
      <c r="F190" s="411">
        <v>134980</v>
      </c>
      <c r="G190" s="434"/>
      <c r="H190" s="434"/>
      <c r="I190" s="434"/>
      <c r="J190" s="434"/>
      <c r="K190" s="434"/>
      <c r="L190" s="434"/>
      <c r="M190" s="435">
        <f>0+táj2!M190</f>
        <v>0</v>
      </c>
      <c r="N190" s="435"/>
      <c r="O190" s="434"/>
      <c r="P190" s="434"/>
      <c r="Q190" s="147">
        <f t="shared" si="12"/>
        <v>0</v>
      </c>
    </row>
    <row r="191" spans="1:17" ht="15" customHeight="1" x14ac:dyDescent="0.2">
      <c r="A191" s="360"/>
      <c r="B191" s="360"/>
      <c r="C191" s="409" t="s">
        <v>798</v>
      </c>
      <c r="D191" s="580" t="s">
        <v>889</v>
      </c>
      <c r="E191" s="416"/>
      <c r="F191" s="411">
        <v>132950</v>
      </c>
      <c r="G191" s="434"/>
      <c r="H191" s="434"/>
      <c r="I191" s="435">
        <f>120+táj2!I191</f>
        <v>120</v>
      </c>
      <c r="J191" s="435"/>
      <c r="K191" s="435"/>
      <c r="L191" s="435">
        <f>1880+táj2!L191</f>
        <v>1267</v>
      </c>
      <c r="M191" s="435"/>
      <c r="N191" s="434"/>
      <c r="O191" s="434"/>
      <c r="P191" s="434"/>
      <c r="Q191" s="147">
        <f t="shared" si="12"/>
        <v>1387</v>
      </c>
    </row>
    <row r="192" spans="1:17" ht="15" customHeight="1" x14ac:dyDescent="0.2">
      <c r="A192" s="360"/>
      <c r="B192" s="360"/>
      <c r="C192" s="409" t="s">
        <v>799</v>
      </c>
      <c r="D192" s="581" t="s">
        <v>890</v>
      </c>
      <c r="E192" s="416"/>
      <c r="F192" s="411">
        <v>132951</v>
      </c>
      <c r="G192" s="434"/>
      <c r="H192" s="434"/>
      <c r="I192" s="435">
        <f>229+táj2!I192</f>
        <v>229</v>
      </c>
      <c r="J192" s="435"/>
      <c r="K192" s="435"/>
      <c r="L192" s="435">
        <f>0+táj2!L192</f>
        <v>0</v>
      </c>
      <c r="M192" s="435"/>
      <c r="N192" s="434"/>
      <c r="O192" s="434"/>
      <c r="P192" s="434"/>
      <c r="Q192" s="147">
        <f t="shared" si="12"/>
        <v>229</v>
      </c>
    </row>
    <row r="193" spans="1:17" ht="15" customHeight="1" x14ac:dyDescent="0.2">
      <c r="A193" s="660"/>
      <c r="B193" s="660"/>
      <c r="C193" s="661" t="s">
        <v>981</v>
      </c>
      <c r="D193" s="667" t="s">
        <v>982</v>
      </c>
      <c r="E193" s="662"/>
      <c r="F193" s="663">
        <v>132941</v>
      </c>
      <c r="G193" s="664"/>
      <c r="H193" s="664"/>
      <c r="I193" s="664"/>
      <c r="J193" s="664"/>
      <c r="K193" s="664"/>
      <c r="L193" s="435">
        <f>6000+táj2!L193</f>
        <v>6000</v>
      </c>
      <c r="M193" s="665"/>
      <c r="N193" s="664"/>
      <c r="O193" s="664"/>
      <c r="P193" s="664"/>
      <c r="Q193" s="147">
        <f t="shared" si="12"/>
        <v>6000</v>
      </c>
    </row>
    <row r="194" spans="1:17" ht="15" customHeight="1" x14ac:dyDescent="0.2">
      <c r="A194" s="660"/>
      <c r="B194" s="660"/>
      <c r="C194" s="661" t="s">
        <v>1050</v>
      </c>
      <c r="D194" s="667" t="s">
        <v>1051</v>
      </c>
      <c r="E194" s="662"/>
      <c r="F194" s="663">
        <v>132971</v>
      </c>
      <c r="G194" s="664"/>
      <c r="H194" s="664"/>
      <c r="I194" s="664"/>
      <c r="J194" s="664"/>
      <c r="K194" s="664"/>
      <c r="L194" s="435">
        <f>1000+táj2!L194</f>
        <v>1613</v>
      </c>
      <c r="M194" s="665"/>
      <c r="N194" s="664"/>
      <c r="O194" s="664"/>
      <c r="P194" s="664"/>
      <c r="Q194" s="147">
        <f t="shared" si="12"/>
        <v>1613</v>
      </c>
    </row>
    <row r="195" spans="1:17" ht="15" customHeight="1" x14ac:dyDescent="0.2">
      <c r="A195" s="360"/>
      <c r="B195" s="360"/>
      <c r="C195" s="409" t="s">
        <v>87</v>
      </c>
      <c r="D195" s="582" t="s">
        <v>334</v>
      </c>
      <c r="E195" s="416"/>
      <c r="F195" s="411"/>
      <c r="G195" s="434"/>
      <c r="H195" s="434"/>
      <c r="I195" s="434"/>
      <c r="J195" s="434"/>
      <c r="K195" s="434"/>
      <c r="L195" s="434"/>
      <c r="M195" s="435"/>
      <c r="N195" s="434"/>
      <c r="O195" s="434"/>
      <c r="P195" s="434"/>
      <c r="Q195" s="147"/>
    </row>
    <row r="196" spans="1:17" ht="15" customHeight="1" x14ac:dyDescent="0.2">
      <c r="A196" s="360"/>
      <c r="B196" s="360"/>
      <c r="C196" s="409" t="s">
        <v>388</v>
      </c>
      <c r="D196" s="583" t="s">
        <v>891</v>
      </c>
      <c r="E196" s="416"/>
      <c r="F196" s="411">
        <v>134981</v>
      </c>
      <c r="G196" s="434"/>
      <c r="H196" s="434"/>
      <c r="I196" s="434"/>
      <c r="J196" s="434"/>
      <c r="K196" s="434"/>
      <c r="L196" s="434"/>
      <c r="M196" s="435">
        <f>5000+táj2!M196</f>
        <v>5256</v>
      </c>
      <c r="N196" s="434"/>
      <c r="O196" s="434"/>
      <c r="P196" s="434"/>
      <c r="Q196" s="147">
        <f t="shared" si="12"/>
        <v>5256</v>
      </c>
    </row>
    <row r="197" spans="1:17" ht="15" customHeight="1" x14ac:dyDescent="0.2">
      <c r="A197" s="360"/>
      <c r="B197" s="360"/>
      <c r="C197" s="409" t="s">
        <v>892</v>
      </c>
      <c r="D197" s="584" t="s">
        <v>893</v>
      </c>
      <c r="E197" s="416"/>
      <c r="F197" s="411">
        <v>134982</v>
      </c>
      <c r="G197" s="434"/>
      <c r="H197" s="434"/>
      <c r="I197" s="434"/>
      <c r="J197" s="434"/>
      <c r="K197" s="434"/>
      <c r="L197" s="434"/>
      <c r="M197" s="435">
        <f>10899+táj2!M197</f>
        <v>10899</v>
      </c>
      <c r="N197" s="434"/>
      <c r="O197" s="434"/>
      <c r="P197" s="434"/>
      <c r="Q197" s="147">
        <f t="shared" si="12"/>
        <v>10899</v>
      </c>
    </row>
    <row r="198" spans="1:17" ht="15" customHeight="1" x14ac:dyDescent="0.2">
      <c r="A198" s="660"/>
      <c r="B198" s="660"/>
      <c r="C198" s="661" t="s">
        <v>1068</v>
      </c>
      <c r="D198" s="667" t="s">
        <v>1069</v>
      </c>
      <c r="E198" s="662"/>
      <c r="F198" s="663">
        <v>134983</v>
      </c>
      <c r="G198" s="664"/>
      <c r="H198" s="664"/>
      <c r="I198" s="664"/>
      <c r="J198" s="664"/>
      <c r="K198" s="664"/>
      <c r="L198" s="664"/>
      <c r="M198" s="435">
        <f>20000+táj2!M198</f>
        <v>16712</v>
      </c>
      <c r="N198" s="664"/>
      <c r="O198" s="664"/>
      <c r="P198" s="664"/>
      <c r="Q198" s="147">
        <f t="shared" si="12"/>
        <v>16712</v>
      </c>
    </row>
    <row r="199" spans="1:17" ht="15" customHeight="1" x14ac:dyDescent="0.2">
      <c r="A199" s="360"/>
      <c r="B199" s="360"/>
      <c r="C199" s="487" t="s">
        <v>88</v>
      </c>
      <c r="D199" s="585" t="s">
        <v>636</v>
      </c>
      <c r="E199" s="401"/>
      <c r="F199" s="411"/>
      <c r="G199" s="434"/>
      <c r="H199" s="434"/>
      <c r="I199" s="434"/>
      <c r="J199" s="434"/>
      <c r="K199" s="434"/>
      <c r="L199" s="434"/>
      <c r="M199" s="435"/>
      <c r="N199" s="434"/>
      <c r="O199" s="434"/>
      <c r="P199" s="434"/>
      <c r="Q199" s="147"/>
    </row>
    <row r="200" spans="1:17" ht="15" customHeight="1" x14ac:dyDescent="0.2">
      <c r="A200" s="487"/>
      <c r="B200" s="487"/>
      <c r="C200" s="408" t="s">
        <v>467</v>
      </c>
      <c r="D200" s="451" t="s">
        <v>747</v>
      </c>
      <c r="E200" s="401"/>
      <c r="F200" s="411">
        <v>134954</v>
      </c>
      <c r="G200" s="417"/>
      <c r="H200" s="417"/>
      <c r="I200" s="435">
        <f>1231+táj2!I200</f>
        <v>1231</v>
      </c>
      <c r="J200" s="435"/>
      <c r="K200" s="435"/>
      <c r="L200" s="435">
        <f>0+táj2!L200</f>
        <v>2400</v>
      </c>
      <c r="M200" s="435"/>
      <c r="N200" s="435">
        <f>5805+táj2!N200</f>
        <v>3405</v>
      </c>
      <c r="O200" s="417"/>
      <c r="P200" s="417"/>
      <c r="Q200" s="147">
        <f t="shared" si="12"/>
        <v>7036</v>
      </c>
    </row>
    <row r="201" spans="1:17" ht="15" customHeight="1" x14ac:dyDescent="0.2">
      <c r="A201" s="487"/>
      <c r="B201" s="487"/>
      <c r="C201" s="408" t="s">
        <v>468</v>
      </c>
      <c r="D201" s="580" t="s">
        <v>894</v>
      </c>
      <c r="E201" s="401"/>
      <c r="F201" s="411">
        <v>132952</v>
      </c>
      <c r="G201" s="417"/>
      <c r="H201" s="417"/>
      <c r="I201" s="435">
        <f>0+táj2!I201</f>
        <v>416</v>
      </c>
      <c r="J201" s="435"/>
      <c r="K201" s="435"/>
      <c r="L201" s="435">
        <f>2555+táj2!L201</f>
        <v>2139</v>
      </c>
      <c r="M201" s="435"/>
      <c r="N201" s="418"/>
      <c r="O201" s="417"/>
      <c r="P201" s="417"/>
      <c r="Q201" s="147">
        <f t="shared" si="12"/>
        <v>2555</v>
      </c>
    </row>
    <row r="202" spans="1:17" ht="15" customHeight="1" x14ac:dyDescent="0.2">
      <c r="A202" s="360"/>
      <c r="B202" s="360"/>
      <c r="C202" s="408" t="s">
        <v>469</v>
      </c>
      <c r="D202" s="580" t="s">
        <v>895</v>
      </c>
      <c r="E202" s="401"/>
      <c r="F202" s="411">
        <v>132953</v>
      </c>
      <c r="G202" s="434"/>
      <c r="H202" s="434"/>
      <c r="I202" s="434"/>
      <c r="J202" s="434"/>
      <c r="K202" s="434"/>
      <c r="L202" s="435">
        <f>5000+táj2!L202</f>
        <v>4303</v>
      </c>
      <c r="M202" s="435"/>
      <c r="N202" s="435">
        <f>1503+táj2!N202</f>
        <v>2200</v>
      </c>
      <c r="O202" s="434"/>
      <c r="P202" s="434"/>
      <c r="Q202" s="147">
        <f t="shared" si="12"/>
        <v>6503</v>
      </c>
    </row>
    <row r="203" spans="1:17" ht="15" customHeight="1" x14ac:dyDescent="0.2">
      <c r="A203" s="660"/>
      <c r="B203" s="660"/>
      <c r="C203" s="661" t="s">
        <v>1009</v>
      </c>
      <c r="D203" s="732" t="s">
        <v>1065</v>
      </c>
      <c r="E203" s="684"/>
      <c r="F203" s="663">
        <v>134957</v>
      </c>
      <c r="G203" s="664"/>
      <c r="H203" s="664"/>
      <c r="I203" s="664"/>
      <c r="J203" s="664"/>
      <c r="K203" s="664"/>
      <c r="L203" s="435"/>
      <c r="M203" s="435">
        <f>2147+táj2!M203</f>
        <v>28147</v>
      </c>
      <c r="N203" s="664"/>
      <c r="O203" s="664"/>
      <c r="P203" s="664"/>
      <c r="Q203" s="147">
        <f t="shared" si="12"/>
        <v>28147</v>
      </c>
    </row>
    <row r="204" spans="1:17" ht="15" customHeight="1" x14ac:dyDescent="0.2">
      <c r="A204" s="660"/>
      <c r="B204" s="660"/>
      <c r="C204" s="661" t="s">
        <v>1011</v>
      </c>
      <c r="D204" s="732" t="s">
        <v>1088</v>
      </c>
      <c r="E204" s="684"/>
      <c r="F204" s="663">
        <v>134958</v>
      </c>
      <c r="G204" s="664"/>
      <c r="H204" s="664"/>
      <c r="I204" s="664"/>
      <c r="J204" s="664"/>
      <c r="K204" s="664"/>
      <c r="L204" s="665"/>
      <c r="M204" s="435">
        <f>0+táj2!M204</f>
        <v>0</v>
      </c>
      <c r="N204" s="435">
        <f>5000+táj2!N204</f>
        <v>5000</v>
      </c>
      <c r="O204" s="664"/>
      <c r="P204" s="664"/>
      <c r="Q204" s="147">
        <f t="shared" si="12"/>
        <v>5000</v>
      </c>
    </row>
    <row r="205" spans="1:17" ht="15" customHeight="1" x14ac:dyDescent="0.2">
      <c r="A205" s="814"/>
      <c r="B205" s="814"/>
      <c r="C205" s="661" t="s">
        <v>1014</v>
      </c>
      <c r="D205" s="815" t="s">
        <v>1130</v>
      </c>
      <c r="E205" s="810"/>
      <c r="F205" s="811">
        <v>132931</v>
      </c>
      <c r="G205" s="817"/>
      <c r="H205" s="817"/>
      <c r="I205" s="817"/>
      <c r="J205" s="817"/>
      <c r="K205" s="817"/>
      <c r="L205" s="816"/>
      <c r="M205" s="816">
        <f>12000+táj2!M205</f>
        <v>12000</v>
      </c>
      <c r="N205" s="816"/>
      <c r="O205" s="817"/>
      <c r="P205" s="817"/>
      <c r="Q205" s="147">
        <f t="shared" si="12"/>
        <v>12000</v>
      </c>
    </row>
    <row r="206" spans="1:17" ht="15" customHeight="1" x14ac:dyDescent="0.2">
      <c r="A206" s="360"/>
      <c r="B206" s="360"/>
      <c r="C206" s="415" t="s">
        <v>75</v>
      </c>
      <c r="D206" s="544" t="s">
        <v>868</v>
      </c>
      <c r="E206" s="416"/>
      <c r="F206" s="586"/>
      <c r="G206" s="434"/>
      <c r="H206" s="434"/>
      <c r="I206" s="434"/>
      <c r="J206" s="434"/>
      <c r="K206" s="434"/>
      <c r="L206" s="434"/>
      <c r="M206" s="435"/>
      <c r="N206" s="434"/>
      <c r="O206" s="434"/>
      <c r="P206" s="434"/>
      <c r="Q206" s="147"/>
    </row>
    <row r="207" spans="1:17" ht="15" customHeight="1" x14ac:dyDescent="0.2">
      <c r="A207" s="360"/>
      <c r="B207" s="360"/>
      <c r="C207" s="409" t="s">
        <v>389</v>
      </c>
      <c r="D207" s="587" t="s">
        <v>386</v>
      </c>
      <c r="E207" s="401"/>
      <c r="F207" s="411">
        <v>134908</v>
      </c>
      <c r="G207" s="434"/>
      <c r="H207" s="434"/>
      <c r="I207" s="434"/>
      <c r="J207" s="434"/>
      <c r="K207" s="434"/>
      <c r="L207" s="434"/>
      <c r="M207" s="435">
        <f>4464+táj2!M207</f>
        <v>4464</v>
      </c>
      <c r="N207" s="434"/>
      <c r="O207" s="434"/>
      <c r="P207" s="434"/>
      <c r="Q207" s="147">
        <f t="shared" si="12"/>
        <v>4464</v>
      </c>
    </row>
    <row r="208" spans="1:17" ht="15" customHeight="1" x14ac:dyDescent="0.2">
      <c r="A208" s="360"/>
      <c r="B208" s="360"/>
      <c r="C208" s="409" t="s">
        <v>390</v>
      </c>
      <c r="D208" s="587" t="s">
        <v>896</v>
      </c>
      <c r="E208" s="401"/>
      <c r="F208" s="411">
        <v>134918</v>
      </c>
      <c r="G208" s="434"/>
      <c r="H208" s="434"/>
      <c r="I208" s="434"/>
      <c r="J208" s="434"/>
      <c r="K208" s="434"/>
      <c r="L208" s="434"/>
      <c r="M208" s="435">
        <f>84525+táj2!M208</f>
        <v>75631</v>
      </c>
      <c r="N208" s="434"/>
      <c r="O208" s="434"/>
      <c r="P208" s="434"/>
      <c r="Q208" s="147">
        <f t="shared" si="12"/>
        <v>75631</v>
      </c>
    </row>
    <row r="209" spans="1:17" ht="15" customHeight="1" x14ac:dyDescent="0.2">
      <c r="A209" s="360"/>
      <c r="B209" s="360"/>
      <c r="C209" s="409" t="s">
        <v>391</v>
      </c>
      <c r="D209" s="587" t="s">
        <v>897</v>
      </c>
      <c r="E209" s="401"/>
      <c r="F209" s="411">
        <v>131902</v>
      </c>
      <c r="G209" s="434"/>
      <c r="H209" s="434"/>
      <c r="I209" s="435">
        <f>513+táj2!I209</f>
        <v>626</v>
      </c>
      <c r="J209" s="435"/>
      <c r="K209" s="435"/>
      <c r="L209" s="435"/>
      <c r="M209" s="435">
        <f>4538+táj2!M209</f>
        <v>5628</v>
      </c>
      <c r="N209" s="434"/>
      <c r="O209" s="434"/>
      <c r="P209" s="434"/>
      <c r="Q209" s="147">
        <f t="shared" si="12"/>
        <v>6254</v>
      </c>
    </row>
    <row r="210" spans="1:17" ht="15" customHeight="1" x14ac:dyDescent="0.2">
      <c r="A210" s="360"/>
      <c r="B210" s="360"/>
      <c r="C210" s="409" t="s">
        <v>898</v>
      </c>
      <c r="D210" s="451" t="s">
        <v>899</v>
      </c>
      <c r="E210" s="401"/>
      <c r="F210" s="411">
        <v>132947</v>
      </c>
      <c r="G210" s="434"/>
      <c r="H210" s="434"/>
      <c r="I210" s="434"/>
      <c r="J210" s="434"/>
      <c r="K210" s="434"/>
      <c r="L210" s="435">
        <f>26817+táj2!L210</f>
        <v>26817</v>
      </c>
      <c r="M210" s="435"/>
      <c r="N210" s="434"/>
      <c r="O210" s="434"/>
      <c r="P210" s="434"/>
      <c r="Q210" s="147">
        <f t="shared" si="12"/>
        <v>26817</v>
      </c>
    </row>
    <row r="211" spans="1:17" ht="15" customHeight="1" x14ac:dyDescent="0.2">
      <c r="A211" s="360"/>
      <c r="B211" s="360"/>
      <c r="C211" s="409" t="s">
        <v>900</v>
      </c>
      <c r="D211" s="451" t="s">
        <v>901</v>
      </c>
      <c r="E211" s="401"/>
      <c r="F211" s="411">
        <v>132949</v>
      </c>
      <c r="G211" s="434"/>
      <c r="H211" s="434"/>
      <c r="I211" s="434"/>
      <c r="J211" s="434"/>
      <c r="K211" s="434"/>
      <c r="L211" s="434"/>
      <c r="M211" s="435"/>
      <c r="N211" s="435">
        <f>13224+táj2!N211</f>
        <v>13224</v>
      </c>
      <c r="O211" s="434"/>
      <c r="P211" s="434"/>
      <c r="Q211" s="147">
        <f t="shared" si="12"/>
        <v>13224</v>
      </c>
    </row>
    <row r="212" spans="1:17" ht="18.75" customHeight="1" x14ac:dyDescent="0.2">
      <c r="A212" s="124"/>
      <c r="B212" s="124"/>
      <c r="C212" s="125"/>
      <c r="D212" s="126" t="s">
        <v>196</v>
      </c>
      <c r="E212" s="127"/>
      <c r="F212" s="128"/>
      <c r="G212" s="141">
        <f t="shared" ref="G212:Q212" si="13">SUM(G185:G211)</f>
        <v>10567</v>
      </c>
      <c r="H212" s="141">
        <f t="shared" si="13"/>
        <v>3330</v>
      </c>
      <c r="I212" s="141">
        <f t="shared" si="13"/>
        <v>50555</v>
      </c>
      <c r="J212" s="141">
        <f t="shared" si="13"/>
        <v>11000</v>
      </c>
      <c r="K212" s="141">
        <f t="shared" si="13"/>
        <v>1771370</v>
      </c>
      <c r="L212" s="141">
        <f t="shared" si="13"/>
        <v>44539</v>
      </c>
      <c r="M212" s="141">
        <f t="shared" si="13"/>
        <v>160237</v>
      </c>
      <c r="N212" s="141">
        <f t="shared" si="13"/>
        <v>25840</v>
      </c>
      <c r="O212" s="141">
        <f t="shared" si="13"/>
        <v>0</v>
      </c>
      <c r="P212" s="141">
        <f t="shared" si="13"/>
        <v>0</v>
      </c>
      <c r="Q212" s="141">
        <f t="shared" si="13"/>
        <v>2077438</v>
      </c>
    </row>
    <row r="213" spans="1:17" ht="12.95" customHeight="1" x14ac:dyDescent="0.2">
      <c r="A213" s="129">
        <v>1</v>
      </c>
      <c r="B213" s="129">
        <v>14</v>
      </c>
      <c r="C213" s="142"/>
      <c r="D213" s="146" t="s">
        <v>162</v>
      </c>
      <c r="E213" s="131"/>
      <c r="F213" s="132"/>
      <c r="G213" s="132"/>
      <c r="H213" s="107"/>
      <c r="I213" s="107"/>
      <c r="J213" s="107"/>
      <c r="K213" s="107"/>
      <c r="L213" s="107"/>
      <c r="M213" s="132"/>
      <c r="N213" s="132"/>
      <c r="O213" s="132"/>
      <c r="P213" s="132"/>
      <c r="Q213" s="132"/>
    </row>
    <row r="214" spans="1:17" ht="12.95" customHeight="1" x14ac:dyDescent="0.2">
      <c r="A214" s="129"/>
      <c r="B214" s="129"/>
      <c r="C214" s="142"/>
      <c r="D214" s="119" t="s">
        <v>197</v>
      </c>
      <c r="E214" s="131"/>
      <c r="F214" s="132"/>
      <c r="G214" s="132"/>
      <c r="H214" s="107"/>
      <c r="I214" s="107"/>
      <c r="J214" s="107"/>
      <c r="K214" s="107"/>
      <c r="L214" s="107"/>
      <c r="M214" s="132"/>
      <c r="N214" s="132"/>
      <c r="O214" s="132"/>
      <c r="P214" s="132"/>
      <c r="Q214" s="132"/>
    </row>
    <row r="215" spans="1:17" ht="12.95" customHeight="1" x14ac:dyDescent="0.2">
      <c r="A215" s="129"/>
      <c r="B215" s="129"/>
      <c r="C215" s="142"/>
      <c r="D215" s="116" t="s">
        <v>392</v>
      </c>
      <c r="E215" s="82">
        <v>1</v>
      </c>
      <c r="F215" s="82">
        <v>171918</v>
      </c>
      <c r="G215" s="82"/>
      <c r="H215" s="82"/>
      <c r="I215" s="107">
        <f>1939+táj2!I215</f>
        <v>1939</v>
      </c>
      <c r="J215" s="82"/>
      <c r="K215" s="82"/>
      <c r="L215" s="82"/>
      <c r="M215" s="82"/>
      <c r="N215" s="82"/>
      <c r="O215" s="82"/>
      <c r="P215" s="82"/>
      <c r="Q215" s="82">
        <f>SUM(G215:P215)</f>
        <v>1939</v>
      </c>
    </row>
    <row r="216" spans="1:17" ht="24" customHeight="1" x14ac:dyDescent="0.2">
      <c r="A216" s="129"/>
      <c r="B216" s="129"/>
      <c r="C216" s="142"/>
      <c r="D216" s="123" t="s">
        <v>393</v>
      </c>
      <c r="E216" s="82">
        <v>1</v>
      </c>
      <c r="F216" s="82">
        <v>171922</v>
      </c>
      <c r="G216" s="82"/>
      <c r="H216" s="82"/>
      <c r="I216" s="107">
        <f>1550+táj2!I216</f>
        <v>1550</v>
      </c>
      <c r="J216" s="82"/>
      <c r="K216" s="82"/>
      <c r="L216" s="82"/>
      <c r="M216" s="82"/>
      <c r="N216" s="82"/>
      <c r="O216" s="82"/>
      <c r="P216" s="82"/>
      <c r="Q216" s="82">
        <f>SUM(G216:P216)</f>
        <v>1550</v>
      </c>
    </row>
    <row r="217" spans="1:17" ht="12.95" customHeight="1" x14ac:dyDescent="0.2">
      <c r="A217" s="129"/>
      <c r="B217" s="129"/>
      <c r="C217" s="142"/>
      <c r="D217" s="116" t="s">
        <v>394</v>
      </c>
      <c r="E217" s="82">
        <v>1</v>
      </c>
      <c r="F217" s="82">
        <v>171926</v>
      </c>
      <c r="G217" s="82"/>
      <c r="H217" s="82"/>
      <c r="I217" s="107">
        <f>1740+táj2!I217</f>
        <v>1740</v>
      </c>
      <c r="J217" s="82"/>
      <c r="K217" s="82"/>
      <c r="L217" s="82"/>
      <c r="M217" s="82"/>
      <c r="N217" s="82"/>
      <c r="O217" s="82"/>
      <c r="P217" s="82"/>
      <c r="Q217" s="82">
        <f>SUM(G217:P217)</f>
        <v>1740</v>
      </c>
    </row>
    <row r="218" spans="1:17" ht="12.95" customHeight="1" x14ac:dyDescent="0.2">
      <c r="A218" s="129"/>
      <c r="B218" s="129"/>
      <c r="C218" s="142"/>
      <c r="D218" s="116" t="s">
        <v>395</v>
      </c>
      <c r="E218" s="82">
        <v>1</v>
      </c>
      <c r="F218" s="82">
        <v>171967</v>
      </c>
      <c r="G218" s="82"/>
      <c r="H218" s="82"/>
      <c r="I218" s="107">
        <f>4000+táj2!I218</f>
        <v>4000</v>
      </c>
      <c r="J218" s="82"/>
      <c r="K218" s="82"/>
      <c r="L218" s="82"/>
      <c r="M218" s="82"/>
      <c r="N218" s="82"/>
      <c r="O218" s="82"/>
      <c r="P218" s="82"/>
      <c r="Q218" s="82">
        <f>SUM(G218:P218)</f>
        <v>4000</v>
      </c>
    </row>
    <row r="219" spans="1:17" ht="12.95" customHeight="1" x14ac:dyDescent="0.2">
      <c r="A219" s="124"/>
      <c r="B219" s="124"/>
      <c r="C219" s="125"/>
      <c r="D219" s="126" t="s">
        <v>396</v>
      </c>
      <c r="E219" s="148"/>
      <c r="F219" s="149"/>
      <c r="G219" s="150">
        <f t="shared" ref="G219:Q219" si="14">SUM(G215:G218)</f>
        <v>0</v>
      </c>
      <c r="H219" s="150">
        <f t="shared" si="14"/>
        <v>0</v>
      </c>
      <c r="I219" s="150">
        <f t="shared" si="14"/>
        <v>9229</v>
      </c>
      <c r="J219" s="150">
        <f t="shared" si="14"/>
        <v>0</v>
      </c>
      <c r="K219" s="150">
        <f t="shared" si="14"/>
        <v>0</v>
      </c>
      <c r="L219" s="150">
        <f t="shared" si="14"/>
        <v>0</v>
      </c>
      <c r="M219" s="150">
        <f t="shared" si="14"/>
        <v>0</v>
      </c>
      <c r="N219" s="150">
        <f t="shared" si="14"/>
        <v>0</v>
      </c>
      <c r="O219" s="150">
        <f t="shared" si="14"/>
        <v>0</v>
      </c>
      <c r="P219" s="150">
        <f t="shared" si="14"/>
        <v>0</v>
      </c>
      <c r="Q219" s="150">
        <f t="shared" si="14"/>
        <v>9229</v>
      </c>
    </row>
    <row r="220" spans="1:17" ht="12.95" customHeight="1" x14ac:dyDescent="0.2">
      <c r="A220" s="129"/>
      <c r="B220" s="129"/>
      <c r="C220" s="142"/>
      <c r="D220" s="143" t="s">
        <v>397</v>
      </c>
      <c r="E220" s="130"/>
      <c r="F220" s="82"/>
      <c r="G220" s="107"/>
      <c r="H220" s="107"/>
      <c r="I220" s="107"/>
      <c r="J220" s="107"/>
      <c r="K220" s="107"/>
      <c r="L220" s="107"/>
      <c r="M220" s="107"/>
      <c r="N220" s="107"/>
      <c r="O220" s="107"/>
      <c r="P220" s="107"/>
      <c r="Q220" s="107"/>
    </row>
    <row r="221" spans="1:17" ht="12.95" customHeight="1" x14ac:dyDescent="0.2">
      <c r="A221" s="129"/>
      <c r="B221" s="129"/>
      <c r="C221" s="237"/>
      <c r="D221" s="116" t="s">
        <v>868</v>
      </c>
      <c r="E221" s="160"/>
      <c r="F221" s="82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  <c r="Q221" s="107"/>
    </row>
    <row r="222" spans="1:17" ht="12.95" customHeight="1" x14ac:dyDescent="0.2">
      <c r="A222" s="129"/>
      <c r="B222" s="129"/>
      <c r="C222" s="181" t="s">
        <v>294</v>
      </c>
      <c r="D222" s="236" t="s">
        <v>398</v>
      </c>
      <c r="E222" s="160"/>
      <c r="F222" s="82">
        <v>162650</v>
      </c>
      <c r="G222" s="107"/>
      <c r="H222" s="107"/>
      <c r="I222" s="107"/>
      <c r="J222" s="107"/>
      <c r="K222" s="107"/>
      <c r="L222" s="107">
        <f>29513+táj2!L222</f>
        <v>19713</v>
      </c>
      <c r="M222" s="107"/>
      <c r="N222" s="107"/>
      <c r="O222" s="107"/>
      <c r="P222" s="107"/>
      <c r="Q222" s="107">
        <f>SUM(G222:P222)</f>
        <v>19713</v>
      </c>
    </row>
    <row r="223" spans="1:17" ht="12.95" customHeight="1" x14ac:dyDescent="0.2">
      <c r="A223" s="129"/>
      <c r="B223" s="129"/>
      <c r="C223" s="181" t="s">
        <v>296</v>
      </c>
      <c r="D223" s="238" t="s">
        <v>902</v>
      </c>
      <c r="E223" s="160"/>
      <c r="F223" s="82">
        <v>164903</v>
      </c>
      <c r="G223" s="107"/>
      <c r="H223" s="107"/>
      <c r="I223" s="107"/>
      <c r="J223" s="107"/>
      <c r="K223" s="107"/>
      <c r="L223" s="107"/>
      <c r="M223" s="107"/>
      <c r="N223" s="107">
        <f>10051+táj2!N223</f>
        <v>10051</v>
      </c>
      <c r="O223" s="107"/>
      <c r="P223" s="107"/>
      <c r="Q223" s="107">
        <f>SUM(G223:P223)</f>
        <v>10051</v>
      </c>
    </row>
    <row r="224" spans="1:17" ht="12.95" customHeight="1" x14ac:dyDescent="0.2">
      <c r="A224" s="124"/>
      <c r="B224" s="124"/>
      <c r="C224" s="125"/>
      <c r="D224" s="126" t="s">
        <v>199</v>
      </c>
      <c r="E224" s="148"/>
      <c r="F224" s="149"/>
      <c r="G224" s="173">
        <f t="shared" ref="G224:Q224" si="15">SUM(G219:G223)</f>
        <v>0</v>
      </c>
      <c r="H224" s="173">
        <f t="shared" si="15"/>
        <v>0</v>
      </c>
      <c r="I224" s="173">
        <f t="shared" si="15"/>
        <v>9229</v>
      </c>
      <c r="J224" s="173">
        <f t="shared" si="15"/>
        <v>0</v>
      </c>
      <c r="K224" s="173">
        <f t="shared" si="15"/>
        <v>0</v>
      </c>
      <c r="L224" s="173">
        <f t="shared" si="15"/>
        <v>19713</v>
      </c>
      <c r="M224" s="173">
        <f t="shared" si="15"/>
        <v>0</v>
      </c>
      <c r="N224" s="173">
        <f t="shared" si="15"/>
        <v>10051</v>
      </c>
      <c r="O224" s="173">
        <f t="shared" si="15"/>
        <v>0</v>
      </c>
      <c r="P224" s="173">
        <f t="shared" si="15"/>
        <v>0</v>
      </c>
      <c r="Q224" s="173">
        <f t="shared" si="15"/>
        <v>38993</v>
      </c>
    </row>
    <row r="225" spans="1:17" ht="14.1" customHeight="1" x14ac:dyDescent="0.2">
      <c r="A225" s="102">
        <v>1</v>
      </c>
      <c r="B225" s="102">
        <v>15</v>
      </c>
      <c r="C225" s="118"/>
      <c r="D225" s="146" t="s">
        <v>399</v>
      </c>
      <c r="E225" s="130"/>
      <c r="F225" s="82"/>
      <c r="G225" s="82"/>
      <c r="H225" s="107"/>
      <c r="I225" s="107"/>
      <c r="J225" s="107"/>
      <c r="K225" s="107"/>
      <c r="L225" s="107"/>
      <c r="M225" s="82"/>
      <c r="N225" s="82"/>
      <c r="O225" s="82"/>
      <c r="P225" s="82"/>
      <c r="Q225" s="82"/>
    </row>
    <row r="226" spans="1:17" ht="14.1" customHeight="1" x14ac:dyDescent="0.2">
      <c r="A226" s="102"/>
      <c r="B226" s="102"/>
      <c r="C226" s="118"/>
      <c r="D226" s="545" t="s">
        <v>400</v>
      </c>
      <c r="E226" s="401"/>
      <c r="F226" s="411"/>
      <c r="G226" s="82"/>
      <c r="H226" s="107"/>
      <c r="I226" s="107"/>
      <c r="J226" s="107"/>
      <c r="K226" s="107"/>
      <c r="L226" s="107"/>
      <c r="M226" s="82"/>
      <c r="N226" s="82"/>
      <c r="O226" s="82"/>
      <c r="P226" s="82"/>
      <c r="Q226" s="82"/>
    </row>
    <row r="227" spans="1:17" ht="15" customHeight="1" x14ac:dyDescent="0.2">
      <c r="A227" s="102"/>
      <c r="B227" s="102"/>
      <c r="C227" s="118"/>
      <c r="D227" s="544" t="s">
        <v>401</v>
      </c>
      <c r="E227" s="411">
        <v>1</v>
      </c>
      <c r="F227" s="411">
        <v>151502</v>
      </c>
      <c r="G227" s="82"/>
      <c r="H227" s="82"/>
      <c r="I227" s="82">
        <f>10731+táj2!I227</f>
        <v>10731</v>
      </c>
      <c r="J227" s="82"/>
      <c r="K227" s="82"/>
      <c r="L227" s="82"/>
      <c r="M227" s="82"/>
      <c r="N227" s="82"/>
      <c r="O227" s="82"/>
      <c r="P227" s="82"/>
      <c r="Q227" s="82">
        <f t="shared" ref="Q227:Q244" si="16">SUM(G227:P227)</f>
        <v>10731</v>
      </c>
    </row>
    <row r="228" spans="1:17" ht="15.75" customHeight="1" x14ac:dyDescent="0.2">
      <c r="A228" s="102"/>
      <c r="B228" s="102"/>
      <c r="C228" s="118"/>
      <c r="D228" s="546" t="s">
        <v>633</v>
      </c>
      <c r="E228" s="411">
        <v>1</v>
      </c>
      <c r="F228" s="411">
        <v>151530</v>
      </c>
      <c r="G228" s="82"/>
      <c r="H228" s="82"/>
      <c r="I228" s="82">
        <f>4347+táj2!I228</f>
        <v>5390</v>
      </c>
      <c r="J228" s="82"/>
      <c r="K228" s="82"/>
      <c r="L228" s="82">
        <f>2322+táj2!L228</f>
        <v>2322</v>
      </c>
      <c r="M228" s="82">
        <f>1118+táj2!M228</f>
        <v>1118</v>
      </c>
      <c r="N228" s="82"/>
      <c r="O228" s="82"/>
      <c r="P228" s="82"/>
      <c r="Q228" s="82">
        <f t="shared" si="16"/>
        <v>8830</v>
      </c>
    </row>
    <row r="229" spans="1:17" ht="14.1" customHeight="1" x14ac:dyDescent="0.2">
      <c r="A229" s="102"/>
      <c r="B229" s="102"/>
      <c r="C229" s="118"/>
      <c r="D229" s="544" t="s">
        <v>402</v>
      </c>
      <c r="E229" s="411">
        <v>1</v>
      </c>
      <c r="F229" s="411">
        <v>151504</v>
      </c>
      <c r="G229" s="82"/>
      <c r="H229" s="82"/>
      <c r="I229" s="82">
        <f>444327+táj2!I229</f>
        <v>444327</v>
      </c>
      <c r="J229" s="82"/>
      <c r="K229" s="82"/>
      <c r="L229" s="82"/>
      <c r="M229" s="82"/>
      <c r="N229" s="82"/>
      <c r="O229" s="82"/>
      <c r="P229" s="82"/>
      <c r="Q229" s="82">
        <f t="shared" si="16"/>
        <v>444327</v>
      </c>
    </row>
    <row r="230" spans="1:17" ht="14.1" customHeight="1" x14ac:dyDescent="0.2">
      <c r="A230" s="102"/>
      <c r="B230" s="102"/>
      <c r="C230" s="118"/>
      <c r="D230" s="563" t="s">
        <v>403</v>
      </c>
      <c r="E230" s="411">
        <v>1</v>
      </c>
      <c r="F230" s="411">
        <v>151501</v>
      </c>
      <c r="G230" s="82"/>
      <c r="H230" s="82"/>
      <c r="I230" s="82">
        <f>25897+táj2!I230</f>
        <v>25897</v>
      </c>
      <c r="J230" s="82"/>
      <c r="K230" s="82"/>
      <c r="L230" s="82"/>
      <c r="M230" s="82"/>
      <c r="N230" s="82"/>
      <c r="O230" s="82"/>
      <c r="P230" s="82"/>
      <c r="Q230" s="82">
        <f t="shared" si="16"/>
        <v>25897</v>
      </c>
    </row>
    <row r="231" spans="1:17" ht="14.1" customHeight="1" x14ac:dyDescent="0.2">
      <c r="A231" s="102"/>
      <c r="B231" s="102"/>
      <c r="C231" s="118"/>
      <c r="D231" s="563" t="s">
        <v>404</v>
      </c>
      <c r="E231" s="411">
        <v>1</v>
      </c>
      <c r="F231" s="411">
        <v>151905</v>
      </c>
      <c r="G231" s="82"/>
      <c r="H231" s="82"/>
      <c r="I231" s="82">
        <f>912+táj2!I231</f>
        <v>912</v>
      </c>
      <c r="J231" s="82"/>
      <c r="K231" s="82"/>
      <c r="L231" s="82">
        <f>88+táj2!L231</f>
        <v>88</v>
      </c>
      <c r="M231" s="82"/>
      <c r="N231" s="82"/>
      <c r="O231" s="82"/>
      <c r="P231" s="82"/>
      <c r="Q231" s="82">
        <f t="shared" si="16"/>
        <v>1000</v>
      </c>
    </row>
    <row r="232" spans="1:17" ht="14.1" customHeight="1" x14ac:dyDescent="0.2">
      <c r="A232" s="102"/>
      <c r="B232" s="102"/>
      <c r="C232" s="118"/>
      <c r="D232" s="563" t="s">
        <v>405</v>
      </c>
      <c r="E232" s="411">
        <v>1</v>
      </c>
      <c r="F232" s="411">
        <v>151920</v>
      </c>
      <c r="G232" s="82"/>
      <c r="H232" s="82"/>
      <c r="I232" s="82">
        <f>4497+táj2!I232</f>
        <v>4497</v>
      </c>
      <c r="J232" s="82"/>
      <c r="K232" s="82"/>
      <c r="L232" s="82"/>
      <c r="M232" s="82"/>
      <c r="N232" s="82"/>
      <c r="O232" s="82"/>
      <c r="P232" s="82"/>
      <c r="Q232" s="82">
        <f t="shared" si="16"/>
        <v>4497</v>
      </c>
    </row>
    <row r="233" spans="1:17" ht="14.1" customHeight="1" x14ac:dyDescent="0.2">
      <c r="A233" s="102"/>
      <c r="B233" s="102"/>
      <c r="C233" s="118"/>
      <c r="D233" s="563" t="s">
        <v>406</v>
      </c>
      <c r="E233" s="411">
        <v>1</v>
      </c>
      <c r="F233" s="411">
        <v>151917</v>
      </c>
      <c r="G233" s="82"/>
      <c r="H233" s="82"/>
      <c r="I233" s="82">
        <f>9464+táj2!I233</f>
        <v>10964</v>
      </c>
      <c r="J233" s="82"/>
      <c r="K233" s="82"/>
      <c r="L233" s="82"/>
      <c r="M233" s="82"/>
      <c r="N233" s="82"/>
      <c r="O233" s="82"/>
      <c r="P233" s="82"/>
      <c r="Q233" s="82">
        <f t="shared" si="16"/>
        <v>10964</v>
      </c>
    </row>
    <row r="234" spans="1:17" ht="15" customHeight="1" x14ac:dyDescent="0.2">
      <c r="A234" s="102"/>
      <c r="B234" s="102"/>
      <c r="C234" s="118"/>
      <c r="D234" s="563" t="s">
        <v>407</v>
      </c>
      <c r="E234" s="411">
        <v>2</v>
      </c>
      <c r="F234" s="411">
        <v>151503</v>
      </c>
      <c r="G234" s="82"/>
      <c r="H234" s="82"/>
      <c r="I234" s="82">
        <f>2177+táj2!I234</f>
        <v>2152</v>
      </c>
      <c r="J234" s="82"/>
      <c r="K234" s="82"/>
      <c r="L234" s="82"/>
      <c r="M234" s="82"/>
      <c r="N234" s="82"/>
      <c r="O234" s="82"/>
      <c r="P234" s="82"/>
      <c r="Q234" s="82">
        <f t="shared" si="16"/>
        <v>2152</v>
      </c>
    </row>
    <row r="235" spans="1:17" ht="15" customHeight="1" x14ac:dyDescent="0.2">
      <c r="A235" s="102"/>
      <c r="B235" s="102"/>
      <c r="C235" s="118"/>
      <c r="D235" s="563" t="s">
        <v>408</v>
      </c>
      <c r="E235" s="411">
        <v>1</v>
      </c>
      <c r="F235" s="411">
        <v>151510</v>
      </c>
      <c r="G235" s="82"/>
      <c r="H235" s="82"/>
      <c r="I235" s="82">
        <f>29200+táj2!I235</f>
        <v>40387</v>
      </c>
      <c r="J235" s="82"/>
      <c r="K235" s="82"/>
      <c r="L235" s="82"/>
      <c r="M235" s="82">
        <f>0+táj2!M235</f>
        <v>0</v>
      </c>
      <c r="N235" s="82"/>
      <c r="O235" s="82"/>
      <c r="P235" s="82"/>
      <c r="Q235" s="82">
        <f t="shared" si="16"/>
        <v>40387</v>
      </c>
    </row>
    <row r="236" spans="1:17" ht="15" customHeight="1" x14ac:dyDescent="0.2">
      <c r="A236" s="102"/>
      <c r="B236" s="102"/>
      <c r="C236" s="118"/>
      <c r="D236" s="588" t="s">
        <v>800</v>
      </c>
      <c r="E236" s="98">
        <v>1</v>
      </c>
      <c r="F236" s="411">
        <v>151521</v>
      </c>
      <c r="G236" s="82"/>
      <c r="H236" s="82"/>
      <c r="I236" s="82">
        <f>1043+táj2!I236</f>
        <v>843</v>
      </c>
      <c r="J236" s="82"/>
      <c r="K236" s="82"/>
      <c r="L236" s="82"/>
      <c r="M236" s="82"/>
      <c r="N236" s="82"/>
      <c r="O236" s="82"/>
      <c r="P236" s="82"/>
      <c r="Q236" s="82">
        <f t="shared" si="16"/>
        <v>843</v>
      </c>
    </row>
    <row r="237" spans="1:17" ht="15" customHeight="1" x14ac:dyDescent="0.2">
      <c r="A237" s="102"/>
      <c r="B237" s="102"/>
      <c r="C237" s="118"/>
      <c r="D237" s="589" t="s">
        <v>409</v>
      </c>
      <c r="E237" s="98">
        <v>1</v>
      </c>
      <c r="F237" s="411">
        <v>151520</v>
      </c>
      <c r="G237" s="82"/>
      <c r="H237" s="82"/>
      <c r="I237" s="82">
        <f>2500+táj2!I237</f>
        <v>0</v>
      </c>
      <c r="J237" s="82"/>
      <c r="K237" s="82"/>
      <c r="L237" s="82"/>
      <c r="M237" s="82"/>
      <c r="N237" s="82"/>
      <c r="O237" s="82"/>
      <c r="P237" s="82"/>
      <c r="Q237" s="82">
        <f t="shared" si="16"/>
        <v>0</v>
      </c>
    </row>
    <row r="238" spans="1:17" ht="15" customHeight="1" x14ac:dyDescent="0.2">
      <c r="A238" s="102"/>
      <c r="B238" s="102"/>
      <c r="C238" s="118"/>
      <c r="D238" s="682" t="s">
        <v>903</v>
      </c>
      <c r="E238" s="98"/>
      <c r="F238" s="411">
        <v>151928</v>
      </c>
      <c r="G238" s="82"/>
      <c r="H238" s="82"/>
      <c r="I238" s="82">
        <f>3995+táj2!I238</f>
        <v>3995</v>
      </c>
      <c r="J238" s="82"/>
      <c r="K238" s="82"/>
      <c r="L238" s="82"/>
      <c r="M238" s="82"/>
      <c r="N238" s="82"/>
      <c r="O238" s="82"/>
      <c r="P238" s="82"/>
      <c r="Q238" s="82">
        <f t="shared" si="16"/>
        <v>3995</v>
      </c>
    </row>
    <row r="239" spans="1:17" ht="15" customHeight="1" x14ac:dyDescent="0.2">
      <c r="A239" s="102"/>
      <c r="B239" s="102"/>
      <c r="C239" s="118"/>
      <c r="D239" s="563" t="s">
        <v>410</v>
      </c>
      <c r="E239" s="411">
        <v>1</v>
      </c>
      <c r="F239" s="411">
        <v>151512</v>
      </c>
      <c r="G239" s="82"/>
      <c r="H239" s="82"/>
      <c r="I239" s="82">
        <f>1000+táj2!I239</f>
        <v>1000</v>
      </c>
      <c r="J239" s="82"/>
      <c r="K239" s="82"/>
      <c r="L239" s="82"/>
      <c r="M239" s="82"/>
      <c r="N239" s="82"/>
      <c r="O239" s="82"/>
      <c r="P239" s="82"/>
      <c r="Q239" s="82">
        <f t="shared" si="16"/>
        <v>1000</v>
      </c>
    </row>
    <row r="240" spans="1:17" ht="15" customHeight="1" x14ac:dyDescent="0.2">
      <c r="A240" s="102"/>
      <c r="B240" s="102"/>
      <c r="C240" s="118"/>
      <c r="D240" s="563" t="s">
        <v>411</v>
      </c>
      <c r="E240" s="553">
        <v>1</v>
      </c>
      <c r="F240" s="411">
        <v>151513</v>
      </c>
      <c r="G240" s="82"/>
      <c r="H240" s="82"/>
      <c r="I240" s="82">
        <f>9000+táj2!I240</f>
        <v>9000</v>
      </c>
      <c r="J240" s="82"/>
      <c r="K240" s="82"/>
      <c r="L240" s="82"/>
      <c r="M240" s="82"/>
      <c r="N240" s="82"/>
      <c r="O240" s="82"/>
      <c r="P240" s="82"/>
      <c r="Q240" s="82">
        <f t="shared" si="16"/>
        <v>9000</v>
      </c>
    </row>
    <row r="241" spans="1:17 16383:16383" ht="15" customHeight="1" x14ac:dyDescent="0.2">
      <c r="A241" s="102"/>
      <c r="B241" s="102"/>
      <c r="C241" s="118"/>
      <c r="D241" s="547" t="s">
        <v>412</v>
      </c>
      <c r="E241" s="553">
        <v>2</v>
      </c>
      <c r="F241" s="411">
        <v>151918</v>
      </c>
      <c r="G241" s="82"/>
      <c r="H241" s="82"/>
      <c r="I241" s="82">
        <f>1000+táj2!I241</f>
        <v>197</v>
      </c>
      <c r="J241" s="82"/>
      <c r="K241" s="82"/>
      <c r="L241" s="82"/>
      <c r="M241" s="82"/>
      <c r="N241" s="82"/>
      <c r="O241" s="82"/>
      <c r="P241" s="82"/>
      <c r="Q241" s="82">
        <f t="shared" si="16"/>
        <v>197</v>
      </c>
    </row>
    <row r="242" spans="1:17 16383:16383" ht="15" customHeight="1" x14ac:dyDescent="0.2">
      <c r="A242" s="102"/>
      <c r="B242" s="102"/>
      <c r="C242" s="118"/>
      <c r="D242" s="547" t="s">
        <v>801</v>
      </c>
      <c r="E242" s="553">
        <v>2</v>
      </c>
      <c r="F242" s="411">
        <v>151524</v>
      </c>
      <c r="G242" s="82"/>
      <c r="H242" s="82"/>
      <c r="I242" s="82">
        <f>46362+táj2!I242</f>
        <v>46362</v>
      </c>
      <c r="J242" s="82"/>
      <c r="K242" s="82"/>
      <c r="L242" s="82"/>
      <c r="M242" s="82"/>
      <c r="N242" s="82"/>
      <c r="O242" s="82"/>
      <c r="P242" s="82"/>
      <c r="Q242" s="82">
        <f t="shared" si="16"/>
        <v>46362</v>
      </c>
    </row>
    <row r="243" spans="1:17 16383:16383" ht="17.25" customHeight="1" x14ac:dyDescent="0.2">
      <c r="A243" s="102"/>
      <c r="B243" s="102"/>
      <c r="C243" s="118"/>
      <c r="D243" s="591" t="s">
        <v>802</v>
      </c>
      <c r="E243" s="552">
        <v>2</v>
      </c>
      <c r="F243" s="411">
        <v>151531</v>
      </c>
      <c r="G243" s="82"/>
      <c r="H243" s="82"/>
      <c r="I243" s="82">
        <f>1500+táj2!I243</f>
        <v>0</v>
      </c>
      <c r="J243" s="82"/>
      <c r="K243" s="82"/>
      <c r="L243" s="82"/>
      <c r="M243" s="82"/>
      <c r="N243" s="82"/>
      <c r="O243" s="82"/>
      <c r="P243" s="82"/>
      <c r="Q243" s="82">
        <f t="shared" si="16"/>
        <v>0</v>
      </c>
    </row>
    <row r="244" spans="1:17 16383:16383" ht="15" customHeight="1" x14ac:dyDescent="0.2">
      <c r="A244" s="102"/>
      <c r="B244" s="102"/>
      <c r="C244" s="118"/>
      <c r="D244" s="591" t="s">
        <v>803</v>
      </c>
      <c r="E244" s="552">
        <v>2</v>
      </c>
      <c r="F244" s="411">
        <v>151532</v>
      </c>
      <c r="G244" s="82"/>
      <c r="H244" s="82"/>
      <c r="I244" s="82">
        <f>1999+táj2!I244</f>
        <v>1999</v>
      </c>
      <c r="J244" s="82"/>
      <c r="K244" s="82"/>
      <c r="L244" s="82"/>
      <c r="M244" s="82"/>
      <c r="N244" s="82"/>
      <c r="O244" s="82"/>
      <c r="P244" s="82"/>
      <c r="Q244" s="82">
        <f t="shared" si="16"/>
        <v>1999</v>
      </c>
    </row>
    <row r="245" spans="1:17 16383:16383" ht="15" customHeight="1" x14ac:dyDescent="0.2">
      <c r="A245" s="102"/>
      <c r="B245" s="102"/>
      <c r="C245" s="118"/>
      <c r="D245" s="544" t="s">
        <v>804</v>
      </c>
      <c r="E245" s="552"/>
      <c r="F245" s="553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</row>
    <row r="246" spans="1:17 16383:16383" ht="15" customHeight="1" x14ac:dyDescent="0.2">
      <c r="A246" s="102"/>
      <c r="B246" s="102"/>
      <c r="C246" s="118"/>
      <c r="D246" s="544" t="s">
        <v>413</v>
      </c>
      <c r="E246" s="411">
        <v>1</v>
      </c>
      <c r="F246" s="411">
        <v>151401</v>
      </c>
      <c r="G246" s="82"/>
      <c r="H246" s="82"/>
      <c r="I246" s="82">
        <f>353079+táj2!I246</f>
        <v>349279</v>
      </c>
      <c r="J246" s="82"/>
      <c r="K246" s="82"/>
      <c r="L246" s="82"/>
      <c r="M246" s="82"/>
      <c r="N246" s="82"/>
      <c r="O246" s="82"/>
      <c r="P246" s="82"/>
      <c r="Q246" s="82">
        <f t="shared" ref="Q246:Q255" si="17">SUM(G246:P246)</f>
        <v>349279</v>
      </c>
    </row>
    <row r="247" spans="1:17 16383:16383" ht="15" customHeight="1" x14ac:dyDescent="0.2">
      <c r="A247" s="102"/>
      <c r="B247" s="102"/>
      <c r="C247" s="118"/>
      <c r="D247" s="544" t="s">
        <v>805</v>
      </c>
      <c r="E247" s="411">
        <v>1</v>
      </c>
      <c r="F247" s="411">
        <v>151422</v>
      </c>
      <c r="G247" s="82"/>
      <c r="H247" s="82"/>
      <c r="I247" s="82">
        <f>11385+táj2!I247</f>
        <v>11385</v>
      </c>
      <c r="J247" s="82"/>
      <c r="K247" s="82"/>
      <c r="L247" s="82"/>
      <c r="M247" s="82"/>
      <c r="N247" s="82"/>
      <c r="O247" s="82"/>
      <c r="P247" s="82"/>
      <c r="Q247" s="82">
        <f t="shared" si="17"/>
        <v>11385</v>
      </c>
    </row>
    <row r="248" spans="1:17 16383:16383" ht="14.45" customHeight="1" x14ac:dyDescent="0.2">
      <c r="A248" s="102"/>
      <c r="B248" s="102"/>
      <c r="C248" s="118"/>
      <c r="D248" s="544" t="s">
        <v>414</v>
      </c>
      <c r="E248" s="553">
        <v>1</v>
      </c>
      <c r="F248" s="411">
        <v>151402</v>
      </c>
      <c r="G248" s="82"/>
      <c r="H248" s="82"/>
      <c r="I248" s="82">
        <f>83951+táj2!I248</f>
        <v>82934</v>
      </c>
      <c r="J248" s="82"/>
      <c r="K248" s="82"/>
      <c r="L248" s="82"/>
      <c r="M248" s="82"/>
      <c r="N248" s="82"/>
      <c r="O248" s="82"/>
      <c r="P248" s="82"/>
      <c r="Q248" s="82">
        <f t="shared" si="17"/>
        <v>82934</v>
      </c>
    </row>
    <row r="249" spans="1:17 16383:16383" ht="15" customHeight="1" x14ac:dyDescent="0.2">
      <c r="A249" s="102"/>
      <c r="B249" s="102"/>
      <c r="C249" s="118"/>
      <c r="D249" s="544" t="s">
        <v>806</v>
      </c>
      <c r="E249" s="553">
        <v>1</v>
      </c>
      <c r="F249" s="411">
        <v>151411</v>
      </c>
      <c r="G249" s="82"/>
      <c r="H249" s="82"/>
      <c r="I249" s="82">
        <f>9519+táj2!I249</f>
        <v>9864</v>
      </c>
      <c r="J249" s="82"/>
      <c r="K249" s="82"/>
      <c r="L249" s="82"/>
      <c r="M249" s="82">
        <f>3000+táj2!M249</f>
        <v>0</v>
      </c>
      <c r="N249" s="82"/>
      <c r="O249" s="82"/>
      <c r="P249" s="82"/>
      <c r="Q249" s="82">
        <f t="shared" si="17"/>
        <v>9864</v>
      </c>
      <c r="XFC249" s="1">
        <f>SUM(E249:XFB249)</f>
        <v>171140</v>
      </c>
    </row>
    <row r="250" spans="1:17 16383:16383" ht="15" customHeight="1" x14ac:dyDescent="0.2">
      <c r="A250" s="102"/>
      <c r="B250" s="102"/>
      <c r="C250" s="118"/>
      <c r="D250" s="544" t="s">
        <v>415</v>
      </c>
      <c r="E250" s="553">
        <v>2</v>
      </c>
      <c r="F250" s="411">
        <v>151415</v>
      </c>
      <c r="G250" s="82"/>
      <c r="H250" s="82"/>
      <c r="I250" s="82">
        <f>2187+táj2!I250</f>
        <v>2187</v>
      </c>
      <c r="J250" s="82"/>
      <c r="K250" s="82"/>
      <c r="L250" s="82"/>
      <c r="M250" s="82"/>
      <c r="N250" s="82"/>
      <c r="O250" s="82"/>
      <c r="P250" s="82"/>
      <c r="Q250" s="82">
        <f t="shared" si="17"/>
        <v>2187</v>
      </c>
      <c r="XFC250" s="1">
        <f>SUM(E250:XFB250)</f>
        <v>155791</v>
      </c>
    </row>
    <row r="251" spans="1:17 16383:16383" ht="15" customHeight="1" x14ac:dyDescent="0.2">
      <c r="A251" s="102"/>
      <c r="B251" s="102"/>
      <c r="C251" s="118"/>
      <c r="D251" s="544" t="s">
        <v>416</v>
      </c>
      <c r="E251" s="553">
        <v>1</v>
      </c>
      <c r="F251" s="411">
        <v>151416</v>
      </c>
      <c r="G251" s="82"/>
      <c r="H251" s="82"/>
      <c r="I251" s="82">
        <f>3000+táj2!I251</f>
        <v>0</v>
      </c>
      <c r="J251" s="82"/>
      <c r="K251" s="82"/>
      <c r="L251" s="82"/>
      <c r="M251" s="82"/>
      <c r="N251" s="82"/>
      <c r="O251" s="82"/>
      <c r="P251" s="82"/>
      <c r="Q251" s="82">
        <f t="shared" si="17"/>
        <v>0</v>
      </c>
      <c r="XFC251" s="1">
        <f>SUM(XFC249:XFD250)</f>
        <v>326931</v>
      </c>
    </row>
    <row r="252" spans="1:17 16383:16383" ht="15" customHeight="1" x14ac:dyDescent="0.2">
      <c r="A252" s="102"/>
      <c r="B252" s="102"/>
      <c r="C252" s="118"/>
      <c r="D252" s="544" t="s">
        <v>417</v>
      </c>
      <c r="E252" s="553">
        <v>1</v>
      </c>
      <c r="F252" s="411">
        <v>151417</v>
      </c>
      <c r="G252" s="82"/>
      <c r="H252" s="82"/>
      <c r="I252" s="82">
        <f>3500+táj2!I252</f>
        <v>9306</v>
      </c>
      <c r="J252" s="82"/>
      <c r="K252" s="82"/>
      <c r="L252" s="82"/>
      <c r="M252" s="82"/>
      <c r="N252" s="82"/>
      <c r="O252" s="82"/>
      <c r="P252" s="82"/>
      <c r="Q252" s="82">
        <f t="shared" si="17"/>
        <v>9306</v>
      </c>
      <c r="XFC252" s="1">
        <f>SUM(E252:XFB252)</f>
        <v>170030</v>
      </c>
    </row>
    <row r="253" spans="1:17 16383:16383" ht="15" customHeight="1" x14ac:dyDescent="0.2">
      <c r="A253" s="102"/>
      <c r="B253" s="102"/>
      <c r="C253" s="118"/>
      <c r="D253" s="544" t="s">
        <v>418</v>
      </c>
      <c r="E253" s="553">
        <v>2</v>
      </c>
      <c r="F253" s="411">
        <v>151407</v>
      </c>
      <c r="G253" s="82"/>
      <c r="H253" s="82"/>
      <c r="I253" s="82">
        <f>2073+táj2!I253</f>
        <v>2073</v>
      </c>
      <c r="J253" s="82"/>
      <c r="K253" s="82"/>
      <c r="L253" s="82"/>
      <c r="M253" s="82"/>
      <c r="N253" s="82"/>
      <c r="O253" s="82"/>
      <c r="P253" s="82"/>
      <c r="Q253" s="82">
        <f t="shared" si="17"/>
        <v>2073</v>
      </c>
      <c r="XFC253" s="1">
        <f>SUM(E253:XFB253)</f>
        <v>155555</v>
      </c>
    </row>
    <row r="254" spans="1:17 16383:16383" ht="15" customHeight="1" x14ac:dyDescent="0.2">
      <c r="A254" s="102"/>
      <c r="B254" s="102"/>
      <c r="C254" s="118"/>
      <c r="D254" s="544" t="s">
        <v>419</v>
      </c>
      <c r="E254" s="553">
        <v>2</v>
      </c>
      <c r="F254" s="553">
        <v>151404</v>
      </c>
      <c r="G254" s="82"/>
      <c r="H254" s="82"/>
      <c r="I254" s="82">
        <f>7266+táj2!I254</f>
        <v>7266</v>
      </c>
      <c r="J254" s="82"/>
      <c r="K254" s="82"/>
      <c r="L254" s="82">
        <f>2961+táj2!L254</f>
        <v>2961</v>
      </c>
      <c r="M254" s="82"/>
      <c r="N254" s="82"/>
      <c r="O254" s="82"/>
      <c r="P254" s="82"/>
      <c r="Q254" s="82">
        <f t="shared" si="17"/>
        <v>10227</v>
      </c>
      <c r="XFC254" s="1">
        <f>SUM(E254:XFB254)</f>
        <v>171860</v>
      </c>
    </row>
    <row r="255" spans="1:17 16383:16383" ht="15.6" customHeight="1" x14ac:dyDescent="0.2">
      <c r="A255" s="102"/>
      <c r="B255" s="102"/>
      <c r="C255" s="118"/>
      <c r="D255" s="592" t="s">
        <v>713</v>
      </c>
      <c r="E255" s="355">
        <v>2</v>
      </c>
      <c r="F255" s="355">
        <v>151408</v>
      </c>
      <c r="G255" s="82"/>
      <c r="H255" s="82"/>
      <c r="I255" s="82">
        <f>0+táj2!I255</f>
        <v>0</v>
      </c>
      <c r="J255" s="82"/>
      <c r="K255" s="82"/>
      <c r="L255" s="82"/>
      <c r="M255" s="82"/>
      <c r="N255" s="82"/>
      <c r="O255" s="82"/>
      <c r="P255" s="82"/>
      <c r="Q255" s="82">
        <f t="shared" si="17"/>
        <v>0</v>
      </c>
      <c r="XFC255" s="1">
        <f>SUM(Q255)</f>
        <v>0</v>
      </c>
    </row>
    <row r="256" spans="1:17 16383:16383" ht="23.25" customHeight="1" x14ac:dyDescent="0.2">
      <c r="A256" s="102"/>
      <c r="B256" s="102"/>
      <c r="C256" s="118"/>
      <c r="D256" s="593" t="s">
        <v>904</v>
      </c>
      <c r="E256" s="367">
        <v>2</v>
      </c>
      <c r="F256" s="367">
        <v>151926</v>
      </c>
      <c r="G256" s="82"/>
      <c r="H256" s="82"/>
      <c r="I256" s="82">
        <f>6800+táj2!I256</f>
        <v>6800</v>
      </c>
      <c r="J256" s="82"/>
      <c r="K256" s="82"/>
      <c r="L256" s="82"/>
      <c r="M256" s="82"/>
      <c r="N256" s="82"/>
      <c r="O256" s="82"/>
      <c r="P256" s="82"/>
      <c r="Q256" s="82">
        <f>SUM(G256:P256)</f>
        <v>6800</v>
      </c>
      <c r="XFC256" s="1">
        <f>SUM(E256:XFB256)</f>
        <v>165528</v>
      </c>
    </row>
    <row r="257" spans="1:17 16383:16383" ht="14.25" customHeight="1" x14ac:dyDescent="0.2">
      <c r="A257" s="679"/>
      <c r="B257" s="679"/>
      <c r="C257" s="661"/>
      <c r="D257" s="705" t="s">
        <v>1144</v>
      </c>
      <c r="E257" s="706">
        <v>2</v>
      </c>
      <c r="F257" s="707">
        <v>151426</v>
      </c>
      <c r="G257" s="663"/>
      <c r="H257" s="663"/>
      <c r="I257" s="82">
        <f>4000+táj2!I257</f>
        <v>0</v>
      </c>
      <c r="J257" s="663"/>
      <c r="K257" s="663"/>
      <c r="L257" s="663"/>
      <c r="M257" s="663"/>
      <c r="N257" s="663"/>
      <c r="O257" s="663"/>
      <c r="P257" s="663"/>
      <c r="Q257" s="82">
        <f t="shared" ref="Q257:Q258" si="18">SUM(G257:P257)</f>
        <v>0</v>
      </c>
    </row>
    <row r="258" spans="1:17 16383:16383" ht="14.25" customHeight="1" x14ac:dyDescent="0.2">
      <c r="A258" s="679"/>
      <c r="B258" s="679"/>
      <c r="C258" s="661"/>
      <c r="D258" s="705" t="s">
        <v>1157</v>
      </c>
      <c r="E258" s="706">
        <v>1</v>
      </c>
      <c r="F258" s="707">
        <v>151429</v>
      </c>
      <c r="G258" s="663"/>
      <c r="H258" s="663"/>
      <c r="I258" s="82">
        <f>2000+táj2!I258</f>
        <v>2000</v>
      </c>
      <c r="J258" s="663"/>
      <c r="K258" s="663"/>
      <c r="L258" s="663"/>
      <c r="M258" s="663"/>
      <c r="N258" s="663"/>
      <c r="O258" s="663"/>
      <c r="P258" s="663"/>
      <c r="Q258" s="82">
        <f t="shared" si="18"/>
        <v>2000</v>
      </c>
    </row>
    <row r="259" spans="1:17 16383:16383" ht="15" customHeight="1" x14ac:dyDescent="0.2">
      <c r="A259" s="82"/>
      <c r="B259" s="82"/>
      <c r="C259" s="82"/>
      <c r="D259" s="351" t="s">
        <v>420</v>
      </c>
      <c r="E259" s="594"/>
      <c r="F259" s="355"/>
      <c r="G259" s="82"/>
      <c r="H259" s="82"/>
      <c r="I259" s="82"/>
      <c r="J259" s="82"/>
      <c r="K259" s="82"/>
      <c r="L259" s="82"/>
      <c r="M259" s="82"/>
      <c r="N259" s="82"/>
      <c r="O259" s="82"/>
      <c r="P259" s="82"/>
      <c r="Q259" s="82"/>
      <c r="XFC259" s="1">
        <f>SUM(Q259)</f>
        <v>0</v>
      </c>
    </row>
    <row r="260" spans="1:17 16383:16383" ht="29.25" customHeight="1" x14ac:dyDescent="0.2">
      <c r="A260" s="102"/>
      <c r="B260" s="102"/>
      <c r="C260" s="118"/>
      <c r="D260" s="365" t="s">
        <v>421</v>
      </c>
      <c r="E260" s="367">
        <v>1</v>
      </c>
      <c r="F260" s="368">
        <v>191129</v>
      </c>
      <c r="G260" s="82"/>
      <c r="H260" s="82"/>
      <c r="I260" s="82"/>
      <c r="J260" s="82"/>
      <c r="K260" s="82">
        <f>1088878+táj2!K260</f>
        <v>1088878</v>
      </c>
      <c r="L260" s="82"/>
      <c r="M260" s="82"/>
      <c r="N260" s="82"/>
      <c r="O260" s="82"/>
      <c r="P260" s="82"/>
      <c r="Q260" s="82">
        <f>SUM(G260:P260)</f>
        <v>1088878</v>
      </c>
      <c r="XFC260" s="1">
        <f>SUM(E260:XFB260)</f>
        <v>2368886</v>
      </c>
    </row>
    <row r="261" spans="1:17 16383:16383" ht="24.75" customHeight="1" x14ac:dyDescent="0.2">
      <c r="A261" s="102"/>
      <c r="B261" s="102"/>
      <c r="C261" s="118"/>
      <c r="D261" s="365" t="s">
        <v>905</v>
      </c>
      <c r="E261" s="367">
        <v>1</v>
      </c>
      <c r="F261" s="368">
        <v>151106</v>
      </c>
      <c r="G261" s="82"/>
      <c r="H261" s="82"/>
      <c r="I261" s="82"/>
      <c r="J261" s="82"/>
      <c r="K261" s="82">
        <f>11975+táj2!K261</f>
        <v>11975</v>
      </c>
      <c r="L261" s="82"/>
      <c r="M261" s="82"/>
      <c r="N261" s="82"/>
      <c r="O261" s="82"/>
      <c r="P261" s="82"/>
      <c r="Q261" s="82">
        <f>SUM(G261:P261)</f>
        <v>11975</v>
      </c>
      <c r="XFC261" s="1">
        <f>SUM(E261:XFB261)</f>
        <v>175057</v>
      </c>
    </row>
    <row r="262" spans="1:17 16383:16383" ht="15" customHeight="1" x14ac:dyDescent="0.2">
      <c r="A262" s="102"/>
      <c r="B262" s="102"/>
      <c r="C262" s="118"/>
      <c r="D262" s="375" t="s">
        <v>422</v>
      </c>
      <c r="E262" s="594"/>
      <c r="F262" s="355"/>
      <c r="G262" s="82"/>
      <c r="H262" s="82"/>
      <c r="I262" s="82"/>
      <c r="J262" s="82"/>
      <c r="K262" s="82"/>
      <c r="L262" s="82"/>
      <c r="M262" s="82"/>
      <c r="N262" s="82"/>
      <c r="O262" s="82"/>
      <c r="P262" s="82"/>
      <c r="Q262" s="82"/>
      <c r="XFC262" s="1">
        <f>SUM(E262:XFB262)</f>
        <v>0</v>
      </c>
    </row>
    <row r="263" spans="1:17 16383:16383" ht="15" customHeight="1" x14ac:dyDescent="0.2">
      <c r="A263" s="102"/>
      <c r="B263" s="102"/>
      <c r="C263" s="118"/>
      <c r="D263" s="351" t="s">
        <v>423</v>
      </c>
      <c r="E263" s="359">
        <v>1</v>
      </c>
      <c r="F263" s="359">
        <v>151102</v>
      </c>
      <c r="G263" s="82"/>
      <c r="H263" s="82"/>
      <c r="I263" s="82">
        <f>3151+táj2!I263</f>
        <v>3151</v>
      </c>
      <c r="J263" s="82"/>
      <c r="K263" s="82"/>
      <c r="L263" s="82"/>
      <c r="M263" s="82"/>
      <c r="N263" s="82"/>
      <c r="O263" s="82"/>
      <c r="P263" s="82"/>
      <c r="Q263" s="82">
        <f t="shared" ref="Q263:Q276" si="19">SUM(G263:P263)</f>
        <v>3151</v>
      </c>
      <c r="XFC263" s="1">
        <f>SUM(Q263)</f>
        <v>3151</v>
      </c>
    </row>
    <row r="264" spans="1:17 16383:16383" ht="15" customHeight="1" x14ac:dyDescent="0.2">
      <c r="A264" s="102"/>
      <c r="B264" s="102"/>
      <c r="C264" s="118"/>
      <c r="D264" s="351" t="s">
        <v>1158</v>
      </c>
      <c r="E264" s="359">
        <v>1</v>
      </c>
      <c r="F264" s="359">
        <v>151103</v>
      </c>
      <c r="G264" s="82"/>
      <c r="H264" s="82"/>
      <c r="I264" s="82">
        <f>4500+táj2!I264</f>
        <v>4500</v>
      </c>
      <c r="J264" s="82"/>
      <c r="K264" s="82"/>
      <c r="L264" s="82"/>
      <c r="M264" s="82"/>
      <c r="N264" s="82"/>
      <c r="O264" s="82"/>
      <c r="P264" s="82"/>
      <c r="Q264" s="82">
        <f t="shared" si="19"/>
        <v>4500</v>
      </c>
      <c r="XFC264" s="1">
        <f>SUM(E264:XFB264)</f>
        <v>160104</v>
      </c>
    </row>
    <row r="265" spans="1:17 16383:16383" ht="15" customHeight="1" x14ac:dyDescent="0.2">
      <c r="A265" s="102"/>
      <c r="B265" s="102"/>
      <c r="C265" s="118"/>
      <c r="D265" s="351" t="s">
        <v>424</v>
      </c>
      <c r="E265" s="359">
        <v>1</v>
      </c>
      <c r="F265" s="359">
        <v>151105</v>
      </c>
      <c r="G265" s="82"/>
      <c r="H265" s="82"/>
      <c r="I265" s="82">
        <f>10000+táj2!I265</f>
        <v>304</v>
      </c>
      <c r="J265" s="82"/>
      <c r="K265" s="82"/>
      <c r="L265" s="82"/>
      <c r="M265" s="82"/>
      <c r="N265" s="82"/>
      <c r="O265" s="82"/>
      <c r="P265" s="82"/>
      <c r="Q265" s="82">
        <f t="shared" si="19"/>
        <v>304</v>
      </c>
      <c r="XFC265" s="1">
        <f>SUM(E265:XFB265)</f>
        <v>151714</v>
      </c>
    </row>
    <row r="266" spans="1:17 16383:16383" ht="15" customHeight="1" x14ac:dyDescent="0.2">
      <c r="A266" s="102"/>
      <c r="B266" s="102"/>
      <c r="C266" s="118"/>
      <c r="D266" s="351" t="s">
        <v>425</v>
      </c>
      <c r="E266" s="594"/>
      <c r="F266" s="355"/>
      <c r="G266" s="82"/>
      <c r="H266" s="82"/>
      <c r="I266" s="82"/>
      <c r="J266" s="82"/>
      <c r="K266" s="82"/>
      <c r="L266" s="82"/>
      <c r="M266" s="82"/>
      <c r="N266" s="82"/>
      <c r="O266" s="82"/>
      <c r="P266" s="82"/>
      <c r="Q266" s="82"/>
      <c r="XFC266" s="1">
        <f>SUM(XFC264:XFD265)</f>
        <v>311818</v>
      </c>
    </row>
    <row r="267" spans="1:17 16383:16383" ht="15" customHeight="1" x14ac:dyDescent="0.2">
      <c r="A267" s="102"/>
      <c r="B267" s="102"/>
      <c r="C267" s="118"/>
      <c r="D267" s="375" t="s">
        <v>426</v>
      </c>
      <c r="E267" s="355">
        <v>1</v>
      </c>
      <c r="F267" s="359">
        <v>151301</v>
      </c>
      <c r="G267" s="82"/>
      <c r="H267" s="82"/>
      <c r="I267" s="82">
        <f>32030+táj2!I267</f>
        <v>33631</v>
      </c>
      <c r="J267" s="82"/>
      <c r="K267" s="82"/>
      <c r="L267" s="82"/>
      <c r="M267" s="82"/>
      <c r="N267" s="82"/>
      <c r="O267" s="82"/>
      <c r="P267" s="82"/>
      <c r="Q267" s="82">
        <f t="shared" si="19"/>
        <v>33631</v>
      </c>
      <c r="XFC267" s="1">
        <f>SUM(XFC263:XFD266)</f>
        <v>626787</v>
      </c>
    </row>
    <row r="268" spans="1:17 16383:16383" ht="16.5" customHeight="1" x14ac:dyDescent="0.2">
      <c r="A268" s="102"/>
      <c r="B268" s="102"/>
      <c r="C268" s="118"/>
      <c r="D268" s="375" t="s">
        <v>427</v>
      </c>
      <c r="E268" s="355">
        <v>1</v>
      </c>
      <c r="F268" s="359">
        <v>151310</v>
      </c>
      <c r="G268" s="82"/>
      <c r="H268" s="82"/>
      <c r="I268" s="82">
        <f>16500+táj2!I268</f>
        <v>16500</v>
      </c>
      <c r="J268" s="82"/>
      <c r="K268" s="82"/>
      <c r="L268" s="82"/>
      <c r="M268" s="82"/>
      <c r="N268" s="82"/>
      <c r="O268" s="82"/>
      <c r="P268" s="82"/>
      <c r="Q268" s="82">
        <f t="shared" si="19"/>
        <v>16500</v>
      </c>
      <c r="XFC268" s="1">
        <f>SUM(E268:XFB268)</f>
        <v>184311</v>
      </c>
    </row>
    <row r="269" spans="1:17 16383:16383" ht="13.9" customHeight="1" x14ac:dyDescent="0.2">
      <c r="A269" s="102"/>
      <c r="B269" s="102"/>
      <c r="C269" s="118"/>
      <c r="D269" s="375" t="s">
        <v>428</v>
      </c>
      <c r="E269" s="355">
        <v>1</v>
      </c>
      <c r="F269" s="359">
        <v>151313</v>
      </c>
      <c r="G269" s="82"/>
      <c r="H269" s="82"/>
      <c r="I269" s="82">
        <f>22143+táj2!I269</f>
        <v>22143</v>
      </c>
      <c r="J269" s="82"/>
      <c r="K269" s="82"/>
      <c r="L269" s="82"/>
      <c r="M269" s="82"/>
      <c r="N269" s="82"/>
      <c r="O269" s="82"/>
      <c r="P269" s="82"/>
      <c r="Q269" s="82">
        <f t="shared" si="19"/>
        <v>22143</v>
      </c>
      <c r="XFC269" s="1">
        <f>SUM(E269:XFB269)</f>
        <v>195600</v>
      </c>
    </row>
    <row r="270" spans="1:17 16383:16383" ht="14.45" customHeight="1" x14ac:dyDescent="0.2">
      <c r="A270" s="102"/>
      <c r="B270" s="102"/>
      <c r="C270" s="118"/>
      <c r="D270" s="375" t="s">
        <v>429</v>
      </c>
      <c r="E270" s="355">
        <v>1</v>
      </c>
      <c r="F270" s="359">
        <v>151314</v>
      </c>
      <c r="G270" s="82"/>
      <c r="H270" s="82"/>
      <c r="I270" s="82">
        <f>50329+táj2!I270</f>
        <v>50329</v>
      </c>
      <c r="J270" s="82"/>
      <c r="K270" s="82"/>
      <c r="L270" s="82"/>
      <c r="M270" s="82"/>
      <c r="N270" s="82"/>
      <c r="O270" s="82"/>
      <c r="P270" s="82"/>
      <c r="Q270" s="82">
        <f t="shared" si="19"/>
        <v>50329</v>
      </c>
      <c r="XFC270" s="1">
        <f>SUM(XFC268:XFD269)</f>
        <v>379911</v>
      </c>
    </row>
    <row r="271" spans="1:17 16383:16383" ht="15" customHeight="1" x14ac:dyDescent="0.2">
      <c r="A271" s="102"/>
      <c r="B271" s="102"/>
      <c r="C271" s="118"/>
      <c r="D271" s="375" t="s">
        <v>430</v>
      </c>
      <c r="E271" s="355">
        <v>1</v>
      </c>
      <c r="F271" s="359">
        <v>151317</v>
      </c>
      <c r="G271" s="82"/>
      <c r="H271" s="82"/>
      <c r="I271" s="82">
        <f>18872+táj2!I271</f>
        <v>16872</v>
      </c>
      <c r="J271" s="82"/>
      <c r="K271" s="82"/>
      <c r="L271" s="82"/>
      <c r="M271" s="82"/>
      <c r="N271" s="82"/>
      <c r="O271" s="82"/>
      <c r="P271" s="82"/>
      <c r="Q271" s="82">
        <f t="shared" si="19"/>
        <v>16872</v>
      </c>
      <c r="XFC271" s="1">
        <f>SUM(E271:XFB271)</f>
        <v>185062</v>
      </c>
    </row>
    <row r="272" spans="1:17 16383:16383" ht="17.25" customHeight="1" x14ac:dyDescent="0.2">
      <c r="A272" s="102"/>
      <c r="B272" s="102"/>
      <c r="C272" s="118"/>
      <c r="D272" s="365" t="s">
        <v>647</v>
      </c>
      <c r="E272" s="355">
        <v>1</v>
      </c>
      <c r="F272" s="359">
        <v>151306</v>
      </c>
      <c r="G272" s="82"/>
      <c r="H272" s="82"/>
      <c r="I272" s="82">
        <f>4375+táj2!I272</f>
        <v>4375</v>
      </c>
      <c r="J272" s="82"/>
      <c r="K272" s="82"/>
      <c r="L272" s="82"/>
      <c r="M272" s="82"/>
      <c r="N272" s="82"/>
      <c r="O272" s="82"/>
      <c r="P272" s="82"/>
      <c r="Q272" s="82">
        <f t="shared" si="19"/>
        <v>4375</v>
      </c>
      <c r="XFC272" s="1">
        <f>SUM(E272:XFB272)</f>
        <v>160057</v>
      </c>
    </row>
    <row r="273" spans="1:17 16383:16383" ht="25.15" customHeight="1" x14ac:dyDescent="0.2">
      <c r="A273" s="102"/>
      <c r="B273" s="102"/>
      <c r="C273" s="118"/>
      <c r="D273" s="365" t="s">
        <v>1160</v>
      </c>
      <c r="E273" s="355">
        <v>1</v>
      </c>
      <c r="F273" s="359">
        <v>151307</v>
      </c>
      <c r="G273" s="82"/>
      <c r="H273" s="82"/>
      <c r="I273" s="82">
        <f>10000+táj2!I273</f>
        <v>0</v>
      </c>
      <c r="J273" s="82"/>
      <c r="K273" s="82"/>
      <c r="L273" s="82"/>
      <c r="M273" s="82"/>
      <c r="N273" s="82"/>
      <c r="O273" s="82"/>
      <c r="P273" s="82"/>
      <c r="Q273" s="82">
        <f t="shared" si="19"/>
        <v>0</v>
      </c>
      <c r="XFC273" s="1">
        <f>SUM(XFC271:XFD272)</f>
        <v>345119</v>
      </c>
    </row>
    <row r="274" spans="1:17 16383:16383" ht="26.45" customHeight="1" x14ac:dyDescent="0.2">
      <c r="A274" s="102"/>
      <c r="B274" s="102"/>
      <c r="C274" s="118"/>
      <c r="D274" s="365" t="s">
        <v>1159</v>
      </c>
      <c r="E274" s="367">
        <v>1</v>
      </c>
      <c r="F274" s="368">
        <v>151311</v>
      </c>
      <c r="G274" s="82"/>
      <c r="H274" s="82"/>
      <c r="I274" s="82">
        <f>198+táj2!I274</f>
        <v>198</v>
      </c>
      <c r="J274" s="82"/>
      <c r="K274" s="82"/>
      <c r="L274" s="82"/>
      <c r="M274" s="82"/>
      <c r="N274" s="82"/>
      <c r="O274" s="82"/>
      <c r="P274" s="82"/>
      <c r="Q274" s="82">
        <f t="shared" si="19"/>
        <v>198</v>
      </c>
      <c r="XFC274" s="1">
        <f>SUM(E274:XFB274)</f>
        <v>151708</v>
      </c>
    </row>
    <row r="275" spans="1:17 16383:16383" ht="16.5" customHeight="1" x14ac:dyDescent="0.2">
      <c r="A275" s="341"/>
      <c r="B275" s="341"/>
      <c r="C275" s="363"/>
      <c r="D275" s="351" t="s">
        <v>1161</v>
      </c>
      <c r="E275" s="355">
        <v>1</v>
      </c>
      <c r="F275" s="359">
        <v>151312</v>
      </c>
      <c r="G275" s="359"/>
      <c r="H275" s="359"/>
      <c r="I275" s="82">
        <f>507+táj2!I275</f>
        <v>507</v>
      </c>
      <c r="J275" s="359"/>
      <c r="K275" s="359"/>
      <c r="L275" s="359"/>
      <c r="M275" s="359"/>
      <c r="N275" s="359"/>
      <c r="O275" s="359"/>
      <c r="P275" s="359"/>
      <c r="Q275" s="82">
        <f t="shared" si="19"/>
        <v>507</v>
      </c>
      <c r="XFC275" s="1">
        <f>SUM(E275:XFB275)</f>
        <v>152327</v>
      </c>
    </row>
    <row r="276" spans="1:17 16383:16383" ht="16.149999999999999" customHeight="1" x14ac:dyDescent="0.2">
      <c r="A276" s="102"/>
      <c r="B276" s="102"/>
      <c r="C276" s="118"/>
      <c r="D276" s="365" t="s">
        <v>714</v>
      </c>
      <c r="E276" s="355">
        <v>1</v>
      </c>
      <c r="F276" s="359">
        <v>151302</v>
      </c>
      <c r="G276" s="82"/>
      <c r="H276" s="82"/>
      <c r="I276" s="82">
        <f>4471+táj2!I276</f>
        <v>4471</v>
      </c>
      <c r="J276" s="82"/>
      <c r="K276" s="82"/>
      <c r="L276" s="82"/>
      <c r="M276" s="82"/>
      <c r="N276" s="82"/>
      <c r="O276" s="82"/>
      <c r="P276" s="82"/>
      <c r="Q276" s="82">
        <f t="shared" si="19"/>
        <v>4471</v>
      </c>
      <c r="XFC276" s="1">
        <f>SUM(E276:XFB276)</f>
        <v>160245</v>
      </c>
    </row>
    <row r="277" spans="1:17 16383:16383" ht="28.5" customHeight="1" x14ac:dyDescent="0.2">
      <c r="A277" s="102"/>
      <c r="B277" s="102"/>
      <c r="C277" s="118"/>
      <c r="D277" s="595" t="s">
        <v>648</v>
      </c>
      <c r="E277" s="239">
        <v>1</v>
      </c>
      <c r="F277" s="368">
        <v>151321</v>
      </c>
      <c r="G277" s="82"/>
      <c r="H277" s="82"/>
      <c r="I277" s="82">
        <f>2200+táj2!I277</f>
        <v>0</v>
      </c>
      <c r="J277" s="82"/>
      <c r="K277" s="82"/>
      <c r="L277" s="82"/>
      <c r="M277" s="82"/>
      <c r="N277" s="82"/>
      <c r="O277" s="82"/>
      <c r="P277" s="82"/>
      <c r="Q277" s="82">
        <f>SUM(G277:P277)</f>
        <v>0</v>
      </c>
      <c r="XFC277" s="1">
        <f>SUM(Q277)</f>
        <v>0</v>
      </c>
    </row>
    <row r="278" spans="1:17 16383:16383" ht="15" customHeight="1" x14ac:dyDescent="0.2">
      <c r="A278" s="102"/>
      <c r="B278" s="102"/>
      <c r="C278" s="118"/>
      <c r="D278" s="365" t="s">
        <v>434</v>
      </c>
      <c r="E278" s="367">
        <v>1</v>
      </c>
      <c r="F278" s="368">
        <v>151319</v>
      </c>
      <c r="G278" s="82"/>
      <c r="H278" s="82"/>
      <c r="I278" s="82">
        <f>2103+táj2!I278</f>
        <v>2103</v>
      </c>
      <c r="J278" s="82"/>
      <c r="K278" s="82"/>
      <c r="L278" s="82"/>
      <c r="M278" s="82"/>
      <c r="N278" s="82"/>
      <c r="O278" s="82"/>
      <c r="P278" s="82"/>
      <c r="Q278" s="82">
        <f t="shared" ref="Q278:Q279" si="20">SUM(G278:P278)</f>
        <v>2103</v>
      </c>
      <c r="XFC278" s="1">
        <f>SUM(E278:XFB278)</f>
        <v>155526</v>
      </c>
    </row>
    <row r="279" spans="1:17 16383:16383" ht="27.6" customHeight="1" x14ac:dyDescent="0.2">
      <c r="A279" s="102"/>
      <c r="B279" s="102"/>
      <c r="C279" s="118"/>
      <c r="D279" s="365" t="s">
        <v>807</v>
      </c>
      <c r="E279" s="367">
        <v>2</v>
      </c>
      <c r="F279" s="368">
        <v>151323</v>
      </c>
      <c r="G279" s="82"/>
      <c r="H279" s="82"/>
      <c r="I279" s="82"/>
      <c r="J279" s="82"/>
      <c r="K279" s="82">
        <f>100+táj2!K279</f>
        <v>100</v>
      </c>
      <c r="L279" s="82"/>
      <c r="M279" s="82"/>
      <c r="N279" s="82"/>
      <c r="O279" s="82"/>
      <c r="P279" s="82"/>
      <c r="Q279" s="82">
        <f t="shared" si="20"/>
        <v>100</v>
      </c>
    </row>
    <row r="280" spans="1:17 16383:16383" ht="26.45" customHeight="1" x14ac:dyDescent="0.2">
      <c r="A280" s="102"/>
      <c r="B280" s="102"/>
      <c r="C280" s="118"/>
      <c r="D280" s="365" t="s">
        <v>435</v>
      </c>
      <c r="E280" s="596"/>
      <c r="F280" s="367"/>
      <c r="G280" s="82"/>
      <c r="H280" s="82"/>
      <c r="I280" s="82"/>
      <c r="J280" s="82"/>
      <c r="K280" s="82"/>
      <c r="L280" s="82"/>
      <c r="M280" s="82"/>
      <c r="N280" s="82"/>
      <c r="O280" s="82"/>
      <c r="P280" s="82"/>
      <c r="Q280" s="82"/>
    </row>
    <row r="281" spans="1:17 16383:16383" ht="14.1" customHeight="1" x14ac:dyDescent="0.2">
      <c r="A281" s="102"/>
      <c r="B281" s="102"/>
      <c r="C281" s="118"/>
      <c r="D281" s="351" t="s">
        <v>906</v>
      </c>
      <c r="E281" s="359">
        <v>1</v>
      </c>
      <c r="F281" s="359">
        <v>151703</v>
      </c>
      <c r="G281" s="82"/>
      <c r="H281" s="82"/>
      <c r="I281" s="82">
        <f>9347+táj2!I281</f>
        <v>12746</v>
      </c>
      <c r="J281" s="82"/>
      <c r="K281" s="82"/>
      <c r="L281" s="82">
        <f>1967+táj2!L281</f>
        <v>1967</v>
      </c>
      <c r="M281" s="82"/>
      <c r="N281" s="82"/>
      <c r="O281" s="82"/>
      <c r="P281" s="82"/>
      <c r="Q281" s="82">
        <f t="shared" ref="Q281:Q295" si="21">SUM(G281:P281)</f>
        <v>14713</v>
      </c>
    </row>
    <row r="282" spans="1:17 16383:16383" ht="14.1" customHeight="1" x14ac:dyDescent="0.2">
      <c r="A282" s="102"/>
      <c r="B282" s="102"/>
      <c r="C282" s="118"/>
      <c r="D282" s="351" t="s">
        <v>907</v>
      </c>
      <c r="E282" s="359">
        <v>1</v>
      </c>
      <c r="F282" s="359">
        <v>151702</v>
      </c>
      <c r="G282" s="82"/>
      <c r="H282" s="82"/>
      <c r="I282" s="82">
        <f>1531+táj2!I282</f>
        <v>1531</v>
      </c>
      <c r="J282" s="82"/>
      <c r="K282" s="82"/>
      <c r="L282" s="82"/>
      <c r="M282" s="82"/>
      <c r="N282" s="82"/>
      <c r="O282" s="82"/>
      <c r="P282" s="82"/>
      <c r="Q282" s="82">
        <f t="shared" si="21"/>
        <v>1531</v>
      </c>
    </row>
    <row r="283" spans="1:17 16383:16383" ht="15" customHeight="1" x14ac:dyDescent="0.2">
      <c r="A283" s="102" t="s">
        <v>82</v>
      </c>
      <c r="B283" s="102"/>
      <c r="C283" s="118"/>
      <c r="D283" s="375" t="s">
        <v>208</v>
      </c>
      <c r="E283" s="597"/>
      <c r="F283" s="355"/>
      <c r="G283" s="82"/>
      <c r="H283" s="82"/>
      <c r="I283" s="82"/>
      <c r="J283" s="82"/>
      <c r="K283" s="82"/>
      <c r="L283" s="82"/>
      <c r="M283" s="82"/>
      <c r="N283" s="82"/>
      <c r="O283" s="82"/>
      <c r="P283" s="82"/>
      <c r="Q283" s="82"/>
    </row>
    <row r="284" spans="1:17 16383:16383" ht="17.100000000000001" customHeight="1" x14ac:dyDescent="0.2">
      <c r="A284" s="102"/>
      <c r="B284" s="102"/>
      <c r="C284" s="118"/>
      <c r="D284" s="351" t="s">
        <v>436</v>
      </c>
      <c r="E284" s="359">
        <v>1</v>
      </c>
      <c r="F284" s="359">
        <v>151601</v>
      </c>
      <c r="G284" s="82"/>
      <c r="H284" s="82"/>
      <c r="I284" s="82">
        <f>26956+táj2!I284</f>
        <v>17580</v>
      </c>
      <c r="J284" s="82"/>
      <c r="K284" s="82"/>
      <c r="L284" s="82">
        <f>0+táj2!L284</f>
        <v>1000</v>
      </c>
      <c r="M284" s="82"/>
      <c r="N284" s="82"/>
      <c r="O284" s="82"/>
      <c r="P284" s="82"/>
      <c r="Q284" s="82">
        <f t="shared" si="21"/>
        <v>18580</v>
      </c>
    </row>
    <row r="285" spans="1:17 16383:16383" ht="15" customHeight="1" x14ac:dyDescent="0.2">
      <c r="A285" s="102"/>
      <c r="B285" s="102"/>
      <c r="C285" s="118"/>
      <c r="D285" s="351" t="s">
        <v>1162</v>
      </c>
      <c r="E285" s="359">
        <v>1</v>
      </c>
      <c r="F285" s="359">
        <v>151602</v>
      </c>
      <c r="G285" s="82"/>
      <c r="H285" s="82"/>
      <c r="I285" s="82"/>
      <c r="J285" s="82"/>
      <c r="K285" s="82">
        <f>19500+táj2!K285</f>
        <v>19500</v>
      </c>
      <c r="L285" s="82"/>
      <c r="M285" s="82"/>
      <c r="N285" s="82"/>
      <c r="O285" s="82"/>
      <c r="P285" s="82"/>
      <c r="Q285" s="82">
        <f t="shared" si="21"/>
        <v>19500</v>
      </c>
    </row>
    <row r="286" spans="1:17 16383:16383" ht="15" customHeight="1" x14ac:dyDescent="0.2">
      <c r="A286" s="102"/>
      <c r="B286" s="102"/>
      <c r="C286" s="118"/>
      <c r="D286" s="351" t="s">
        <v>908</v>
      </c>
      <c r="E286" s="359">
        <v>1</v>
      </c>
      <c r="F286" s="359">
        <v>151622</v>
      </c>
      <c r="G286" s="82"/>
      <c r="H286" s="82"/>
      <c r="I286" s="82">
        <f>9800+táj2!I286</f>
        <v>418</v>
      </c>
      <c r="J286" s="82"/>
      <c r="K286" s="82"/>
      <c r="L286" s="82"/>
      <c r="M286" s="82"/>
      <c r="N286" s="82"/>
      <c r="O286" s="82"/>
      <c r="P286" s="82"/>
      <c r="Q286" s="82">
        <f t="shared" si="21"/>
        <v>418</v>
      </c>
    </row>
    <row r="287" spans="1:17 16383:16383" ht="13.9" customHeight="1" x14ac:dyDescent="0.2">
      <c r="A287" s="102"/>
      <c r="B287" s="102"/>
      <c r="C287" s="118"/>
      <c r="D287" s="351" t="s">
        <v>1163</v>
      </c>
      <c r="E287" s="359">
        <v>1</v>
      </c>
      <c r="F287" s="359">
        <v>151607</v>
      </c>
      <c r="G287" s="82">
        <f>50+táj2!G287</f>
        <v>58</v>
      </c>
      <c r="H287" s="82"/>
      <c r="I287" s="82">
        <f>43063+táj2!I287</f>
        <v>43055</v>
      </c>
      <c r="J287" s="82"/>
      <c r="K287" s="82"/>
      <c r="L287" s="82"/>
      <c r="M287" s="82"/>
      <c r="N287" s="82"/>
      <c r="O287" s="82"/>
      <c r="P287" s="82"/>
      <c r="Q287" s="82">
        <f t="shared" si="21"/>
        <v>43113</v>
      </c>
    </row>
    <row r="288" spans="1:17 16383:16383" ht="27" customHeight="1" x14ac:dyDescent="0.2">
      <c r="A288" s="102"/>
      <c r="B288" s="102"/>
      <c r="C288" s="118"/>
      <c r="D288" s="365" t="s">
        <v>439</v>
      </c>
      <c r="E288" s="355">
        <v>1</v>
      </c>
      <c r="F288" s="359">
        <v>151619</v>
      </c>
      <c r="G288" s="82"/>
      <c r="H288" s="82"/>
      <c r="I288" s="82">
        <f>68874+táj2!I288</f>
        <v>65434</v>
      </c>
      <c r="J288" s="82"/>
      <c r="K288" s="82"/>
      <c r="L288" s="82">
        <f>4043+táj2!L288</f>
        <v>4043</v>
      </c>
      <c r="M288" s="82">
        <f>572+táj2!M288</f>
        <v>572</v>
      </c>
      <c r="N288" s="82"/>
      <c r="O288" s="82"/>
      <c r="P288" s="82"/>
      <c r="Q288" s="82">
        <f t="shared" si="21"/>
        <v>70049</v>
      </c>
    </row>
    <row r="289" spans="1:17" ht="15.6" customHeight="1" x14ac:dyDescent="0.2">
      <c r="A289" s="102"/>
      <c r="B289" s="102"/>
      <c r="C289" s="118"/>
      <c r="D289" s="375" t="s">
        <v>808</v>
      </c>
      <c r="E289" s="367">
        <v>1</v>
      </c>
      <c r="F289" s="368">
        <v>151618</v>
      </c>
      <c r="G289" s="82"/>
      <c r="H289" s="82"/>
      <c r="I289" s="82">
        <f>14108+táj2!I289</f>
        <v>14108</v>
      </c>
      <c r="J289" s="82"/>
      <c r="K289" s="82"/>
      <c r="L289" s="82"/>
      <c r="M289" s="82"/>
      <c r="N289" s="82"/>
      <c r="O289" s="82"/>
      <c r="P289" s="82"/>
      <c r="Q289" s="82">
        <f t="shared" si="21"/>
        <v>14108</v>
      </c>
    </row>
    <row r="290" spans="1:17" ht="17.100000000000001" customHeight="1" x14ac:dyDescent="0.2">
      <c r="A290" s="102"/>
      <c r="B290" s="102"/>
      <c r="C290" s="118"/>
      <c r="D290" s="351" t="s">
        <v>440</v>
      </c>
      <c r="E290" s="359">
        <v>1</v>
      </c>
      <c r="F290" s="359">
        <v>151603</v>
      </c>
      <c r="G290" s="82"/>
      <c r="H290" s="82"/>
      <c r="I290" s="82">
        <f>88129+táj2!I290</f>
        <v>85834</v>
      </c>
      <c r="J290" s="82"/>
      <c r="K290" s="82"/>
      <c r="L290" s="82"/>
      <c r="M290" s="82"/>
      <c r="N290" s="82"/>
      <c r="O290" s="82"/>
      <c r="P290" s="82"/>
      <c r="Q290" s="82">
        <f t="shared" si="21"/>
        <v>85834</v>
      </c>
    </row>
    <row r="291" spans="1:17" ht="15.6" customHeight="1" x14ac:dyDescent="0.2">
      <c r="A291" s="102"/>
      <c r="B291" s="102"/>
      <c r="C291" s="118"/>
      <c r="D291" s="351" t="s">
        <v>441</v>
      </c>
      <c r="E291" s="359">
        <v>1</v>
      </c>
      <c r="F291" s="359">
        <v>151605</v>
      </c>
      <c r="G291" s="82"/>
      <c r="H291" s="82"/>
      <c r="I291" s="82">
        <f>121855+táj2!I291</f>
        <v>120855</v>
      </c>
      <c r="J291" s="82"/>
      <c r="K291" s="82"/>
      <c r="L291" s="82"/>
      <c r="M291" s="82"/>
      <c r="N291" s="82"/>
      <c r="O291" s="82"/>
      <c r="P291" s="82"/>
      <c r="Q291" s="82">
        <f t="shared" si="21"/>
        <v>120855</v>
      </c>
    </row>
    <row r="292" spans="1:17" ht="15" customHeight="1" x14ac:dyDescent="0.2">
      <c r="A292" s="102"/>
      <c r="B292" s="102"/>
      <c r="C292" s="118"/>
      <c r="D292" s="351" t="s">
        <v>442</v>
      </c>
      <c r="E292" s="359">
        <v>1</v>
      </c>
      <c r="F292" s="359">
        <v>151608</v>
      </c>
      <c r="G292" s="82"/>
      <c r="H292" s="82"/>
      <c r="I292" s="82">
        <f>100000+táj2!I292</f>
        <v>100000</v>
      </c>
      <c r="J292" s="82"/>
      <c r="K292" s="82"/>
      <c r="L292" s="82"/>
      <c r="M292" s="82"/>
      <c r="N292" s="82"/>
      <c r="O292" s="82"/>
      <c r="P292" s="82"/>
      <c r="Q292" s="82">
        <f t="shared" si="21"/>
        <v>100000</v>
      </c>
    </row>
    <row r="293" spans="1:17" ht="14.1" customHeight="1" x14ac:dyDescent="0.2">
      <c r="A293" s="102"/>
      <c r="B293" s="102"/>
      <c r="C293" s="118"/>
      <c r="D293" s="351" t="s">
        <v>443</v>
      </c>
      <c r="E293" s="359">
        <v>2</v>
      </c>
      <c r="F293" s="359">
        <v>151624</v>
      </c>
      <c r="G293" s="82"/>
      <c r="H293" s="82"/>
      <c r="I293" s="82"/>
      <c r="J293" s="82"/>
      <c r="K293" s="82">
        <f>3300+táj2!K293</f>
        <v>3300</v>
      </c>
      <c r="L293" s="82"/>
      <c r="M293" s="82"/>
      <c r="N293" s="82"/>
      <c r="O293" s="82"/>
      <c r="P293" s="82"/>
      <c r="Q293" s="82">
        <f t="shared" si="21"/>
        <v>3300</v>
      </c>
    </row>
    <row r="294" spans="1:17" ht="14.1" customHeight="1" x14ac:dyDescent="0.2">
      <c r="A294" s="102"/>
      <c r="B294" s="102"/>
      <c r="C294" s="118"/>
      <c r="D294" s="351" t="s">
        <v>444</v>
      </c>
      <c r="E294" s="359">
        <v>1</v>
      </c>
      <c r="F294" s="359">
        <v>151631</v>
      </c>
      <c r="G294" s="82"/>
      <c r="H294" s="82"/>
      <c r="I294" s="82">
        <f>7344+táj2!I294</f>
        <v>7344</v>
      </c>
      <c r="J294" s="82"/>
      <c r="K294" s="82"/>
      <c r="L294" s="82">
        <f>169+táj2!L294</f>
        <v>169</v>
      </c>
      <c r="M294" s="82"/>
      <c r="N294" s="82"/>
      <c r="O294" s="82"/>
      <c r="P294" s="82"/>
      <c r="Q294" s="82">
        <f t="shared" si="21"/>
        <v>7513</v>
      </c>
    </row>
    <row r="295" spans="1:17" ht="12.95" customHeight="1" x14ac:dyDescent="0.2">
      <c r="A295" s="102"/>
      <c r="B295" s="102"/>
      <c r="C295" s="118"/>
      <c r="D295" s="453" t="s">
        <v>445</v>
      </c>
      <c r="E295" s="359">
        <v>1</v>
      </c>
      <c r="F295" s="359">
        <v>151612</v>
      </c>
      <c r="G295" s="82"/>
      <c r="H295" s="82"/>
      <c r="I295" s="82">
        <f>2000+táj2!I295</f>
        <v>2000</v>
      </c>
      <c r="J295" s="82"/>
      <c r="K295" s="82"/>
      <c r="L295" s="82"/>
      <c r="M295" s="82"/>
      <c r="N295" s="82"/>
      <c r="O295" s="82"/>
      <c r="P295" s="82"/>
      <c r="Q295" s="82">
        <f t="shared" si="21"/>
        <v>2000</v>
      </c>
    </row>
    <row r="296" spans="1:17" ht="17.25" customHeight="1" x14ac:dyDescent="0.2">
      <c r="A296" s="102"/>
      <c r="B296" s="102"/>
      <c r="C296" s="118"/>
      <c r="D296" s="375" t="s">
        <v>909</v>
      </c>
      <c r="E296" s="359">
        <v>1</v>
      </c>
      <c r="F296" s="359">
        <v>152133</v>
      </c>
      <c r="G296" s="82"/>
      <c r="H296" s="82"/>
      <c r="I296" s="82">
        <f>500+táj2!I296</f>
        <v>500</v>
      </c>
      <c r="J296" s="82"/>
      <c r="K296" s="82"/>
      <c r="L296" s="82"/>
      <c r="M296" s="82"/>
      <c r="N296" s="82"/>
      <c r="O296" s="82"/>
      <c r="P296" s="82"/>
      <c r="Q296" s="82">
        <f>SUM(G296:P296)</f>
        <v>500</v>
      </c>
    </row>
    <row r="297" spans="1:17" ht="16.149999999999999" customHeight="1" x14ac:dyDescent="0.2">
      <c r="A297" s="102"/>
      <c r="B297" s="102"/>
      <c r="C297" s="118"/>
      <c r="D297" s="452" t="s">
        <v>400</v>
      </c>
      <c r="E297" s="598"/>
      <c r="F297" s="359"/>
      <c r="G297" s="82"/>
      <c r="H297" s="82"/>
      <c r="I297" s="82"/>
      <c r="J297" s="82"/>
      <c r="K297" s="82"/>
      <c r="L297" s="82"/>
      <c r="M297" s="82"/>
      <c r="N297" s="82"/>
      <c r="O297" s="82"/>
      <c r="P297" s="82"/>
      <c r="Q297" s="82"/>
    </row>
    <row r="298" spans="1:17" ht="16.5" customHeight="1" x14ac:dyDescent="0.2">
      <c r="A298" s="102"/>
      <c r="B298" s="102"/>
      <c r="C298" s="102"/>
      <c r="D298" s="365" t="s">
        <v>446</v>
      </c>
      <c r="E298" s="359">
        <v>1</v>
      </c>
      <c r="F298" s="359">
        <v>151505</v>
      </c>
      <c r="G298" s="82"/>
      <c r="H298" s="82"/>
      <c r="I298" s="82">
        <f>8655+táj2!I298</f>
        <v>8655</v>
      </c>
      <c r="J298" s="82"/>
      <c r="K298" s="82"/>
      <c r="L298" s="82"/>
      <c r="M298" s="82"/>
      <c r="N298" s="82"/>
      <c r="O298" s="82"/>
      <c r="P298" s="82"/>
      <c r="Q298" s="82">
        <f>SUM(G298:P298)</f>
        <v>8655</v>
      </c>
    </row>
    <row r="299" spans="1:17" ht="16.5" customHeight="1" x14ac:dyDescent="0.2">
      <c r="A299" s="102"/>
      <c r="B299" s="102"/>
      <c r="C299" s="118"/>
      <c r="D299" s="375" t="s">
        <v>200</v>
      </c>
      <c r="E299" s="594"/>
      <c r="F299" s="355"/>
      <c r="G299" s="82"/>
      <c r="H299" s="82"/>
      <c r="I299" s="82"/>
      <c r="J299" s="82"/>
      <c r="K299" s="82"/>
      <c r="L299" s="82"/>
      <c r="M299" s="82"/>
      <c r="N299" s="82"/>
      <c r="O299" s="82"/>
      <c r="P299" s="82"/>
      <c r="Q299" s="82"/>
    </row>
    <row r="300" spans="1:17" ht="17.25" customHeight="1" x14ac:dyDescent="0.2">
      <c r="A300" s="102"/>
      <c r="B300" s="102"/>
      <c r="C300" s="118"/>
      <c r="D300" s="351" t="s">
        <v>809</v>
      </c>
      <c r="E300" s="359">
        <v>2</v>
      </c>
      <c r="F300" s="359">
        <v>151906</v>
      </c>
      <c r="G300" s="82"/>
      <c r="H300" s="82"/>
      <c r="I300" s="82">
        <f>73061+táj2!I300</f>
        <v>73061</v>
      </c>
      <c r="J300" s="82"/>
      <c r="K300" s="82"/>
      <c r="L300" s="82"/>
      <c r="M300" s="82"/>
      <c r="N300" s="82"/>
      <c r="O300" s="82"/>
      <c r="P300" s="82"/>
      <c r="Q300" s="82">
        <f>SUM(G300:P300)</f>
        <v>73061</v>
      </c>
    </row>
    <row r="301" spans="1:17" ht="15.6" customHeight="1" x14ac:dyDescent="0.2">
      <c r="A301" s="102"/>
      <c r="B301" s="102"/>
      <c r="C301" s="118"/>
      <c r="D301" s="351" t="s">
        <v>201</v>
      </c>
      <c r="E301" s="359">
        <v>2</v>
      </c>
      <c r="F301" s="359">
        <v>151907</v>
      </c>
      <c r="G301" s="82"/>
      <c r="H301" s="82"/>
      <c r="I301" s="82">
        <f>266700+táj2!I301</f>
        <v>266700</v>
      </c>
      <c r="J301" s="82"/>
      <c r="K301" s="82"/>
      <c r="L301" s="82"/>
      <c r="M301" s="82"/>
      <c r="N301" s="82"/>
      <c r="O301" s="82"/>
      <c r="P301" s="82"/>
      <c r="Q301" s="82">
        <f>SUM(G301:P301)</f>
        <v>266700</v>
      </c>
    </row>
    <row r="302" spans="1:17" ht="17.100000000000001" customHeight="1" x14ac:dyDescent="0.2">
      <c r="A302" s="102"/>
      <c r="B302" s="102"/>
      <c r="C302" s="118"/>
      <c r="D302" s="375" t="s">
        <v>447</v>
      </c>
      <c r="E302" s="594"/>
      <c r="F302" s="355"/>
      <c r="G302" s="82"/>
      <c r="H302" s="82"/>
      <c r="I302" s="82"/>
      <c r="J302" s="82"/>
      <c r="K302" s="82"/>
      <c r="L302" s="82"/>
      <c r="M302" s="82"/>
      <c r="N302" s="82"/>
      <c r="O302" s="82"/>
      <c r="P302" s="82"/>
      <c r="Q302" s="82"/>
    </row>
    <row r="303" spans="1:17" ht="27" customHeight="1" x14ac:dyDescent="0.2">
      <c r="A303" s="102"/>
      <c r="B303" s="102"/>
      <c r="C303" s="118"/>
      <c r="D303" s="396" t="s">
        <v>448</v>
      </c>
      <c r="E303" s="355">
        <v>1</v>
      </c>
      <c r="F303" s="359">
        <v>151801</v>
      </c>
      <c r="G303" s="82"/>
      <c r="H303" s="82"/>
      <c r="I303" s="82">
        <f>1978+táj2!I303</f>
        <v>1978</v>
      </c>
      <c r="J303" s="82"/>
      <c r="K303" s="82">
        <f>70010+táj2!K303</f>
        <v>92510</v>
      </c>
      <c r="L303" s="82"/>
      <c r="M303" s="82"/>
      <c r="N303" s="82"/>
      <c r="O303" s="82"/>
      <c r="P303" s="82"/>
      <c r="Q303" s="82">
        <f>SUM(G303:P303)</f>
        <v>94488</v>
      </c>
    </row>
    <row r="304" spans="1:17" ht="17.100000000000001" customHeight="1" x14ac:dyDescent="0.2">
      <c r="A304" s="102"/>
      <c r="B304" s="102"/>
      <c r="C304" s="118"/>
      <c r="D304" s="375" t="s">
        <v>449</v>
      </c>
      <c r="E304" s="594"/>
      <c r="F304" s="355"/>
      <c r="G304" s="82"/>
      <c r="H304" s="82"/>
      <c r="I304" s="82"/>
      <c r="J304" s="82"/>
      <c r="K304" s="82"/>
      <c r="L304" s="82"/>
      <c r="M304" s="82"/>
      <c r="N304" s="82"/>
      <c r="O304" s="82"/>
      <c r="P304" s="82"/>
      <c r="Q304" s="82"/>
    </row>
    <row r="305" spans="1:17" ht="17.100000000000001" customHeight="1" x14ac:dyDescent="0.2">
      <c r="A305" s="102"/>
      <c r="B305" s="102"/>
      <c r="C305" s="118"/>
      <c r="D305" s="375" t="s">
        <v>810</v>
      </c>
      <c r="E305" s="355">
        <v>1</v>
      </c>
      <c r="F305" s="359">
        <v>151201</v>
      </c>
      <c r="G305" s="82"/>
      <c r="H305" s="82"/>
      <c r="I305" s="82">
        <f>315677+táj2!I305</f>
        <v>305677</v>
      </c>
      <c r="J305" s="82"/>
      <c r="K305" s="82"/>
      <c r="L305" s="82"/>
      <c r="M305" s="82"/>
      <c r="N305" s="82"/>
      <c r="O305" s="82"/>
      <c r="P305" s="82"/>
      <c r="Q305" s="82">
        <f t="shared" ref="Q305:Q319" si="22">SUM(G305:P305)</f>
        <v>305677</v>
      </c>
    </row>
    <row r="306" spans="1:17" ht="17.100000000000001" customHeight="1" x14ac:dyDescent="0.2">
      <c r="A306" s="102"/>
      <c r="B306" s="102"/>
      <c r="C306" s="118"/>
      <c r="D306" s="375" t="s">
        <v>811</v>
      </c>
      <c r="E306" s="359">
        <v>1</v>
      </c>
      <c r="F306" s="359">
        <v>151209</v>
      </c>
      <c r="G306" s="82"/>
      <c r="H306" s="82"/>
      <c r="I306" s="82">
        <f>6000+táj2!I306</f>
        <v>6000</v>
      </c>
      <c r="J306" s="82"/>
      <c r="K306" s="82"/>
      <c r="L306" s="82"/>
      <c r="M306" s="82"/>
      <c r="N306" s="82"/>
      <c r="O306" s="82"/>
      <c r="P306" s="82"/>
      <c r="Q306" s="82">
        <f t="shared" si="22"/>
        <v>6000</v>
      </c>
    </row>
    <row r="307" spans="1:17" ht="17.100000000000001" customHeight="1" x14ac:dyDescent="0.2">
      <c r="A307" s="341"/>
      <c r="B307" s="341"/>
      <c r="C307" s="363"/>
      <c r="D307" s="375" t="s">
        <v>1164</v>
      </c>
      <c r="E307" s="355">
        <v>1</v>
      </c>
      <c r="F307" s="359">
        <v>151204</v>
      </c>
      <c r="G307" s="359"/>
      <c r="H307" s="359"/>
      <c r="I307" s="82">
        <f>500+táj2!I307</f>
        <v>500</v>
      </c>
      <c r="J307" s="359"/>
      <c r="K307" s="359"/>
      <c r="L307" s="359"/>
      <c r="M307" s="359"/>
      <c r="N307" s="359"/>
      <c r="O307" s="359"/>
      <c r="P307" s="359"/>
      <c r="Q307" s="82">
        <f t="shared" si="22"/>
        <v>500</v>
      </c>
    </row>
    <row r="308" spans="1:17" ht="17.100000000000001" customHeight="1" x14ac:dyDescent="0.2">
      <c r="A308" s="341"/>
      <c r="B308" s="341"/>
      <c r="C308" s="363"/>
      <c r="D308" s="375" t="s">
        <v>451</v>
      </c>
      <c r="E308" s="355">
        <v>1</v>
      </c>
      <c r="F308" s="359">
        <v>151202</v>
      </c>
      <c r="G308" s="359"/>
      <c r="H308" s="359"/>
      <c r="I308" s="82">
        <f>26205+táj2!I308</f>
        <v>26205</v>
      </c>
      <c r="J308" s="359"/>
      <c r="K308" s="359"/>
      <c r="L308" s="359"/>
      <c r="M308" s="359"/>
      <c r="N308" s="359"/>
      <c r="O308" s="359"/>
      <c r="P308" s="359"/>
      <c r="Q308" s="82">
        <f t="shared" si="22"/>
        <v>26205</v>
      </c>
    </row>
    <row r="309" spans="1:17" ht="25.9" customHeight="1" x14ac:dyDescent="0.2">
      <c r="A309" s="341"/>
      <c r="B309" s="341"/>
      <c r="C309" s="363"/>
      <c r="D309" s="396" t="s">
        <v>715</v>
      </c>
      <c r="E309" s="355">
        <v>1</v>
      </c>
      <c r="F309" s="359">
        <v>151208</v>
      </c>
      <c r="G309" s="359"/>
      <c r="H309" s="359"/>
      <c r="I309" s="82">
        <f>12578+táj2!I309</f>
        <v>4358</v>
      </c>
      <c r="J309" s="359"/>
      <c r="K309" s="359"/>
      <c r="L309" s="359"/>
      <c r="M309" s="359"/>
      <c r="N309" s="359"/>
      <c r="O309" s="359"/>
      <c r="P309" s="359"/>
      <c r="Q309" s="82">
        <f t="shared" si="22"/>
        <v>4358</v>
      </c>
    </row>
    <row r="310" spans="1:17" ht="17.100000000000001" customHeight="1" x14ac:dyDescent="0.2">
      <c r="A310" s="341"/>
      <c r="B310" s="341"/>
      <c r="C310" s="363"/>
      <c r="D310" s="375" t="s">
        <v>452</v>
      </c>
      <c r="E310" s="355">
        <v>1</v>
      </c>
      <c r="F310" s="359">
        <v>151205</v>
      </c>
      <c r="G310" s="359"/>
      <c r="H310" s="359"/>
      <c r="I310" s="82">
        <f>500+táj2!I310</f>
        <v>500</v>
      </c>
      <c r="J310" s="359"/>
      <c r="K310" s="359"/>
      <c r="L310" s="359"/>
      <c r="M310" s="359"/>
      <c r="N310" s="359"/>
      <c r="O310" s="359"/>
      <c r="P310" s="359"/>
      <c r="Q310" s="82">
        <f t="shared" si="22"/>
        <v>500</v>
      </c>
    </row>
    <row r="311" spans="1:17" ht="17.100000000000001" customHeight="1" x14ac:dyDescent="0.2">
      <c r="A311" s="341"/>
      <c r="B311" s="341"/>
      <c r="C311" s="363"/>
      <c r="D311" s="375" t="s">
        <v>1081</v>
      </c>
      <c r="E311" s="594"/>
      <c r="F311" s="359"/>
      <c r="G311" s="359"/>
      <c r="H311" s="359"/>
      <c r="I311" s="82"/>
      <c r="J311" s="359"/>
      <c r="K311" s="359"/>
      <c r="L311" s="359"/>
      <c r="M311" s="359"/>
      <c r="N311" s="359"/>
      <c r="O311" s="359"/>
      <c r="P311" s="359"/>
      <c r="Q311" s="82"/>
    </row>
    <row r="312" spans="1:17" ht="17.100000000000001" customHeight="1" x14ac:dyDescent="0.2">
      <c r="A312" s="341"/>
      <c r="B312" s="341"/>
      <c r="C312" s="363"/>
      <c r="D312" s="375" t="s">
        <v>776</v>
      </c>
      <c r="E312" s="355">
        <v>1</v>
      </c>
      <c r="F312" s="359">
        <v>151902</v>
      </c>
      <c r="G312" s="82">
        <f>16400+táj2!G312</f>
        <v>16400</v>
      </c>
      <c r="H312" s="82">
        <f>2150+táj2!H312</f>
        <v>2150</v>
      </c>
      <c r="I312" s="82">
        <f>10799+táj2!I312</f>
        <v>10799</v>
      </c>
      <c r="J312" s="82"/>
      <c r="K312" s="82">
        <f>5000+táj2!K312</f>
        <v>5000</v>
      </c>
      <c r="L312" s="359"/>
      <c r="M312" s="359"/>
      <c r="N312" s="359"/>
      <c r="O312" s="359"/>
      <c r="P312" s="359"/>
      <c r="Q312" s="82">
        <f t="shared" si="22"/>
        <v>34349</v>
      </c>
    </row>
    <row r="313" spans="1:17" ht="28.5" customHeight="1" x14ac:dyDescent="0.2">
      <c r="A313" s="341"/>
      <c r="B313" s="341"/>
      <c r="C313" s="363"/>
      <c r="D313" s="396" t="s">
        <v>454</v>
      </c>
      <c r="E313" s="355">
        <v>1</v>
      </c>
      <c r="F313" s="359">
        <v>151925</v>
      </c>
      <c r="G313" s="359"/>
      <c r="H313" s="359"/>
      <c r="I313" s="82">
        <f>2000+táj2!I313</f>
        <v>2000</v>
      </c>
      <c r="J313" s="359"/>
      <c r="K313" s="359"/>
      <c r="L313" s="359"/>
      <c r="M313" s="359"/>
      <c r="N313" s="359"/>
      <c r="O313" s="359"/>
      <c r="P313" s="359"/>
      <c r="Q313" s="82">
        <f t="shared" si="22"/>
        <v>2000</v>
      </c>
    </row>
    <row r="314" spans="1:17" ht="17.100000000000001" customHeight="1" x14ac:dyDescent="0.2">
      <c r="A314" s="341"/>
      <c r="B314" s="341"/>
      <c r="C314" s="363"/>
      <c r="D314" s="365" t="s">
        <v>209</v>
      </c>
      <c r="E314" s="596"/>
      <c r="F314" s="367"/>
      <c r="G314" s="359"/>
      <c r="H314" s="359"/>
      <c r="I314" s="82"/>
      <c r="J314" s="359"/>
      <c r="K314" s="359"/>
      <c r="L314" s="359"/>
      <c r="M314" s="359"/>
      <c r="N314" s="359"/>
      <c r="O314" s="359"/>
      <c r="P314" s="359"/>
      <c r="Q314" s="82"/>
    </row>
    <row r="315" spans="1:17" ht="25.9" customHeight="1" x14ac:dyDescent="0.2">
      <c r="A315" s="341"/>
      <c r="B315" s="341"/>
      <c r="C315" s="363"/>
      <c r="D315" s="365" t="s">
        <v>455</v>
      </c>
      <c r="E315" s="367">
        <v>2</v>
      </c>
      <c r="F315" s="368">
        <v>151910</v>
      </c>
      <c r="G315" s="359"/>
      <c r="H315" s="359"/>
      <c r="I315" s="82">
        <f>262731+táj2!I315</f>
        <v>262731</v>
      </c>
      <c r="J315" s="359"/>
      <c r="K315" s="359"/>
      <c r="L315" s="359"/>
      <c r="M315" s="359"/>
      <c r="N315" s="359"/>
      <c r="O315" s="359"/>
      <c r="P315" s="359"/>
      <c r="Q315" s="82">
        <f t="shared" si="22"/>
        <v>262731</v>
      </c>
    </row>
    <row r="316" spans="1:17" ht="17.100000000000001" customHeight="1" x14ac:dyDescent="0.2">
      <c r="A316" s="341"/>
      <c r="B316" s="341"/>
      <c r="C316" s="363"/>
      <c r="D316" s="365" t="s">
        <v>231</v>
      </c>
      <c r="E316" s="596"/>
      <c r="F316" s="367"/>
      <c r="G316" s="359"/>
      <c r="H316" s="359"/>
      <c r="I316" s="82"/>
      <c r="J316" s="359"/>
      <c r="K316" s="359"/>
      <c r="L316" s="359"/>
      <c r="M316" s="359"/>
      <c r="N316" s="359"/>
      <c r="O316" s="359"/>
      <c r="P316" s="359"/>
      <c r="Q316" s="82"/>
    </row>
    <row r="317" spans="1:17" ht="24" customHeight="1" x14ac:dyDescent="0.2">
      <c r="A317" s="341"/>
      <c r="B317" s="341"/>
      <c r="C317" s="363"/>
      <c r="D317" s="365" t="s">
        <v>456</v>
      </c>
      <c r="E317" s="367">
        <v>1</v>
      </c>
      <c r="F317" s="368">
        <v>152915</v>
      </c>
      <c r="G317" s="359"/>
      <c r="H317" s="359"/>
      <c r="I317" s="82">
        <f>20114+táj2!I317</f>
        <v>20114</v>
      </c>
      <c r="J317" s="359"/>
      <c r="K317" s="359"/>
      <c r="L317" s="359"/>
      <c r="M317" s="359"/>
      <c r="N317" s="359"/>
      <c r="O317" s="359"/>
      <c r="P317" s="359"/>
      <c r="Q317" s="82">
        <f t="shared" si="22"/>
        <v>20114</v>
      </c>
    </row>
    <row r="318" spans="1:17" ht="17.100000000000001" customHeight="1" x14ac:dyDescent="0.2">
      <c r="A318" s="341"/>
      <c r="B318" s="341"/>
      <c r="C318" s="363"/>
      <c r="D318" s="375" t="s">
        <v>457</v>
      </c>
      <c r="E318" s="594"/>
      <c r="F318" s="355"/>
      <c r="G318" s="359"/>
      <c r="H318" s="359"/>
      <c r="I318" s="82"/>
      <c r="J318" s="359"/>
      <c r="K318" s="359"/>
      <c r="L318" s="359"/>
      <c r="M318" s="359"/>
      <c r="N318" s="359"/>
      <c r="O318" s="359"/>
      <c r="P318" s="359"/>
      <c r="Q318" s="82"/>
    </row>
    <row r="319" spans="1:17" ht="17.100000000000001" customHeight="1" x14ac:dyDescent="0.2">
      <c r="A319" s="341"/>
      <c r="B319" s="341"/>
      <c r="C319" s="363"/>
      <c r="D319" s="375" t="s">
        <v>458</v>
      </c>
      <c r="E319" s="359">
        <v>1</v>
      </c>
      <c r="F319" s="359">
        <v>151704</v>
      </c>
      <c r="G319" s="359"/>
      <c r="H319" s="359"/>
      <c r="I319" s="82"/>
      <c r="J319" s="82"/>
      <c r="K319" s="82">
        <f>5270+táj2!K319</f>
        <v>5270</v>
      </c>
      <c r="L319" s="359"/>
      <c r="M319" s="359"/>
      <c r="N319" s="359"/>
      <c r="O319" s="359"/>
      <c r="P319" s="359"/>
      <c r="Q319" s="82">
        <f t="shared" si="22"/>
        <v>5270</v>
      </c>
    </row>
    <row r="320" spans="1:17" ht="20.25" customHeight="1" x14ac:dyDescent="0.2">
      <c r="A320" s="124"/>
      <c r="B320" s="124"/>
      <c r="C320" s="125"/>
      <c r="D320" s="240" t="s">
        <v>459</v>
      </c>
      <c r="E320" s="127"/>
      <c r="F320" s="128"/>
      <c r="G320" s="128">
        <f t="shared" ref="G320:Q320" si="23">SUM(G227:G319)</f>
        <v>16458</v>
      </c>
      <c r="H320" s="128">
        <f t="shared" si="23"/>
        <v>2150</v>
      </c>
      <c r="I320" s="128">
        <f t="shared" si="23"/>
        <v>2711514</v>
      </c>
      <c r="J320" s="128">
        <f t="shared" si="23"/>
        <v>0</v>
      </c>
      <c r="K320" s="128">
        <f t="shared" si="23"/>
        <v>1226533</v>
      </c>
      <c r="L320" s="128">
        <f t="shared" si="23"/>
        <v>12550</v>
      </c>
      <c r="M320" s="128">
        <f t="shared" si="23"/>
        <v>1690</v>
      </c>
      <c r="N320" s="128">
        <f t="shared" si="23"/>
        <v>0</v>
      </c>
      <c r="O320" s="128">
        <f t="shared" si="23"/>
        <v>0</v>
      </c>
      <c r="P320" s="128">
        <f t="shared" si="23"/>
        <v>0</v>
      </c>
      <c r="Q320" s="128">
        <f t="shared" si="23"/>
        <v>3970895</v>
      </c>
    </row>
    <row r="321" spans="1:17" ht="17.100000000000001" customHeight="1" x14ac:dyDescent="0.2">
      <c r="A321" s="129"/>
      <c r="B321" s="129"/>
      <c r="C321" s="129"/>
      <c r="D321" s="143" t="s">
        <v>291</v>
      </c>
      <c r="E321" s="131"/>
      <c r="F321" s="132"/>
      <c r="G321" s="132"/>
      <c r="H321" s="132"/>
      <c r="I321" s="132"/>
      <c r="J321" s="132"/>
      <c r="K321" s="132"/>
      <c r="L321" s="132"/>
      <c r="M321" s="132"/>
      <c r="N321" s="132"/>
      <c r="O321" s="132"/>
      <c r="P321" s="132"/>
      <c r="Q321" s="132"/>
    </row>
    <row r="322" spans="1:17" ht="17.25" customHeight="1" x14ac:dyDescent="0.2">
      <c r="A322" s="129"/>
      <c r="B322" s="129"/>
      <c r="C322" s="599" t="s">
        <v>86</v>
      </c>
      <c r="D322" s="600" t="s">
        <v>460</v>
      </c>
      <c r="E322" s="601"/>
      <c r="F322" s="362"/>
      <c r="G322" s="82"/>
      <c r="H322" s="82"/>
      <c r="I322" s="82"/>
      <c r="J322" s="82"/>
      <c r="K322" s="82"/>
      <c r="L322" s="82"/>
      <c r="M322" s="82"/>
      <c r="N322" s="82"/>
      <c r="O322" s="82"/>
      <c r="P322" s="82"/>
      <c r="Q322" s="132"/>
    </row>
    <row r="323" spans="1:17" ht="17.25" customHeight="1" x14ac:dyDescent="0.2">
      <c r="A323" s="660"/>
      <c r="B323" s="660"/>
      <c r="C323" s="714" t="s">
        <v>1091</v>
      </c>
      <c r="D323" s="761" t="s">
        <v>1090</v>
      </c>
      <c r="E323" s="662"/>
      <c r="F323" s="684">
        <v>152112</v>
      </c>
      <c r="G323" s="663"/>
      <c r="H323" s="663"/>
      <c r="I323" s="663">
        <f>4000+táj2!I323</f>
        <v>0</v>
      </c>
      <c r="J323" s="663"/>
      <c r="K323" s="663"/>
      <c r="L323" s="663">
        <f>1265+táj2!L323</f>
        <v>2426</v>
      </c>
      <c r="M323" s="663">
        <f>0+táj2!M323</f>
        <v>15660</v>
      </c>
      <c r="N323" s="663"/>
      <c r="O323" s="663"/>
      <c r="P323" s="663"/>
      <c r="Q323" s="359">
        <f t="shared" ref="Q323:Q358" si="24">SUM(G323:P323)</f>
        <v>18086</v>
      </c>
    </row>
    <row r="324" spans="1:17" ht="17.25" customHeight="1" x14ac:dyDescent="0.2">
      <c r="A324" s="360"/>
      <c r="B324" s="360"/>
      <c r="C324" s="370" t="s">
        <v>294</v>
      </c>
      <c r="D324" s="376" t="s">
        <v>812</v>
      </c>
      <c r="E324" s="601"/>
      <c r="F324" s="598">
        <v>154135</v>
      </c>
      <c r="G324" s="359"/>
      <c r="H324" s="359"/>
      <c r="I324" s="359"/>
      <c r="J324" s="359"/>
      <c r="K324" s="359"/>
      <c r="L324" s="359"/>
      <c r="M324" s="359">
        <f>12087+táj2!M324</f>
        <v>12087</v>
      </c>
      <c r="N324" s="359"/>
      <c r="O324" s="359"/>
      <c r="P324" s="359"/>
      <c r="Q324" s="359">
        <f t="shared" si="24"/>
        <v>12087</v>
      </c>
    </row>
    <row r="325" spans="1:17" ht="17.25" customHeight="1" x14ac:dyDescent="0.2">
      <c r="A325" s="360"/>
      <c r="B325" s="360"/>
      <c r="C325" s="370" t="s">
        <v>296</v>
      </c>
      <c r="D325" s="373" t="s">
        <v>910</v>
      </c>
      <c r="E325" s="601"/>
      <c r="F325" s="598">
        <v>162171</v>
      </c>
      <c r="G325" s="359"/>
      <c r="H325" s="359"/>
      <c r="I325" s="359"/>
      <c r="J325" s="359"/>
      <c r="K325" s="359"/>
      <c r="L325" s="359">
        <f>7611+táj2!L325</f>
        <v>7611</v>
      </c>
      <c r="M325" s="359"/>
      <c r="N325" s="359"/>
      <c r="O325" s="359"/>
      <c r="P325" s="359"/>
      <c r="Q325" s="359">
        <f t="shared" si="24"/>
        <v>7611</v>
      </c>
    </row>
    <row r="326" spans="1:17" ht="17.25" customHeight="1" x14ac:dyDescent="0.2">
      <c r="A326" s="360"/>
      <c r="B326" s="360"/>
      <c r="C326" s="454" t="s">
        <v>85</v>
      </c>
      <c r="D326" s="602" t="s">
        <v>463</v>
      </c>
      <c r="E326" s="601"/>
      <c r="F326" s="598"/>
      <c r="G326" s="359"/>
      <c r="H326" s="359"/>
      <c r="I326" s="359"/>
      <c r="J326" s="359"/>
      <c r="K326" s="359"/>
      <c r="L326" s="359"/>
      <c r="M326" s="359"/>
      <c r="N326" s="359"/>
      <c r="O326" s="359"/>
      <c r="P326" s="359"/>
      <c r="Q326" s="359"/>
    </row>
    <row r="327" spans="1:17" ht="17.25" customHeight="1" x14ac:dyDescent="0.2">
      <c r="A327" s="360"/>
      <c r="B327" s="360"/>
      <c r="C327" s="371" t="s">
        <v>87</v>
      </c>
      <c r="D327" s="455" t="s">
        <v>464</v>
      </c>
      <c r="E327" s="601"/>
      <c r="F327" s="601"/>
      <c r="G327" s="359"/>
      <c r="H327" s="359"/>
      <c r="I327" s="359"/>
      <c r="J327" s="359"/>
      <c r="K327" s="359"/>
      <c r="L327" s="359"/>
      <c r="M327" s="359"/>
      <c r="N327" s="359"/>
      <c r="O327" s="359"/>
      <c r="P327" s="359"/>
      <c r="Q327" s="359"/>
    </row>
    <row r="328" spans="1:17" ht="17.25" customHeight="1" x14ac:dyDescent="0.2">
      <c r="A328" s="360"/>
      <c r="B328" s="360"/>
      <c r="C328" s="370" t="s">
        <v>388</v>
      </c>
      <c r="D328" s="449" t="s">
        <v>911</v>
      </c>
      <c r="E328" s="601"/>
      <c r="F328" s="598">
        <v>152317</v>
      </c>
      <c r="G328" s="359"/>
      <c r="H328" s="359"/>
      <c r="I328" s="359"/>
      <c r="J328" s="359"/>
      <c r="K328" s="359"/>
      <c r="L328" s="359">
        <f>12403+táj2!L328</f>
        <v>12403</v>
      </c>
      <c r="M328" s="359"/>
      <c r="N328" s="359"/>
      <c r="O328" s="359"/>
      <c r="P328" s="359"/>
      <c r="Q328" s="359">
        <f t="shared" si="24"/>
        <v>12403</v>
      </c>
    </row>
    <row r="329" spans="1:17" ht="17.25" customHeight="1" x14ac:dyDescent="0.2">
      <c r="A329" s="360"/>
      <c r="B329" s="360"/>
      <c r="C329" s="341" t="s">
        <v>912</v>
      </c>
      <c r="D329" s="373" t="s">
        <v>913</v>
      </c>
      <c r="E329" s="598"/>
      <c r="F329" s="598">
        <v>162307</v>
      </c>
      <c r="G329" s="359"/>
      <c r="H329" s="359"/>
      <c r="I329" s="359"/>
      <c r="J329" s="359"/>
      <c r="K329" s="359"/>
      <c r="L329" s="359">
        <f>0+táj2!L329</f>
        <v>0</v>
      </c>
      <c r="M329" s="359"/>
      <c r="N329" s="359"/>
      <c r="O329" s="359"/>
      <c r="P329" s="359"/>
      <c r="Q329" s="359">
        <f t="shared" si="24"/>
        <v>0</v>
      </c>
    </row>
    <row r="330" spans="1:17" ht="17.25" customHeight="1" x14ac:dyDescent="0.2">
      <c r="A330" s="360"/>
      <c r="B330" s="360"/>
      <c r="C330" s="371"/>
      <c r="D330" s="351" t="s">
        <v>868</v>
      </c>
      <c r="E330" s="601"/>
      <c r="F330" s="598"/>
      <c r="G330" s="359"/>
      <c r="H330" s="359"/>
      <c r="I330" s="359"/>
      <c r="J330" s="359"/>
      <c r="K330" s="359"/>
      <c r="L330" s="359"/>
      <c r="M330" s="359"/>
      <c r="N330" s="359"/>
      <c r="O330" s="359"/>
      <c r="P330" s="359"/>
      <c r="Q330" s="359"/>
    </row>
    <row r="331" spans="1:17" ht="17.25" customHeight="1" x14ac:dyDescent="0.2">
      <c r="A331" s="360"/>
      <c r="B331" s="360"/>
      <c r="C331" s="603" t="s">
        <v>465</v>
      </c>
      <c r="D331" s="372" t="s">
        <v>466</v>
      </c>
      <c r="E331" s="601"/>
      <c r="F331" s="598">
        <v>152301</v>
      </c>
      <c r="G331" s="359"/>
      <c r="H331" s="359"/>
      <c r="I331" s="359"/>
      <c r="J331" s="359"/>
      <c r="K331" s="359"/>
      <c r="L331" s="359">
        <f>5420+táj2!L331</f>
        <v>7578</v>
      </c>
      <c r="M331" s="359">
        <f>0+táj2!M331</f>
        <v>6062</v>
      </c>
      <c r="N331" s="359"/>
      <c r="O331" s="359"/>
      <c r="P331" s="359"/>
      <c r="Q331" s="359">
        <f t="shared" si="24"/>
        <v>13640</v>
      </c>
    </row>
    <row r="332" spans="1:17" ht="17.25" customHeight="1" x14ac:dyDescent="0.2">
      <c r="A332" s="360"/>
      <c r="B332" s="360"/>
      <c r="C332" s="603" t="s">
        <v>914</v>
      </c>
      <c r="D332" s="373" t="s">
        <v>1092</v>
      </c>
      <c r="E332" s="598"/>
      <c r="F332" s="598">
        <v>154302</v>
      </c>
      <c r="G332" s="359"/>
      <c r="H332" s="359"/>
      <c r="I332" s="359"/>
      <c r="J332" s="359"/>
      <c r="K332" s="359"/>
      <c r="L332" s="359">
        <f>25757+táj2!L332</f>
        <v>21037</v>
      </c>
      <c r="M332" s="359">
        <f>13158+táj2!M332</f>
        <v>28878</v>
      </c>
      <c r="N332" s="359"/>
      <c r="O332" s="359"/>
      <c r="P332" s="359"/>
      <c r="Q332" s="359">
        <f t="shared" si="24"/>
        <v>49915</v>
      </c>
    </row>
    <row r="333" spans="1:17" ht="17.25" customHeight="1" x14ac:dyDescent="0.2">
      <c r="A333" s="360"/>
      <c r="B333" s="360"/>
      <c r="C333" s="371" t="s">
        <v>88</v>
      </c>
      <c r="D333" s="374" t="s">
        <v>915</v>
      </c>
      <c r="E333" s="598"/>
      <c r="F333" s="598"/>
      <c r="G333" s="359"/>
      <c r="H333" s="359"/>
      <c r="I333" s="359"/>
      <c r="J333" s="359"/>
      <c r="K333" s="359"/>
      <c r="L333" s="359"/>
      <c r="M333" s="359"/>
      <c r="N333" s="359"/>
      <c r="O333" s="359"/>
      <c r="P333" s="359"/>
      <c r="Q333" s="359"/>
    </row>
    <row r="334" spans="1:17" ht="17.25" customHeight="1" x14ac:dyDescent="0.2">
      <c r="A334" s="360"/>
      <c r="B334" s="360"/>
      <c r="C334" s="603" t="s">
        <v>916</v>
      </c>
      <c r="D334" s="376" t="s">
        <v>917</v>
      </c>
      <c r="E334" s="598"/>
      <c r="F334" s="598">
        <v>152426</v>
      </c>
      <c r="G334" s="359"/>
      <c r="H334" s="359"/>
      <c r="I334" s="359"/>
      <c r="J334" s="359"/>
      <c r="K334" s="359"/>
      <c r="L334" s="359">
        <f>500+táj2!L334</f>
        <v>500</v>
      </c>
      <c r="M334" s="359"/>
      <c r="N334" s="359"/>
      <c r="O334" s="359"/>
      <c r="P334" s="359"/>
      <c r="Q334" s="359">
        <f t="shared" si="24"/>
        <v>500</v>
      </c>
    </row>
    <row r="335" spans="1:17" ht="27.75" customHeight="1" x14ac:dyDescent="0.2">
      <c r="A335" s="660"/>
      <c r="B335" s="660"/>
      <c r="C335" s="685" t="s">
        <v>990</v>
      </c>
      <c r="D335" s="708" t="s">
        <v>1093</v>
      </c>
      <c r="E335" s="684"/>
      <c r="F335" s="684">
        <v>154414</v>
      </c>
      <c r="G335" s="663"/>
      <c r="H335" s="663"/>
      <c r="I335" s="663"/>
      <c r="J335" s="663"/>
      <c r="K335" s="663"/>
      <c r="L335" s="359"/>
      <c r="M335" s="359">
        <f>8866+táj2!M335</f>
        <v>11259</v>
      </c>
      <c r="N335" s="663"/>
      <c r="O335" s="663"/>
      <c r="P335" s="663"/>
      <c r="Q335" s="359">
        <f t="shared" si="24"/>
        <v>11259</v>
      </c>
    </row>
    <row r="336" spans="1:17" ht="17.25" customHeight="1" x14ac:dyDescent="0.2">
      <c r="A336" s="660"/>
      <c r="B336" s="660"/>
      <c r="C336" s="685" t="s">
        <v>1007</v>
      </c>
      <c r="D336" s="683" t="s">
        <v>1008</v>
      </c>
      <c r="E336" s="684"/>
      <c r="F336" s="684">
        <v>154404</v>
      </c>
      <c r="G336" s="663"/>
      <c r="H336" s="663"/>
      <c r="I336" s="663"/>
      <c r="J336" s="663"/>
      <c r="K336" s="663"/>
      <c r="L336" s="663"/>
      <c r="M336" s="359">
        <f>2776+táj2!M336</f>
        <v>2776</v>
      </c>
      <c r="N336" s="663"/>
      <c r="O336" s="663"/>
      <c r="P336" s="663"/>
      <c r="Q336" s="359">
        <f t="shared" si="24"/>
        <v>2776</v>
      </c>
    </row>
    <row r="337" spans="1:17" ht="28.9" customHeight="1" x14ac:dyDescent="0.2">
      <c r="A337" s="660"/>
      <c r="B337" s="660"/>
      <c r="C337" s="685" t="s">
        <v>1009</v>
      </c>
      <c r="D337" s="708" t="s">
        <v>1010</v>
      </c>
      <c r="E337" s="684"/>
      <c r="F337" s="684">
        <v>154401</v>
      </c>
      <c r="G337" s="663"/>
      <c r="H337" s="663"/>
      <c r="I337" s="663"/>
      <c r="J337" s="663"/>
      <c r="K337" s="663"/>
      <c r="L337" s="663"/>
      <c r="M337" s="359">
        <f>13689+táj2!M337</f>
        <v>14108</v>
      </c>
      <c r="N337" s="663"/>
      <c r="O337" s="663"/>
      <c r="P337" s="663"/>
      <c r="Q337" s="359">
        <f t="shared" si="24"/>
        <v>14108</v>
      </c>
    </row>
    <row r="338" spans="1:17" ht="17.25" customHeight="1" x14ac:dyDescent="0.2">
      <c r="A338" s="660"/>
      <c r="B338" s="660"/>
      <c r="C338" s="685" t="s">
        <v>1011</v>
      </c>
      <c r="D338" s="708" t="s">
        <v>1012</v>
      </c>
      <c r="E338" s="684"/>
      <c r="F338" s="684">
        <v>154402</v>
      </c>
      <c r="G338" s="663"/>
      <c r="H338" s="663"/>
      <c r="I338" s="663"/>
      <c r="J338" s="663"/>
      <c r="K338" s="663"/>
      <c r="L338" s="663"/>
      <c r="M338" s="359">
        <f>7966+táj2!M338</f>
        <v>7966</v>
      </c>
      <c r="N338" s="663"/>
      <c r="O338" s="663"/>
      <c r="P338" s="663"/>
      <c r="Q338" s="359">
        <f t="shared" si="24"/>
        <v>7966</v>
      </c>
    </row>
    <row r="339" spans="1:17" ht="17.25" customHeight="1" x14ac:dyDescent="0.2">
      <c r="A339" s="660"/>
      <c r="B339" s="660"/>
      <c r="C339" s="685" t="s">
        <v>1014</v>
      </c>
      <c r="D339" s="708" t="s">
        <v>1013</v>
      </c>
      <c r="E339" s="684"/>
      <c r="F339" s="684">
        <v>154454</v>
      </c>
      <c r="G339" s="663"/>
      <c r="H339" s="663"/>
      <c r="I339" s="663"/>
      <c r="J339" s="663"/>
      <c r="K339" s="663"/>
      <c r="L339" s="663"/>
      <c r="M339" s="359">
        <f>14000+táj2!M339</f>
        <v>23500</v>
      </c>
      <c r="N339" s="663"/>
      <c r="O339" s="663"/>
      <c r="P339" s="663"/>
      <c r="Q339" s="359">
        <f t="shared" si="24"/>
        <v>23500</v>
      </c>
    </row>
    <row r="340" spans="1:17" ht="17.25" customHeight="1" x14ac:dyDescent="0.2">
      <c r="A340" s="660"/>
      <c r="B340" s="660"/>
      <c r="C340" s="685" t="s">
        <v>1017</v>
      </c>
      <c r="D340" s="708" t="s">
        <v>1015</v>
      </c>
      <c r="E340" s="684"/>
      <c r="F340" s="684">
        <v>154407</v>
      </c>
      <c r="G340" s="663"/>
      <c r="H340" s="663"/>
      <c r="I340" s="663"/>
      <c r="J340" s="663"/>
      <c r="K340" s="663"/>
      <c r="L340" s="663"/>
      <c r="M340" s="359">
        <f>2000+táj2!M340</f>
        <v>0</v>
      </c>
      <c r="N340" s="663"/>
      <c r="O340" s="663"/>
      <c r="P340" s="663"/>
      <c r="Q340" s="359">
        <f t="shared" si="24"/>
        <v>0</v>
      </c>
    </row>
    <row r="341" spans="1:17" ht="17.25" customHeight="1" x14ac:dyDescent="0.2">
      <c r="A341" s="660"/>
      <c r="B341" s="660"/>
      <c r="C341" s="685" t="s">
        <v>1018</v>
      </c>
      <c r="D341" s="708" t="s">
        <v>1016</v>
      </c>
      <c r="E341" s="684"/>
      <c r="F341" s="684">
        <v>152459</v>
      </c>
      <c r="G341" s="663"/>
      <c r="H341" s="663"/>
      <c r="I341" s="663"/>
      <c r="J341" s="663"/>
      <c r="K341" s="663"/>
      <c r="L341" s="359">
        <f>4000+táj2!L341</f>
        <v>7800</v>
      </c>
      <c r="M341" s="359"/>
      <c r="N341" s="663"/>
      <c r="O341" s="663"/>
      <c r="P341" s="663"/>
      <c r="Q341" s="359">
        <f t="shared" si="24"/>
        <v>7800</v>
      </c>
    </row>
    <row r="342" spans="1:17" ht="17.25" customHeight="1" x14ac:dyDescent="0.2">
      <c r="A342" s="660"/>
      <c r="B342" s="660"/>
      <c r="C342" s="685" t="s">
        <v>1056</v>
      </c>
      <c r="D342" s="708" t="s">
        <v>1052</v>
      </c>
      <c r="E342" s="684"/>
      <c r="F342" s="684">
        <v>154472</v>
      </c>
      <c r="G342" s="663"/>
      <c r="H342" s="663"/>
      <c r="I342" s="663"/>
      <c r="J342" s="663"/>
      <c r="K342" s="663"/>
      <c r="L342" s="359"/>
      <c r="M342" s="359">
        <f>5000+táj2!M342</f>
        <v>5000</v>
      </c>
      <c r="N342" s="663"/>
      <c r="O342" s="663"/>
      <c r="P342" s="663"/>
      <c r="Q342" s="359">
        <f t="shared" si="24"/>
        <v>5000</v>
      </c>
    </row>
    <row r="343" spans="1:17" ht="17.25" customHeight="1" x14ac:dyDescent="0.2">
      <c r="A343" s="660"/>
      <c r="B343" s="660"/>
      <c r="C343" s="685" t="s">
        <v>1057</v>
      </c>
      <c r="D343" s="708" t="s">
        <v>1053</v>
      </c>
      <c r="E343" s="684"/>
      <c r="F343" s="684">
        <v>154476</v>
      </c>
      <c r="G343" s="663"/>
      <c r="H343" s="663"/>
      <c r="I343" s="663"/>
      <c r="J343" s="663"/>
      <c r="K343" s="663"/>
      <c r="L343" s="359">
        <f>3000+táj2!L343</f>
        <v>3530</v>
      </c>
      <c r="M343" s="663"/>
      <c r="N343" s="663"/>
      <c r="O343" s="663"/>
      <c r="P343" s="663"/>
      <c r="Q343" s="359">
        <f t="shared" si="24"/>
        <v>3530</v>
      </c>
    </row>
    <row r="344" spans="1:17" ht="25.15" customHeight="1" x14ac:dyDescent="0.2">
      <c r="A344" s="660"/>
      <c r="B344" s="660"/>
      <c r="C344" s="685" t="s">
        <v>1058</v>
      </c>
      <c r="D344" s="708" t="s">
        <v>1054</v>
      </c>
      <c r="E344" s="684"/>
      <c r="F344" s="684">
        <v>152468</v>
      </c>
      <c r="G344" s="663"/>
      <c r="H344" s="663"/>
      <c r="I344" s="359">
        <f>0+táj2!I344</f>
        <v>2178</v>
      </c>
      <c r="J344" s="359"/>
      <c r="K344" s="359"/>
      <c r="L344" s="359">
        <f>10000+táj2!L344</f>
        <v>8122</v>
      </c>
      <c r="M344" s="663"/>
      <c r="N344" s="663"/>
      <c r="O344" s="663"/>
      <c r="P344" s="663"/>
      <c r="Q344" s="359">
        <f t="shared" si="24"/>
        <v>10300</v>
      </c>
    </row>
    <row r="345" spans="1:17" ht="25.15" customHeight="1" x14ac:dyDescent="0.2">
      <c r="A345" s="814"/>
      <c r="B345" s="814"/>
      <c r="C345" s="762" t="s">
        <v>1094</v>
      </c>
      <c r="D345" s="708" t="s">
        <v>1095</v>
      </c>
      <c r="E345" s="684"/>
      <c r="F345" s="684">
        <v>154408</v>
      </c>
      <c r="G345" s="811"/>
      <c r="H345" s="811"/>
      <c r="I345" s="811"/>
      <c r="J345" s="811"/>
      <c r="K345" s="811"/>
      <c r="L345" s="811"/>
      <c r="M345" s="811">
        <f>7139+táj2!M345</f>
        <v>7139</v>
      </c>
      <c r="N345" s="811"/>
      <c r="O345" s="811"/>
      <c r="P345" s="811"/>
      <c r="Q345" s="359">
        <f t="shared" si="24"/>
        <v>7139</v>
      </c>
    </row>
    <row r="346" spans="1:17" ht="17.25" customHeight="1" x14ac:dyDescent="0.2">
      <c r="A346" s="814"/>
      <c r="B346" s="814"/>
      <c r="C346" s="762" t="s">
        <v>1131</v>
      </c>
      <c r="D346" s="818" t="s">
        <v>1132</v>
      </c>
      <c r="E346" s="810"/>
      <c r="F346" s="810">
        <v>154925</v>
      </c>
      <c r="G346" s="811"/>
      <c r="H346" s="811"/>
      <c r="I346" s="811"/>
      <c r="J346" s="811"/>
      <c r="K346" s="811"/>
      <c r="L346" s="811"/>
      <c r="M346" s="811">
        <f>5000+táj2!M346</f>
        <v>5000</v>
      </c>
      <c r="N346" s="811"/>
      <c r="O346" s="811"/>
      <c r="P346" s="811"/>
      <c r="Q346" s="359">
        <f t="shared" si="24"/>
        <v>5000</v>
      </c>
    </row>
    <row r="347" spans="1:17" ht="15.75" customHeight="1" x14ac:dyDescent="0.2">
      <c r="A347" s="814"/>
      <c r="B347" s="814"/>
      <c r="C347" s="762" t="s">
        <v>1133</v>
      </c>
      <c r="D347" s="819" t="s">
        <v>1134</v>
      </c>
      <c r="E347" s="810"/>
      <c r="F347" s="810">
        <v>152469</v>
      </c>
      <c r="G347" s="811"/>
      <c r="H347" s="811"/>
      <c r="I347" s="811"/>
      <c r="J347" s="811"/>
      <c r="K347" s="811"/>
      <c r="L347" s="811">
        <f>4500+táj2!L347</f>
        <v>0</v>
      </c>
      <c r="M347" s="811"/>
      <c r="N347" s="811"/>
      <c r="O347" s="811"/>
      <c r="P347" s="811"/>
      <c r="Q347" s="359">
        <f t="shared" si="24"/>
        <v>0</v>
      </c>
    </row>
    <row r="348" spans="1:17" ht="15.75" customHeight="1" x14ac:dyDescent="0.2">
      <c r="A348" s="814"/>
      <c r="B348" s="814"/>
      <c r="C348" s="762" t="s">
        <v>1145</v>
      </c>
      <c r="D348" s="819" t="s">
        <v>1146</v>
      </c>
      <c r="E348" s="810"/>
      <c r="F348" s="810">
        <v>154478</v>
      </c>
      <c r="G348" s="811"/>
      <c r="H348" s="811"/>
      <c r="I348" s="811"/>
      <c r="J348" s="811"/>
      <c r="K348" s="811"/>
      <c r="L348" s="811"/>
      <c r="M348" s="811">
        <f>4000+táj2!M348</f>
        <v>13309</v>
      </c>
      <c r="N348" s="811"/>
      <c r="O348" s="811"/>
      <c r="P348" s="811"/>
      <c r="Q348" s="359">
        <f t="shared" si="24"/>
        <v>13309</v>
      </c>
    </row>
    <row r="349" spans="1:17" ht="15.75" customHeight="1" x14ac:dyDescent="0.2">
      <c r="A349" s="814"/>
      <c r="B349" s="814"/>
      <c r="C349" s="762" t="s">
        <v>1148</v>
      </c>
      <c r="D349" s="819" t="s">
        <v>1149</v>
      </c>
      <c r="E349" s="810"/>
      <c r="F349" s="810">
        <v>152454</v>
      </c>
      <c r="G349" s="811"/>
      <c r="H349" s="811"/>
      <c r="I349" s="811"/>
      <c r="J349" s="811"/>
      <c r="K349" s="811"/>
      <c r="L349" s="811">
        <f>500+táj2!L349</f>
        <v>500</v>
      </c>
      <c r="M349" s="811"/>
      <c r="N349" s="811"/>
      <c r="O349" s="811"/>
      <c r="P349" s="811"/>
      <c r="Q349" s="359">
        <f t="shared" si="24"/>
        <v>500</v>
      </c>
    </row>
    <row r="350" spans="1:17" ht="17.25" customHeight="1" x14ac:dyDescent="0.2">
      <c r="A350" s="360"/>
      <c r="B350" s="360"/>
      <c r="C350" s="241"/>
      <c r="D350" s="351" t="s">
        <v>868</v>
      </c>
      <c r="E350" s="598"/>
      <c r="F350" s="359"/>
      <c r="G350" s="359"/>
      <c r="H350" s="359"/>
      <c r="I350" s="359"/>
      <c r="J350" s="359"/>
      <c r="K350" s="359"/>
      <c r="L350" s="359"/>
      <c r="M350" s="359"/>
      <c r="N350" s="359"/>
      <c r="O350" s="359"/>
      <c r="P350" s="359"/>
      <c r="Q350" s="359"/>
    </row>
    <row r="351" spans="1:17" ht="17.25" customHeight="1" x14ac:dyDescent="0.2">
      <c r="A351" s="360"/>
      <c r="B351" s="360"/>
      <c r="C351" s="370" t="s">
        <v>473</v>
      </c>
      <c r="D351" s="376" t="s">
        <v>813</v>
      </c>
      <c r="E351" s="604"/>
      <c r="F351" s="359">
        <v>154475</v>
      </c>
      <c r="G351" s="359"/>
      <c r="H351" s="359"/>
      <c r="I351" s="359"/>
      <c r="J351" s="359"/>
      <c r="K351" s="359"/>
      <c r="L351" s="359"/>
      <c r="M351" s="359">
        <f>15873+táj2!M351</f>
        <v>15873</v>
      </c>
      <c r="N351" s="359"/>
      <c r="O351" s="359"/>
      <c r="P351" s="359"/>
      <c r="Q351" s="359">
        <f t="shared" si="24"/>
        <v>15873</v>
      </c>
    </row>
    <row r="352" spans="1:17" ht="17.25" customHeight="1" x14ac:dyDescent="0.2">
      <c r="A352" s="360"/>
      <c r="B352" s="360"/>
      <c r="C352" s="370" t="s">
        <v>474</v>
      </c>
      <c r="D352" s="376" t="s">
        <v>1165</v>
      </c>
      <c r="E352" s="605"/>
      <c r="F352" s="359">
        <v>154462</v>
      </c>
      <c r="G352" s="359"/>
      <c r="H352" s="359"/>
      <c r="I352" s="359"/>
      <c r="J352" s="359"/>
      <c r="K352" s="359"/>
      <c r="L352" s="359"/>
      <c r="M352" s="359">
        <f>1718+táj2!M352</f>
        <v>1718</v>
      </c>
      <c r="N352" s="359"/>
      <c r="O352" s="359"/>
      <c r="P352" s="359"/>
      <c r="Q352" s="359">
        <f t="shared" si="24"/>
        <v>1718</v>
      </c>
    </row>
    <row r="353" spans="1:17" ht="17.25" customHeight="1" x14ac:dyDescent="0.2">
      <c r="A353" s="360"/>
      <c r="B353" s="360"/>
      <c r="C353" s="370" t="s">
        <v>475</v>
      </c>
      <c r="D353" s="376" t="s">
        <v>1166</v>
      </c>
      <c r="E353" s="598"/>
      <c r="F353" s="359">
        <v>152461</v>
      </c>
      <c r="G353" s="359"/>
      <c r="H353" s="359"/>
      <c r="I353" s="359"/>
      <c r="J353" s="359"/>
      <c r="K353" s="359"/>
      <c r="L353" s="359">
        <f>17040+táj2!L353</f>
        <v>17040</v>
      </c>
      <c r="M353" s="359"/>
      <c r="N353" s="359"/>
      <c r="O353" s="359"/>
      <c r="P353" s="359"/>
      <c r="Q353" s="359">
        <f t="shared" si="24"/>
        <v>17040</v>
      </c>
    </row>
    <row r="354" spans="1:17" ht="17.25" customHeight="1" x14ac:dyDescent="0.2">
      <c r="A354" s="360"/>
      <c r="B354" s="360"/>
      <c r="C354" s="370" t="s">
        <v>476</v>
      </c>
      <c r="D354" s="456" t="s">
        <v>816</v>
      </c>
      <c r="E354" s="391"/>
      <c r="F354" s="359">
        <v>152462</v>
      </c>
      <c r="G354" s="359"/>
      <c r="H354" s="359"/>
      <c r="I354" s="359"/>
      <c r="J354" s="359"/>
      <c r="K354" s="359"/>
      <c r="L354" s="359">
        <f>12675+táj2!L354</f>
        <v>12675</v>
      </c>
      <c r="M354" s="359"/>
      <c r="N354" s="359"/>
      <c r="O354" s="359"/>
      <c r="P354" s="359"/>
      <c r="Q354" s="359">
        <f t="shared" si="24"/>
        <v>12675</v>
      </c>
    </row>
    <row r="355" spans="1:17" ht="17.25" customHeight="1" x14ac:dyDescent="0.2">
      <c r="A355" s="360"/>
      <c r="B355" s="360"/>
      <c r="C355" s="370" t="s">
        <v>477</v>
      </c>
      <c r="D355" s="606" t="s">
        <v>817</v>
      </c>
      <c r="E355" s="598"/>
      <c r="F355" s="598">
        <v>152463</v>
      </c>
      <c r="G355" s="359"/>
      <c r="H355" s="359"/>
      <c r="I355" s="359"/>
      <c r="J355" s="359"/>
      <c r="K355" s="359"/>
      <c r="L355" s="359"/>
      <c r="M355" s="359">
        <f>18946+táj2!M355</f>
        <v>18946</v>
      </c>
      <c r="N355" s="359"/>
      <c r="O355" s="359"/>
      <c r="P355" s="359"/>
      <c r="Q355" s="359">
        <f t="shared" si="24"/>
        <v>18946</v>
      </c>
    </row>
    <row r="356" spans="1:17" ht="17.25" customHeight="1" x14ac:dyDescent="0.2">
      <c r="A356" s="360"/>
      <c r="B356" s="360"/>
      <c r="C356" s="370" t="s">
        <v>478</v>
      </c>
      <c r="D356" s="461" t="s">
        <v>1167</v>
      </c>
      <c r="E356" s="607"/>
      <c r="F356" s="598">
        <v>154483</v>
      </c>
      <c r="G356" s="359"/>
      <c r="H356" s="359"/>
      <c r="I356" s="359"/>
      <c r="J356" s="359"/>
      <c r="K356" s="359"/>
      <c r="L356" s="359"/>
      <c r="M356" s="359">
        <f>4672+táj2!M356</f>
        <v>4672</v>
      </c>
      <c r="N356" s="359"/>
      <c r="O356" s="359"/>
      <c r="P356" s="359"/>
      <c r="Q356" s="359">
        <f t="shared" si="24"/>
        <v>4672</v>
      </c>
    </row>
    <row r="357" spans="1:17" ht="17.25" customHeight="1" x14ac:dyDescent="0.2">
      <c r="A357" s="360"/>
      <c r="B357" s="360"/>
      <c r="C357" s="370" t="s">
        <v>479</v>
      </c>
      <c r="D357" s="376" t="s">
        <v>819</v>
      </c>
      <c r="E357" s="598"/>
      <c r="F357" s="598">
        <v>154455</v>
      </c>
      <c r="G357" s="359"/>
      <c r="H357" s="359"/>
      <c r="I357" s="359"/>
      <c r="J357" s="359"/>
      <c r="K357" s="359"/>
      <c r="L357" s="359"/>
      <c r="M357" s="359">
        <f>21765+táj2!M357</f>
        <v>30639</v>
      </c>
      <c r="N357" s="359"/>
      <c r="O357" s="359"/>
      <c r="P357" s="359"/>
      <c r="Q357" s="359">
        <f t="shared" si="24"/>
        <v>30639</v>
      </c>
    </row>
    <row r="358" spans="1:17" ht="17.25" customHeight="1" x14ac:dyDescent="0.2">
      <c r="A358" s="360"/>
      <c r="B358" s="360"/>
      <c r="C358" s="370" t="s">
        <v>480</v>
      </c>
      <c r="D358" s="376" t="s">
        <v>820</v>
      </c>
      <c r="E358" s="598"/>
      <c r="F358" s="598">
        <v>154458</v>
      </c>
      <c r="G358" s="359"/>
      <c r="H358" s="359"/>
      <c r="I358" s="359"/>
      <c r="J358" s="359"/>
      <c r="K358" s="359"/>
      <c r="L358" s="359"/>
      <c r="M358" s="359">
        <f>4394+táj2!M358</f>
        <v>4394</v>
      </c>
      <c r="N358" s="359"/>
      <c r="O358" s="359"/>
      <c r="P358" s="359"/>
      <c r="Q358" s="359">
        <f t="shared" si="24"/>
        <v>4394</v>
      </c>
    </row>
    <row r="359" spans="1:17" ht="17.25" customHeight="1" x14ac:dyDescent="0.2">
      <c r="A359" s="360"/>
      <c r="B359" s="360"/>
      <c r="C359" s="370" t="s">
        <v>649</v>
      </c>
      <c r="D359" s="376" t="s">
        <v>821</v>
      </c>
      <c r="E359" s="598"/>
      <c r="F359" s="598">
        <v>154461</v>
      </c>
      <c r="G359" s="359"/>
      <c r="H359" s="359"/>
      <c r="I359" s="359"/>
      <c r="J359" s="359"/>
      <c r="K359" s="359"/>
      <c r="L359" s="359"/>
      <c r="M359" s="359">
        <f>1732+táj2!M359</f>
        <v>1732</v>
      </c>
      <c r="N359" s="359"/>
      <c r="O359" s="359"/>
      <c r="P359" s="359"/>
      <c r="Q359" s="359">
        <f>SUM(G359:P359)</f>
        <v>1732</v>
      </c>
    </row>
    <row r="360" spans="1:17" ht="27.75" customHeight="1" x14ac:dyDescent="0.2">
      <c r="A360" s="360"/>
      <c r="B360" s="360"/>
      <c r="C360" s="370" t="s">
        <v>650</v>
      </c>
      <c r="D360" s="608" t="s">
        <v>481</v>
      </c>
      <c r="E360" s="598"/>
      <c r="F360" s="359">
        <v>152405</v>
      </c>
      <c r="G360" s="359"/>
      <c r="H360" s="359"/>
      <c r="I360" s="359">
        <f>89+táj2!I360</f>
        <v>1483</v>
      </c>
      <c r="J360" s="359"/>
      <c r="K360" s="359"/>
      <c r="L360" s="359">
        <f>4045+táj2!L360</f>
        <v>2934</v>
      </c>
      <c r="M360" s="359">
        <f>1570+táj2!M360</f>
        <v>1570</v>
      </c>
      <c r="N360" s="359"/>
      <c r="O360" s="359"/>
      <c r="P360" s="359"/>
      <c r="Q360" s="359">
        <f t="shared" ref="Q360:Q381" si="25">SUM(G360:P360)</f>
        <v>5987</v>
      </c>
    </row>
    <row r="361" spans="1:17" ht="15" customHeight="1" x14ac:dyDescent="0.2">
      <c r="A361" s="360"/>
      <c r="B361" s="360"/>
      <c r="C361" s="370" t="s">
        <v>651</v>
      </c>
      <c r="D361" s="369" t="s">
        <v>472</v>
      </c>
      <c r="E361" s="598"/>
      <c r="F361" s="359">
        <v>155427</v>
      </c>
      <c r="G361" s="359"/>
      <c r="H361" s="359"/>
      <c r="I361" s="359"/>
      <c r="J361" s="359"/>
      <c r="K361" s="359"/>
      <c r="L361" s="359"/>
      <c r="M361" s="359">
        <f>5869+táj2!M361</f>
        <v>7703</v>
      </c>
      <c r="N361" s="359"/>
      <c r="O361" s="359"/>
      <c r="P361" s="359"/>
      <c r="Q361" s="359">
        <f t="shared" si="25"/>
        <v>7703</v>
      </c>
    </row>
    <row r="362" spans="1:17" ht="17.25" customHeight="1" x14ac:dyDescent="0.2">
      <c r="A362" s="360"/>
      <c r="B362" s="360"/>
      <c r="C362" s="370" t="s">
        <v>652</v>
      </c>
      <c r="D362" s="609" t="s">
        <v>704</v>
      </c>
      <c r="E362" s="598"/>
      <c r="F362" s="598">
        <v>152442</v>
      </c>
      <c r="G362" s="359"/>
      <c r="H362" s="359"/>
      <c r="I362" s="359"/>
      <c r="J362" s="359"/>
      <c r="K362" s="359"/>
      <c r="L362" s="359">
        <f>18756+táj2!L362</f>
        <v>27256</v>
      </c>
      <c r="M362" s="359"/>
      <c r="N362" s="359"/>
      <c r="O362" s="359"/>
      <c r="P362" s="359"/>
      <c r="Q362" s="359">
        <f t="shared" si="25"/>
        <v>27256</v>
      </c>
    </row>
    <row r="363" spans="1:17" ht="15.6" customHeight="1" x14ac:dyDescent="0.2">
      <c r="A363" s="360"/>
      <c r="B363" s="360"/>
      <c r="C363" s="610" t="s">
        <v>76</v>
      </c>
      <c r="D363" s="457" t="s">
        <v>482</v>
      </c>
      <c r="E363" s="601"/>
      <c r="F363" s="362"/>
      <c r="G363" s="359"/>
      <c r="H363" s="359"/>
      <c r="I363" s="359"/>
      <c r="J363" s="359"/>
      <c r="K363" s="359"/>
      <c r="L363" s="359"/>
      <c r="M363" s="359"/>
      <c r="N363" s="359"/>
      <c r="O363" s="359"/>
      <c r="P363" s="359"/>
      <c r="Q363" s="359"/>
    </row>
    <row r="364" spans="1:17" ht="15.6" customHeight="1" x14ac:dyDescent="0.2">
      <c r="A364" s="660"/>
      <c r="B364" s="660"/>
      <c r="C364" s="711" t="s">
        <v>1019</v>
      </c>
      <c r="D364" s="712" t="s">
        <v>1020</v>
      </c>
      <c r="E364" s="662"/>
      <c r="F364" s="663">
        <v>152514</v>
      </c>
      <c r="G364" s="663"/>
      <c r="H364" s="663"/>
      <c r="I364" s="663"/>
      <c r="J364" s="663"/>
      <c r="K364" s="663"/>
      <c r="L364" s="359">
        <f>5000+táj2!L364</f>
        <v>0</v>
      </c>
      <c r="M364" s="663"/>
      <c r="N364" s="663"/>
      <c r="O364" s="663"/>
      <c r="P364" s="663"/>
      <c r="Q364" s="359">
        <f t="shared" si="25"/>
        <v>0</v>
      </c>
    </row>
    <row r="365" spans="1:17" ht="15.6" customHeight="1" x14ac:dyDescent="0.2">
      <c r="A365" s="660"/>
      <c r="B365" s="660"/>
      <c r="C365" s="711" t="s">
        <v>1021</v>
      </c>
      <c r="D365" s="712" t="s">
        <v>1022</v>
      </c>
      <c r="E365" s="662"/>
      <c r="F365" s="663">
        <v>152515</v>
      </c>
      <c r="G365" s="663"/>
      <c r="H365" s="663"/>
      <c r="I365" s="663"/>
      <c r="J365" s="663"/>
      <c r="K365" s="663"/>
      <c r="L365" s="359">
        <f>5000+táj2!L365</f>
        <v>0</v>
      </c>
      <c r="M365" s="663"/>
      <c r="N365" s="663"/>
      <c r="O365" s="663"/>
      <c r="P365" s="663"/>
      <c r="Q365" s="359">
        <f t="shared" si="25"/>
        <v>0</v>
      </c>
    </row>
    <row r="366" spans="1:17" ht="15.6" customHeight="1" x14ac:dyDescent="0.2">
      <c r="A366" s="660"/>
      <c r="B366" s="660"/>
      <c r="C366" s="713" t="s">
        <v>1023</v>
      </c>
      <c r="D366" s="712" t="s">
        <v>1024</v>
      </c>
      <c r="E366" s="662"/>
      <c r="F366" s="663">
        <v>154526</v>
      </c>
      <c r="G366" s="663"/>
      <c r="H366" s="663"/>
      <c r="I366" s="663"/>
      <c r="J366" s="663"/>
      <c r="K366" s="663"/>
      <c r="L366" s="359">
        <f>0+táj2!L366</f>
        <v>5878</v>
      </c>
      <c r="M366" s="359">
        <f>2000+táj2!M366</f>
        <v>0</v>
      </c>
      <c r="N366" s="663"/>
      <c r="O366" s="663"/>
      <c r="P366" s="663"/>
      <c r="Q366" s="359">
        <f t="shared" si="25"/>
        <v>5878</v>
      </c>
    </row>
    <row r="367" spans="1:17" ht="15.6" customHeight="1" x14ac:dyDescent="0.2">
      <c r="A367" s="660"/>
      <c r="B367" s="660"/>
      <c r="C367" s="709"/>
      <c r="D367" s="351" t="s">
        <v>868</v>
      </c>
      <c r="E367" s="662"/>
      <c r="F367" s="710"/>
      <c r="G367" s="663"/>
      <c r="H367" s="663"/>
      <c r="I367" s="663"/>
      <c r="J367" s="663"/>
      <c r="K367" s="663"/>
      <c r="L367" s="663"/>
      <c r="M367" s="663"/>
      <c r="N367" s="663"/>
      <c r="O367" s="663"/>
      <c r="P367" s="663"/>
      <c r="Q367" s="663"/>
    </row>
    <row r="368" spans="1:17" ht="17.25" customHeight="1" x14ac:dyDescent="0.2">
      <c r="A368" s="360"/>
      <c r="B368" s="360"/>
      <c r="C368" s="459" t="s">
        <v>483</v>
      </c>
      <c r="D368" s="375" t="s">
        <v>823</v>
      </c>
      <c r="E368" s="598"/>
      <c r="F368" s="359">
        <v>152574</v>
      </c>
      <c r="G368" s="359"/>
      <c r="H368" s="359"/>
      <c r="I368" s="359"/>
      <c r="J368" s="359"/>
      <c r="K368" s="359"/>
      <c r="L368" s="359">
        <f>53321+táj2!L368</f>
        <v>53321</v>
      </c>
      <c r="M368" s="359">
        <f>0+táj2!M368</f>
        <v>2850</v>
      </c>
      <c r="N368" s="359"/>
      <c r="O368" s="359"/>
      <c r="P368" s="359"/>
      <c r="Q368" s="359">
        <f t="shared" si="25"/>
        <v>56171</v>
      </c>
    </row>
    <row r="369" spans="1:17" ht="17.25" customHeight="1" x14ac:dyDescent="0.2">
      <c r="A369" s="360"/>
      <c r="B369" s="360"/>
      <c r="C369" s="459" t="s">
        <v>918</v>
      </c>
      <c r="D369" s="375" t="s">
        <v>824</v>
      </c>
      <c r="E369" s="607"/>
      <c r="F369" s="359">
        <v>152584</v>
      </c>
      <c r="G369" s="359"/>
      <c r="H369" s="359"/>
      <c r="I369" s="359"/>
      <c r="J369" s="359"/>
      <c r="K369" s="359"/>
      <c r="L369" s="359">
        <f>3000+táj2!L369</f>
        <v>1614</v>
      </c>
      <c r="M369" s="359"/>
      <c r="N369" s="359"/>
      <c r="O369" s="359"/>
      <c r="P369" s="359"/>
      <c r="Q369" s="359">
        <f t="shared" si="25"/>
        <v>1614</v>
      </c>
    </row>
    <row r="370" spans="1:17" ht="25.9" customHeight="1" x14ac:dyDescent="0.2">
      <c r="A370" s="360"/>
      <c r="B370" s="360"/>
      <c r="C370" s="459" t="s">
        <v>919</v>
      </c>
      <c r="D370" s="373" t="s">
        <v>1151</v>
      </c>
      <c r="E370" s="598"/>
      <c r="F370" s="359">
        <v>154525</v>
      </c>
      <c r="G370" s="359"/>
      <c r="H370" s="359"/>
      <c r="I370" s="359">
        <f>2032+táj2!I370</f>
        <v>2032</v>
      </c>
      <c r="J370" s="359"/>
      <c r="K370" s="359"/>
      <c r="L370" s="359">
        <f>0+táj2!L370</f>
        <v>0</v>
      </c>
      <c r="M370" s="359"/>
      <c r="N370" s="359"/>
      <c r="O370" s="359"/>
      <c r="P370" s="359"/>
      <c r="Q370" s="359">
        <f t="shared" si="25"/>
        <v>2032</v>
      </c>
    </row>
    <row r="371" spans="1:17" ht="17.25" customHeight="1" x14ac:dyDescent="0.2">
      <c r="A371" s="360"/>
      <c r="B371" s="360"/>
      <c r="C371" s="459" t="s">
        <v>920</v>
      </c>
      <c r="D371" s="364" t="s">
        <v>484</v>
      </c>
      <c r="E371" s="611"/>
      <c r="F371" s="359">
        <v>152562</v>
      </c>
      <c r="G371" s="359"/>
      <c r="H371" s="359"/>
      <c r="I371" s="359"/>
      <c r="J371" s="359"/>
      <c r="K371" s="359"/>
      <c r="L371" s="359">
        <f>10776+táj2!L371</f>
        <v>12776</v>
      </c>
      <c r="M371" s="359">
        <f>0+táj2!M371</f>
        <v>6844</v>
      </c>
      <c r="N371" s="359"/>
      <c r="O371" s="359"/>
      <c r="P371" s="359"/>
      <c r="Q371" s="359">
        <f t="shared" si="25"/>
        <v>19620</v>
      </c>
    </row>
    <row r="372" spans="1:17" ht="14.45" customHeight="1" x14ac:dyDescent="0.2">
      <c r="A372" s="360"/>
      <c r="B372" s="360"/>
      <c r="C372" s="378" t="s">
        <v>77</v>
      </c>
      <c r="D372" s="377" t="s">
        <v>485</v>
      </c>
      <c r="E372" s="601"/>
      <c r="F372" s="362"/>
      <c r="G372" s="359"/>
      <c r="H372" s="359"/>
      <c r="I372" s="359"/>
      <c r="J372" s="359"/>
      <c r="K372" s="359"/>
      <c r="L372" s="359"/>
      <c r="M372" s="359"/>
      <c r="N372" s="359"/>
      <c r="O372" s="359"/>
      <c r="P372" s="359"/>
      <c r="Q372" s="359"/>
    </row>
    <row r="373" spans="1:17" ht="14.45" customHeight="1" x14ac:dyDescent="0.2">
      <c r="A373" s="360"/>
      <c r="B373" s="360"/>
      <c r="C373" s="241" t="s">
        <v>78</v>
      </c>
      <c r="D373" s="415" t="s">
        <v>486</v>
      </c>
      <c r="E373" s="601"/>
      <c r="F373" s="362"/>
      <c r="G373" s="359"/>
      <c r="H373" s="359"/>
      <c r="I373" s="359"/>
      <c r="J373" s="359"/>
      <c r="K373" s="359"/>
      <c r="L373" s="359"/>
      <c r="M373" s="359"/>
      <c r="N373" s="359"/>
      <c r="O373" s="359"/>
      <c r="P373" s="359"/>
      <c r="Q373" s="359"/>
    </row>
    <row r="374" spans="1:17" ht="15" customHeight="1" x14ac:dyDescent="0.2">
      <c r="A374" s="360"/>
      <c r="B374" s="360"/>
      <c r="C374" s="370" t="s">
        <v>825</v>
      </c>
      <c r="D374" s="379" t="s">
        <v>487</v>
      </c>
      <c r="E374" s="601"/>
      <c r="F374" s="359">
        <v>152801</v>
      </c>
      <c r="G374" s="359"/>
      <c r="H374" s="359"/>
      <c r="I374" s="359">
        <f>7000+táj2!I374</f>
        <v>1810</v>
      </c>
      <c r="J374" s="359"/>
      <c r="K374" s="359"/>
      <c r="L374" s="359">
        <f>8166+táj2!L374</f>
        <v>5176</v>
      </c>
      <c r="M374" s="359">
        <f>0+táj2!M374</f>
        <v>6898</v>
      </c>
      <c r="N374" s="359"/>
      <c r="O374" s="359"/>
      <c r="P374" s="359"/>
      <c r="Q374" s="359">
        <f t="shared" si="25"/>
        <v>13884</v>
      </c>
    </row>
    <row r="375" spans="1:17" ht="15.6" customHeight="1" x14ac:dyDescent="0.2">
      <c r="A375" s="360"/>
      <c r="B375" s="360"/>
      <c r="C375" s="458" t="s">
        <v>79</v>
      </c>
      <c r="D375" s="612" t="s">
        <v>488</v>
      </c>
      <c r="E375" s="598"/>
      <c r="F375" s="359"/>
      <c r="G375" s="359"/>
      <c r="H375" s="359"/>
      <c r="I375" s="359"/>
      <c r="J375" s="359"/>
      <c r="K375" s="359"/>
      <c r="L375" s="359"/>
      <c r="M375" s="359"/>
      <c r="N375" s="359"/>
      <c r="O375" s="359"/>
      <c r="P375" s="359"/>
      <c r="Q375" s="359"/>
    </row>
    <row r="376" spans="1:17" ht="17.25" customHeight="1" x14ac:dyDescent="0.2">
      <c r="A376" s="360"/>
      <c r="B376" s="360"/>
      <c r="C376" s="370" t="s">
        <v>489</v>
      </c>
      <c r="D376" s="613" t="s">
        <v>491</v>
      </c>
      <c r="E376" s="598"/>
      <c r="F376" s="359">
        <v>152947</v>
      </c>
      <c r="G376" s="359"/>
      <c r="H376" s="359"/>
      <c r="I376" s="359">
        <f>0+táj2!I376</f>
        <v>1298</v>
      </c>
      <c r="J376" s="359"/>
      <c r="K376" s="359"/>
      <c r="L376" s="359">
        <f>4301+táj2!L376</f>
        <v>4301</v>
      </c>
      <c r="M376" s="359"/>
      <c r="N376" s="359"/>
      <c r="O376" s="359"/>
      <c r="P376" s="359"/>
      <c r="Q376" s="359">
        <f t="shared" si="25"/>
        <v>5599</v>
      </c>
    </row>
    <row r="377" spans="1:17" ht="17.25" customHeight="1" x14ac:dyDescent="0.2">
      <c r="A377" s="360"/>
      <c r="B377" s="360"/>
      <c r="C377" s="370" t="s">
        <v>490</v>
      </c>
      <c r="D377" s="460" t="s">
        <v>921</v>
      </c>
      <c r="E377" s="598"/>
      <c r="F377" s="359">
        <v>154908</v>
      </c>
      <c r="G377" s="359"/>
      <c r="H377" s="359"/>
      <c r="I377" s="359">
        <f>1077+táj2!I377</f>
        <v>1077</v>
      </c>
      <c r="J377" s="359"/>
      <c r="K377" s="359"/>
      <c r="L377" s="359">
        <f>9839+táj2!L377</f>
        <v>9839</v>
      </c>
      <c r="M377" s="359">
        <f>2500+táj2!M377</f>
        <v>2500</v>
      </c>
      <c r="N377" s="359"/>
      <c r="O377" s="359"/>
      <c r="P377" s="359"/>
      <c r="Q377" s="359">
        <f t="shared" si="25"/>
        <v>13416</v>
      </c>
    </row>
    <row r="378" spans="1:17" ht="17.25" customHeight="1" x14ac:dyDescent="0.2">
      <c r="A378" s="360"/>
      <c r="B378" s="360"/>
      <c r="C378" s="341" t="s">
        <v>1029</v>
      </c>
      <c r="D378" s="544" t="s">
        <v>1059</v>
      </c>
      <c r="E378" s="358"/>
      <c r="F378" s="359">
        <v>154909</v>
      </c>
      <c r="G378" s="359"/>
      <c r="H378" s="359"/>
      <c r="I378" s="359">
        <f>0+táj2!I378</f>
        <v>2794</v>
      </c>
      <c r="J378" s="359"/>
      <c r="K378" s="359"/>
      <c r="L378" s="359"/>
      <c r="M378" s="359">
        <f>9500+táj2!M378</f>
        <v>7870</v>
      </c>
      <c r="N378" s="359">
        <f>0+táj2!N378</f>
        <v>436</v>
      </c>
      <c r="O378" s="359"/>
      <c r="P378" s="359"/>
      <c r="Q378" s="359">
        <f t="shared" si="25"/>
        <v>11100</v>
      </c>
    </row>
    <row r="379" spans="1:17" ht="17.25" customHeight="1" x14ac:dyDescent="0.2">
      <c r="A379" s="814"/>
      <c r="B379" s="814"/>
      <c r="C379" s="809" t="s">
        <v>1031</v>
      </c>
      <c r="D379" s="827" t="s">
        <v>1147</v>
      </c>
      <c r="E379" s="821"/>
      <c r="F379" s="811">
        <v>152912</v>
      </c>
      <c r="G379" s="811"/>
      <c r="H379" s="811"/>
      <c r="I379" s="811"/>
      <c r="J379" s="811"/>
      <c r="K379" s="811"/>
      <c r="L379" s="811">
        <f>2000+táj2!L379</f>
        <v>2000</v>
      </c>
      <c r="M379" s="811"/>
      <c r="N379" s="811"/>
      <c r="O379" s="811"/>
      <c r="P379" s="811"/>
      <c r="Q379" s="359">
        <f t="shared" si="25"/>
        <v>2000</v>
      </c>
    </row>
    <row r="380" spans="1:17" ht="17.25" customHeight="1" x14ac:dyDescent="0.2">
      <c r="A380" s="360"/>
      <c r="B380" s="360"/>
      <c r="C380" s="361"/>
      <c r="D380" s="351" t="s">
        <v>868</v>
      </c>
      <c r="E380" s="598"/>
      <c r="F380" s="359"/>
      <c r="G380" s="359"/>
      <c r="H380" s="359"/>
      <c r="I380" s="359"/>
      <c r="J380" s="359"/>
      <c r="K380" s="359"/>
      <c r="L380" s="359"/>
      <c r="M380" s="359"/>
      <c r="N380" s="359"/>
      <c r="O380" s="359"/>
      <c r="P380" s="359"/>
      <c r="Q380" s="359"/>
    </row>
    <row r="381" spans="1:17" ht="24.6" customHeight="1" x14ac:dyDescent="0.2">
      <c r="A381" s="360"/>
      <c r="B381" s="360"/>
      <c r="C381" s="363" t="s">
        <v>492</v>
      </c>
      <c r="D381" s="380" t="s">
        <v>653</v>
      </c>
      <c r="E381" s="598"/>
      <c r="F381" s="359">
        <v>152937</v>
      </c>
      <c r="G381" s="359"/>
      <c r="H381" s="359"/>
      <c r="I381" s="359">
        <f>1263+táj2!I381</f>
        <v>1263</v>
      </c>
      <c r="J381" s="359"/>
      <c r="K381" s="359"/>
      <c r="L381" s="359">
        <f>58205+táj2!L381</f>
        <v>53205</v>
      </c>
      <c r="M381" s="359"/>
      <c r="N381" s="359"/>
      <c r="O381" s="359"/>
      <c r="P381" s="359"/>
      <c r="Q381" s="359">
        <f t="shared" si="25"/>
        <v>54468</v>
      </c>
    </row>
    <row r="382" spans="1:17" ht="20.25" customHeight="1" x14ac:dyDescent="0.2">
      <c r="A382" s="124"/>
      <c r="B382" s="124"/>
      <c r="C382" s="125"/>
      <c r="D382" s="1019" t="s">
        <v>499</v>
      </c>
      <c r="E382" s="1020"/>
      <c r="F382" s="128"/>
      <c r="G382" s="128">
        <f t="shared" ref="G382:Q382" si="26">SUM(G320:G381)</f>
        <v>16458</v>
      </c>
      <c r="H382" s="128">
        <f t="shared" si="26"/>
        <v>2150</v>
      </c>
      <c r="I382" s="128">
        <f t="shared" si="26"/>
        <v>2725449</v>
      </c>
      <c r="J382" s="128">
        <f t="shared" si="26"/>
        <v>0</v>
      </c>
      <c r="K382" s="128">
        <f t="shared" si="26"/>
        <v>1226533</v>
      </c>
      <c r="L382" s="128">
        <f t="shared" si="26"/>
        <v>292072</v>
      </c>
      <c r="M382" s="128">
        <f t="shared" si="26"/>
        <v>268643</v>
      </c>
      <c r="N382" s="128">
        <f t="shared" si="26"/>
        <v>436</v>
      </c>
      <c r="O382" s="128">
        <f t="shared" si="26"/>
        <v>0</v>
      </c>
      <c r="P382" s="128">
        <f t="shared" si="26"/>
        <v>0</v>
      </c>
      <c r="Q382" s="128">
        <f t="shared" si="26"/>
        <v>4531741</v>
      </c>
    </row>
    <row r="383" spans="1:17" ht="15" customHeight="1" x14ac:dyDescent="0.2">
      <c r="A383" s="102">
        <v>1</v>
      </c>
      <c r="B383" s="102">
        <v>16</v>
      </c>
      <c r="C383" s="118"/>
      <c r="D383" s="146" t="s">
        <v>500</v>
      </c>
      <c r="E383" s="130"/>
      <c r="F383" s="82"/>
      <c r="G383" s="82"/>
      <c r="H383" s="107"/>
      <c r="I383" s="107"/>
      <c r="J383" s="107"/>
      <c r="K383" s="107"/>
      <c r="L383" s="107"/>
      <c r="M383" s="82"/>
      <c r="N383" s="82"/>
      <c r="O383" s="82"/>
      <c r="P383" s="82"/>
      <c r="Q383" s="82"/>
    </row>
    <row r="384" spans="1:17" ht="15" customHeight="1" x14ac:dyDescent="0.2">
      <c r="A384" s="102"/>
      <c r="B384" s="102"/>
      <c r="C384" s="118"/>
      <c r="D384" s="119" t="s">
        <v>197</v>
      </c>
      <c r="E384" s="130"/>
      <c r="F384" s="82"/>
      <c r="G384" s="82"/>
      <c r="H384" s="107"/>
      <c r="I384" s="107"/>
      <c r="J384" s="107"/>
      <c r="K384" s="107"/>
      <c r="L384" s="107"/>
      <c r="M384" s="82"/>
      <c r="N384" s="82"/>
      <c r="O384" s="82"/>
      <c r="P384" s="82"/>
      <c r="Q384" s="82"/>
    </row>
    <row r="385" spans="1:17" ht="15" customHeight="1" x14ac:dyDescent="0.2">
      <c r="A385" s="102"/>
      <c r="B385" s="102"/>
      <c r="C385" s="118"/>
      <c r="D385" s="116" t="s">
        <v>501</v>
      </c>
      <c r="E385" s="82">
        <v>2</v>
      </c>
      <c r="F385" s="82">
        <v>161910</v>
      </c>
      <c r="G385" s="82"/>
      <c r="H385" s="82"/>
      <c r="I385" s="82">
        <f>2344+táj2!I385</f>
        <v>2344</v>
      </c>
      <c r="J385" s="82"/>
      <c r="K385" s="82"/>
      <c r="L385" s="82">
        <f>3781+táj2!L385</f>
        <v>3781</v>
      </c>
      <c r="M385" s="82">
        <f>1545+táj2!M385</f>
        <v>1545</v>
      </c>
      <c r="N385" s="82"/>
      <c r="O385" s="82"/>
      <c r="P385" s="82"/>
      <c r="Q385" s="82">
        <f t="shared" ref="Q385:Q389" si="27">SUM(G385:P385)</f>
        <v>7670</v>
      </c>
    </row>
    <row r="386" spans="1:17" ht="15" customHeight="1" x14ac:dyDescent="0.2">
      <c r="A386" s="102"/>
      <c r="B386" s="102"/>
      <c r="C386" s="118"/>
      <c r="D386" s="116" t="s">
        <v>502</v>
      </c>
      <c r="E386" s="82">
        <v>1</v>
      </c>
      <c r="F386" s="82">
        <v>161908</v>
      </c>
      <c r="G386" s="82"/>
      <c r="H386" s="82"/>
      <c r="I386" s="82">
        <f>35297+táj2!I386</f>
        <v>27121</v>
      </c>
      <c r="J386" s="82"/>
      <c r="K386" s="82">
        <f>0+táj2!K386</f>
        <v>1010</v>
      </c>
      <c r="L386" s="82">
        <f>0+táj2!L386</f>
        <v>461</v>
      </c>
      <c r="M386" s="82">
        <f>9966+táj2!M386</f>
        <v>11744</v>
      </c>
      <c r="N386" s="82">
        <f>1700+táj2!N386</f>
        <v>3500</v>
      </c>
      <c r="O386" s="82"/>
      <c r="P386" s="82"/>
      <c r="Q386" s="82">
        <f t="shared" si="27"/>
        <v>43836</v>
      </c>
    </row>
    <row r="387" spans="1:17" ht="29.25" customHeight="1" x14ac:dyDescent="0.2">
      <c r="A387" s="102"/>
      <c r="B387" s="102"/>
      <c r="C387" s="118"/>
      <c r="D387" s="123" t="s">
        <v>503</v>
      </c>
      <c r="E387" s="82">
        <v>2</v>
      </c>
      <c r="F387" s="82">
        <v>161911</v>
      </c>
      <c r="G387" s="82"/>
      <c r="H387" s="82"/>
      <c r="I387" s="82">
        <f>15027+táj2!I387</f>
        <v>14608</v>
      </c>
      <c r="J387" s="82"/>
      <c r="K387" s="82">
        <f>200+táj2!K387</f>
        <v>200</v>
      </c>
      <c r="L387" s="82">
        <f>1430+táj2!L387</f>
        <v>2607</v>
      </c>
      <c r="M387" s="82">
        <f>3023+táj2!M387</f>
        <v>6523</v>
      </c>
      <c r="N387" s="82"/>
      <c r="O387" s="82"/>
      <c r="P387" s="82"/>
      <c r="Q387" s="82">
        <f t="shared" si="27"/>
        <v>23938</v>
      </c>
    </row>
    <row r="388" spans="1:17" ht="24" customHeight="1" x14ac:dyDescent="0.2">
      <c r="A388" s="102"/>
      <c r="B388" s="102"/>
      <c r="C388" s="118"/>
      <c r="D388" s="135" t="s">
        <v>504</v>
      </c>
      <c r="E388" s="82">
        <v>2</v>
      </c>
      <c r="F388" s="82">
        <v>161904</v>
      </c>
      <c r="G388" s="82"/>
      <c r="H388" s="82">
        <f>34+táj2!H388</f>
        <v>34</v>
      </c>
      <c r="I388" s="82">
        <f>11282+táj2!I388</f>
        <v>11282</v>
      </c>
      <c r="J388" s="82"/>
      <c r="K388" s="82"/>
      <c r="L388" s="82"/>
      <c r="M388" s="82"/>
      <c r="N388" s="82"/>
      <c r="O388" s="82"/>
      <c r="P388" s="82"/>
      <c r="Q388" s="82">
        <f t="shared" si="27"/>
        <v>11316</v>
      </c>
    </row>
    <row r="389" spans="1:17" ht="24" customHeight="1" x14ac:dyDescent="0.2">
      <c r="A389" s="341"/>
      <c r="B389" s="341"/>
      <c r="C389" s="363"/>
      <c r="D389" s="396" t="s">
        <v>826</v>
      </c>
      <c r="E389" s="359">
        <v>2</v>
      </c>
      <c r="F389" s="359">
        <v>161913</v>
      </c>
      <c r="G389" s="359"/>
      <c r="H389" s="359"/>
      <c r="I389" s="82">
        <f>1000+táj2!I389</f>
        <v>0</v>
      </c>
      <c r="J389" s="359"/>
      <c r="K389" s="359"/>
      <c r="L389" s="359"/>
      <c r="M389" s="359"/>
      <c r="N389" s="359"/>
      <c r="O389" s="359"/>
      <c r="P389" s="359"/>
      <c r="Q389" s="82">
        <f t="shared" si="27"/>
        <v>0</v>
      </c>
    </row>
    <row r="390" spans="1:17" ht="14.1" customHeight="1" x14ac:dyDescent="0.2">
      <c r="A390" s="102"/>
      <c r="B390" s="102"/>
      <c r="C390" s="118"/>
      <c r="D390" s="115" t="s">
        <v>208</v>
      </c>
      <c r="E390" s="152"/>
      <c r="F390" s="82"/>
      <c r="G390" s="82"/>
      <c r="H390" s="107"/>
      <c r="I390" s="82"/>
      <c r="J390" s="107"/>
      <c r="K390" s="107"/>
      <c r="L390" s="107"/>
      <c r="M390" s="82"/>
      <c r="N390" s="82"/>
      <c r="O390" s="82"/>
      <c r="P390" s="82"/>
      <c r="Q390" s="82"/>
    </row>
    <row r="391" spans="1:17" ht="14.1" customHeight="1" x14ac:dyDescent="0.2">
      <c r="A391" s="102"/>
      <c r="B391" s="102"/>
      <c r="C391" s="118"/>
      <c r="D391" s="243" t="s">
        <v>505</v>
      </c>
      <c r="E391" s="82">
        <v>2</v>
      </c>
      <c r="F391" s="82">
        <v>151606</v>
      </c>
      <c r="G391" s="82"/>
      <c r="H391" s="82"/>
      <c r="I391" s="82"/>
      <c r="J391" s="82"/>
      <c r="K391" s="82">
        <f>950+táj2!K391</f>
        <v>950</v>
      </c>
      <c r="L391" s="82"/>
      <c r="M391" s="82"/>
      <c r="N391" s="82">
        <f>250+táj2!N391</f>
        <v>250</v>
      </c>
      <c r="O391" s="82"/>
      <c r="P391" s="82"/>
      <c r="Q391" s="82">
        <f>SUM(G391:P391)</f>
        <v>1200</v>
      </c>
    </row>
    <row r="392" spans="1:17" ht="16.5" customHeight="1" x14ac:dyDescent="0.2">
      <c r="A392" s="102"/>
      <c r="B392" s="102"/>
      <c r="C392" s="118"/>
      <c r="D392" s="115" t="s">
        <v>449</v>
      </c>
      <c r="E392" s="152"/>
      <c r="F392" s="82"/>
      <c r="G392" s="82"/>
      <c r="H392" s="107"/>
      <c r="I392" s="82"/>
      <c r="J392" s="107"/>
      <c r="K392" s="107"/>
      <c r="L392" s="107"/>
      <c r="M392" s="82"/>
      <c r="N392" s="82"/>
      <c r="O392" s="82"/>
      <c r="P392" s="82"/>
      <c r="Q392" s="82"/>
    </row>
    <row r="393" spans="1:17" ht="28.9" customHeight="1" x14ac:dyDescent="0.2">
      <c r="A393" s="102"/>
      <c r="B393" s="102"/>
      <c r="C393" s="118"/>
      <c r="D393" s="135" t="s">
        <v>726</v>
      </c>
      <c r="E393" s="82">
        <v>2</v>
      </c>
      <c r="F393" s="82">
        <v>151203</v>
      </c>
      <c r="G393" s="82"/>
      <c r="H393" s="82"/>
      <c r="I393" s="82">
        <f>27031+táj2!I393</f>
        <v>25791</v>
      </c>
      <c r="J393" s="82"/>
      <c r="K393" s="82"/>
      <c r="L393" s="82">
        <f>0+táj2!L393</f>
        <v>1240</v>
      </c>
      <c r="M393" s="82"/>
      <c r="N393" s="82"/>
      <c r="O393" s="82"/>
      <c r="P393" s="82"/>
      <c r="Q393" s="82">
        <f>SUM(G393:P393)</f>
        <v>27031</v>
      </c>
    </row>
    <row r="394" spans="1:17" ht="14.1" customHeight="1" x14ac:dyDescent="0.2">
      <c r="A394" s="153"/>
      <c r="B394" s="153"/>
      <c r="C394" s="154"/>
      <c r="D394" s="240" t="s">
        <v>506</v>
      </c>
      <c r="E394" s="148"/>
      <c r="F394" s="150"/>
      <c r="G394" s="150">
        <f t="shared" ref="G394:Q394" si="28">SUM(G385:G393)</f>
        <v>0</v>
      </c>
      <c r="H394" s="150">
        <f t="shared" si="28"/>
        <v>34</v>
      </c>
      <c r="I394" s="150">
        <f t="shared" si="28"/>
        <v>81146</v>
      </c>
      <c r="J394" s="150">
        <f t="shared" si="28"/>
        <v>0</v>
      </c>
      <c r="K394" s="150">
        <f t="shared" si="28"/>
        <v>2160</v>
      </c>
      <c r="L394" s="150">
        <f t="shared" si="28"/>
        <v>8089</v>
      </c>
      <c r="M394" s="150">
        <f t="shared" si="28"/>
        <v>19812</v>
      </c>
      <c r="N394" s="150">
        <f t="shared" si="28"/>
        <v>3750</v>
      </c>
      <c r="O394" s="150">
        <f t="shared" si="28"/>
        <v>0</v>
      </c>
      <c r="P394" s="150">
        <f t="shared" si="28"/>
        <v>0</v>
      </c>
      <c r="Q394" s="150">
        <f t="shared" si="28"/>
        <v>114991</v>
      </c>
    </row>
    <row r="395" spans="1:17" ht="14.1" customHeight="1" x14ac:dyDescent="0.2">
      <c r="A395" s="102"/>
      <c r="B395" s="102"/>
      <c r="C395" s="118"/>
      <c r="D395" s="143" t="s">
        <v>507</v>
      </c>
      <c r="E395" s="130"/>
      <c r="F395" s="82"/>
      <c r="G395" s="107"/>
      <c r="H395" s="107"/>
      <c r="I395" s="107"/>
      <c r="J395" s="82"/>
      <c r="K395" s="82"/>
      <c r="L395" s="82"/>
      <c r="M395" s="82"/>
      <c r="N395" s="82"/>
      <c r="O395" s="82"/>
      <c r="P395" s="82"/>
      <c r="Q395" s="82"/>
    </row>
    <row r="396" spans="1:17" ht="15.4" customHeight="1" x14ac:dyDescent="0.2">
      <c r="A396" s="102"/>
      <c r="B396" s="102"/>
      <c r="C396" s="614" t="s">
        <v>86</v>
      </c>
      <c r="D396" s="615" t="s">
        <v>460</v>
      </c>
      <c r="E396" s="598"/>
      <c r="F396" s="359"/>
      <c r="G396" s="107"/>
      <c r="H396" s="107"/>
      <c r="I396" s="107"/>
      <c r="J396" s="82"/>
      <c r="K396" s="82"/>
      <c r="L396" s="82"/>
      <c r="M396" s="82"/>
      <c r="N396" s="82"/>
      <c r="O396" s="82"/>
      <c r="P396" s="82"/>
      <c r="Q396" s="82"/>
    </row>
    <row r="397" spans="1:17" ht="15.4" customHeight="1" x14ac:dyDescent="0.2">
      <c r="A397" s="102"/>
      <c r="B397" s="102"/>
      <c r="C397" s="381" t="s">
        <v>292</v>
      </c>
      <c r="D397" s="382" t="s">
        <v>508</v>
      </c>
      <c r="E397" s="598"/>
      <c r="F397" s="598">
        <v>164106</v>
      </c>
      <c r="G397" s="107"/>
      <c r="H397" s="107"/>
      <c r="I397" s="107">
        <f>104008+táj2!I397</f>
        <v>104008</v>
      </c>
      <c r="J397" s="107"/>
      <c r="K397" s="107"/>
      <c r="L397" s="107">
        <f>590+táj2!L397</f>
        <v>2165</v>
      </c>
      <c r="M397" s="107">
        <f>569887+táj2!M397</f>
        <v>560065</v>
      </c>
      <c r="N397" s="107"/>
      <c r="O397" s="107"/>
      <c r="P397" s="107"/>
      <c r="Q397" s="82">
        <f>SUM(G397:P397)</f>
        <v>666238</v>
      </c>
    </row>
    <row r="398" spans="1:17" ht="15.4" customHeight="1" x14ac:dyDescent="0.2">
      <c r="A398" s="102"/>
      <c r="B398" s="102"/>
      <c r="C398" s="616" t="s">
        <v>461</v>
      </c>
      <c r="D398" s="461" t="s">
        <v>922</v>
      </c>
      <c r="E398" s="601"/>
      <c r="F398" s="598">
        <v>162172</v>
      </c>
      <c r="G398" s="107"/>
      <c r="H398" s="107"/>
      <c r="I398" s="107"/>
      <c r="J398" s="107"/>
      <c r="K398" s="107"/>
      <c r="L398" s="107">
        <f>5874+táj2!L398</f>
        <v>0</v>
      </c>
      <c r="M398" s="107"/>
      <c r="N398" s="107"/>
      <c r="O398" s="107"/>
      <c r="P398" s="107"/>
      <c r="Q398" s="82">
        <f>SUM(G398:P398)</f>
        <v>0</v>
      </c>
    </row>
    <row r="399" spans="1:17" ht="15.4" customHeight="1" x14ac:dyDescent="0.2">
      <c r="A399" s="285"/>
      <c r="B399" s="285"/>
      <c r="C399" s="377"/>
      <c r="D399" s="351" t="s">
        <v>868</v>
      </c>
      <c r="E399" s="598"/>
      <c r="F399" s="598"/>
      <c r="G399" s="295"/>
      <c r="H399" s="295"/>
      <c r="I399" s="295"/>
      <c r="J399" s="295"/>
      <c r="K399" s="295"/>
      <c r="L399" s="295"/>
      <c r="M399" s="107"/>
      <c r="N399" s="295"/>
      <c r="O399" s="295"/>
      <c r="P399" s="295"/>
      <c r="Q399" s="82"/>
    </row>
    <row r="400" spans="1:17" ht="15.4" customHeight="1" x14ac:dyDescent="0.2">
      <c r="A400" s="285"/>
      <c r="B400" s="285"/>
      <c r="C400" s="381" t="s">
        <v>294</v>
      </c>
      <c r="D400" s="382" t="s">
        <v>654</v>
      </c>
      <c r="E400" s="598"/>
      <c r="F400" s="598">
        <v>161909</v>
      </c>
      <c r="G400" s="295"/>
      <c r="H400" s="295"/>
      <c r="I400" s="107">
        <f>8420+táj2!I400</f>
        <v>8420</v>
      </c>
      <c r="J400" s="107"/>
      <c r="K400" s="107"/>
      <c r="L400" s="107">
        <f>31066+táj2!L400</f>
        <v>26110</v>
      </c>
      <c r="M400" s="107">
        <f>57112+táj2!M400</f>
        <v>45312</v>
      </c>
      <c r="N400" s="295"/>
      <c r="O400" s="295"/>
      <c r="P400" s="295"/>
      <c r="Q400" s="82">
        <f t="shared" ref="Q400:Q409" si="29">SUM(G400:P400)</f>
        <v>79842</v>
      </c>
    </row>
    <row r="401" spans="1:17" ht="26.45" customHeight="1" x14ac:dyDescent="0.2">
      <c r="A401" s="285"/>
      <c r="B401" s="285"/>
      <c r="C401" s="381" t="s">
        <v>296</v>
      </c>
      <c r="D401" s="364" t="s">
        <v>725</v>
      </c>
      <c r="E401" s="598"/>
      <c r="F401" s="598">
        <v>164207</v>
      </c>
      <c r="G401" s="295"/>
      <c r="H401" s="295"/>
      <c r="I401" s="107">
        <f>0+táj2!I401</f>
        <v>130</v>
      </c>
      <c r="J401" s="107"/>
      <c r="K401" s="107">
        <f>2696+táj2!K401</f>
        <v>2703</v>
      </c>
      <c r="L401" s="107"/>
      <c r="M401" s="107"/>
      <c r="N401" s="107">
        <f>20289+táj2!N401</f>
        <v>22583</v>
      </c>
      <c r="O401" s="295"/>
      <c r="P401" s="295"/>
      <c r="Q401" s="82">
        <f t="shared" si="29"/>
        <v>25416</v>
      </c>
    </row>
    <row r="402" spans="1:17" ht="16.899999999999999" customHeight="1" x14ac:dyDescent="0.2">
      <c r="A402" s="102"/>
      <c r="B402" s="102"/>
      <c r="C402" s="381" t="s">
        <v>462</v>
      </c>
      <c r="D402" s="366" t="s">
        <v>923</v>
      </c>
      <c r="E402" s="598"/>
      <c r="F402" s="598">
        <v>164110</v>
      </c>
      <c r="G402" s="107"/>
      <c r="H402" s="107"/>
      <c r="I402" s="107"/>
      <c r="J402" s="107"/>
      <c r="K402" s="107"/>
      <c r="L402" s="107"/>
      <c r="M402" s="107">
        <f>3366+táj2!M402</f>
        <v>3366</v>
      </c>
      <c r="N402" s="107"/>
      <c r="O402" s="107"/>
      <c r="P402" s="107"/>
      <c r="Q402" s="82">
        <f t="shared" si="29"/>
        <v>3366</v>
      </c>
    </row>
    <row r="403" spans="1:17" ht="15.4" customHeight="1" x14ac:dyDescent="0.2">
      <c r="A403" s="102"/>
      <c r="B403" s="102"/>
      <c r="C403" s="381" t="s">
        <v>924</v>
      </c>
      <c r="D403" s="366" t="s">
        <v>925</v>
      </c>
      <c r="E403" s="598"/>
      <c r="F403" s="598">
        <v>164111</v>
      </c>
      <c r="G403" s="107"/>
      <c r="H403" s="107"/>
      <c r="I403" s="107"/>
      <c r="J403" s="107"/>
      <c r="K403" s="107"/>
      <c r="L403" s="107"/>
      <c r="M403" s="107">
        <f>7163+táj2!M403</f>
        <v>7163</v>
      </c>
      <c r="N403" s="107"/>
      <c r="O403" s="107"/>
      <c r="P403" s="107"/>
      <c r="Q403" s="82">
        <f t="shared" si="29"/>
        <v>7163</v>
      </c>
    </row>
    <row r="404" spans="1:17" ht="15.4" customHeight="1" x14ac:dyDescent="0.2">
      <c r="A404" s="102"/>
      <c r="B404" s="102"/>
      <c r="C404" s="377" t="s">
        <v>85</v>
      </c>
      <c r="D404" s="377" t="s">
        <v>463</v>
      </c>
      <c r="E404" s="598"/>
      <c r="F404" s="598"/>
      <c r="G404" s="107"/>
      <c r="H404" s="107"/>
      <c r="I404" s="107"/>
      <c r="J404" s="107"/>
      <c r="K404" s="107"/>
      <c r="L404" s="107"/>
      <c r="M404" s="107"/>
      <c r="N404" s="107"/>
      <c r="O404" s="107"/>
      <c r="P404" s="107"/>
      <c r="Q404" s="82">
        <f t="shared" si="29"/>
        <v>0</v>
      </c>
    </row>
    <row r="405" spans="1:17" ht="15" customHeight="1" x14ac:dyDescent="0.2">
      <c r="A405" s="102"/>
      <c r="B405" s="102"/>
      <c r="C405" s="381" t="s">
        <v>387</v>
      </c>
      <c r="D405" s="383" t="s">
        <v>509</v>
      </c>
      <c r="E405" s="598"/>
      <c r="F405" s="598">
        <v>164204</v>
      </c>
      <c r="G405" s="107"/>
      <c r="H405" s="107"/>
      <c r="I405" s="107">
        <f>36536+táj2!I405</f>
        <v>36536</v>
      </c>
      <c r="J405" s="107"/>
      <c r="K405" s="107"/>
      <c r="L405" s="107"/>
      <c r="M405" s="107">
        <f>197248+táj2!M405</f>
        <v>205495</v>
      </c>
      <c r="N405" s="107"/>
      <c r="O405" s="107"/>
      <c r="P405" s="107"/>
      <c r="Q405" s="82">
        <f t="shared" si="29"/>
        <v>242031</v>
      </c>
    </row>
    <row r="406" spans="1:17" ht="14.45" customHeight="1" x14ac:dyDescent="0.2">
      <c r="A406" s="102"/>
      <c r="B406" s="102"/>
      <c r="C406" s="363"/>
      <c r="D406" s="351" t="s">
        <v>868</v>
      </c>
      <c r="E406" s="598"/>
      <c r="F406" s="598"/>
      <c r="G406" s="107"/>
      <c r="H406" s="107"/>
      <c r="I406" s="107"/>
      <c r="J406" s="107"/>
      <c r="K406" s="107"/>
      <c r="L406" s="107"/>
      <c r="M406" s="107"/>
      <c r="N406" s="107"/>
      <c r="O406" s="107"/>
      <c r="P406" s="107"/>
      <c r="Q406" s="82">
        <f t="shared" si="29"/>
        <v>0</v>
      </c>
    </row>
    <row r="407" spans="1:17" ht="27.6" customHeight="1" x14ac:dyDescent="0.2">
      <c r="A407" s="285"/>
      <c r="B407" s="285"/>
      <c r="C407" s="363" t="s">
        <v>510</v>
      </c>
      <c r="D407" s="364" t="s">
        <v>511</v>
      </c>
      <c r="E407" s="598"/>
      <c r="F407" s="598">
        <v>164206</v>
      </c>
      <c r="G407" s="295"/>
      <c r="H407" s="295"/>
      <c r="I407" s="107">
        <f>635+táj2!I407</f>
        <v>635</v>
      </c>
      <c r="J407" s="107"/>
      <c r="K407" s="107"/>
      <c r="L407" s="107">
        <f>2316+táj2!L407</f>
        <v>2316</v>
      </c>
      <c r="M407" s="295"/>
      <c r="N407" s="295"/>
      <c r="O407" s="295"/>
      <c r="P407" s="295"/>
      <c r="Q407" s="82">
        <f t="shared" si="29"/>
        <v>2951</v>
      </c>
    </row>
    <row r="408" spans="1:17" ht="15.6" customHeight="1" x14ac:dyDescent="0.2">
      <c r="A408" s="102"/>
      <c r="B408" s="102"/>
      <c r="C408" s="384" t="s">
        <v>87</v>
      </c>
      <c r="D408" s="377" t="s">
        <v>512</v>
      </c>
      <c r="E408" s="598"/>
      <c r="F408" s="598"/>
      <c r="G408" s="107"/>
      <c r="H408" s="107"/>
      <c r="I408" s="107"/>
      <c r="J408" s="107"/>
      <c r="K408" s="107"/>
      <c r="L408" s="107"/>
      <c r="M408" s="107"/>
      <c r="N408" s="107"/>
      <c r="O408" s="107"/>
      <c r="P408" s="107"/>
      <c r="Q408" s="82"/>
    </row>
    <row r="409" spans="1:17" ht="15.6" customHeight="1" x14ac:dyDescent="0.2">
      <c r="A409" s="679"/>
      <c r="B409" s="679"/>
      <c r="C409" s="681" t="s">
        <v>987</v>
      </c>
      <c r="D409" s="373" t="s">
        <v>913</v>
      </c>
      <c r="E409" s="598"/>
      <c r="F409" s="598">
        <v>162307</v>
      </c>
      <c r="G409" s="680"/>
      <c r="H409" s="680"/>
      <c r="I409" s="680"/>
      <c r="J409" s="680"/>
      <c r="K409" s="680"/>
      <c r="L409" s="107">
        <f>10000+táj2!L409</f>
        <v>10670</v>
      </c>
      <c r="M409" s="680"/>
      <c r="N409" s="680"/>
      <c r="O409" s="680"/>
      <c r="P409" s="680"/>
      <c r="Q409" s="82">
        <f t="shared" si="29"/>
        <v>10670</v>
      </c>
    </row>
    <row r="410" spans="1:17" ht="15" customHeight="1" x14ac:dyDescent="0.2">
      <c r="A410" s="102"/>
      <c r="B410" s="102"/>
      <c r="C410" s="387" t="s">
        <v>88</v>
      </c>
      <c r="D410" s="377" t="s">
        <v>513</v>
      </c>
      <c r="E410" s="598"/>
      <c r="F410" s="598"/>
      <c r="G410" s="107"/>
      <c r="H410" s="107"/>
      <c r="I410" s="107"/>
      <c r="J410" s="107"/>
      <c r="K410" s="107"/>
      <c r="L410" s="107"/>
      <c r="M410" s="107"/>
      <c r="N410" s="107"/>
      <c r="O410" s="107"/>
      <c r="P410" s="107"/>
      <c r="Q410" s="82"/>
    </row>
    <row r="411" spans="1:17" ht="15.4" customHeight="1" x14ac:dyDescent="0.2">
      <c r="A411" s="102"/>
      <c r="B411" s="102"/>
      <c r="C411" s="386" t="s">
        <v>467</v>
      </c>
      <c r="D411" s="448" t="s">
        <v>926</v>
      </c>
      <c r="E411" s="604"/>
      <c r="F411" s="359">
        <v>162406</v>
      </c>
      <c r="G411" s="107"/>
      <c r="H411" s="107"/>
      <c r="I411" s="107"/>
      <c r="J411" s="107"/>
      <c r="K411" s="107"/>
      <c r="L411" s="107">
        <f>5000+táj2!L411</f>
        <v>0</v>
      </c>
      <c r="M411" s="107"/>
      <c r="N411" s="107"/>
      <c r="O411" s="107"/>
      <c r="P411" s="107"/>
      <c r="Q411" s="82">
        <f>SUM(G411:P411)</f>
        <v>0</v>
      </c>
    </row>
    <row r="412" spans="1:17" ht="15.4" customHeight="1" x14ac:dyDescent="0.2">
      <c r="A412" s="102"/>
      <c r="B412" s="102"/>
      <c r="C412" s="386" t="s">
        <v>468</v>
      </c>
      <c r="D412" s="448" t="s">
        <v>927</v>
      </c>
      <c r="E412" s="617"/>
      <c r="F412" s="359">
        <v>164438</v>
      </c>
      <c r="G412" s="107"/>
      <c r="H412" s="107"/>
      <c r="I412" s="107"/>
      <c r="J412" s="107"/>
      <c r="K412" s="107"/>
      <c r="L412" s="107"/>
      <c r="M412" s="107">
        <f>13206+táj2!M412</f>
        <v>13206</v>
      </c>
      <c r="N412" s="107"/>
      <c r="O412" s="107"/>
      <c r="P412" s="107"/>
      <c r="Q412" s="82">
        <f>SUM(G412:P412)</f>
        <v>13206</v>
      </c>
    </row>
    <row r="413" spans="1:17" ht="15.4" customHeight="1" x14ac:dyDescent="0.2">
      <c r="A413" s="102"/>
      <c r="B413" s="102"/>
      <c r="C413" s="386" t="s">
        <v>469</v>
      </c>
      <c r="D413" s="448" t="s">
        <v>928</v>
      </c>
      <c r="E413" s="598"/>
      <c r="F413" s="359">
        <v>162419</v>
      </c>
      <c r="G413" s="107"/>
      <c r="H413" s="107"/>
      <c r="I413" s="107">
        <f>0+táj2!I413</f>
        <v>2025</v>
      </c>
      <c r="J413" s="107"/>
      <c r="K413" s="107"/>
      <c r="L413" s="107">
        <f>7000+táj2!L413</f>
        <v>7500</v>
      </c>
      <c r="M413" s="107"/>
      <c r="N413" s="107"/>
      <c r="O413" s="107"/>
      <c r="P413" s="107"/>
      <c r="Q413" s="82">
        <f t="shared" ref="Q413:Q440" si="30">SUM(G413:P413)</f>
        <v>9525</v>
      </c>
    </row>
    <row r="414" spans="1:17" ht="15.4" customHeight="1" x14ac:dyDescent="0.2">
      <c r="A414" s="102"/>
      <c r="B414" s="155"/>
      <c r="C414" s="386" t="s">
        <v>470</v>
      </c>
      <c r="D414" s="448" t="s">
        <v>929</v>
      </c>
      <c r="E414" s="604"/>
      <c r="F414" s="359">
        <v>162440</v>
      </c>
      <c r="G414" s="107"/>
      <c r="H414" s="107"/>
      <c r="I414" s="107">
        <f>0+táj2!I414</f>
        <v>1395</v>
      </c>
      <c r="J414" s="107"/>
      <c r="K414" s="107"/>
      <c r="L414" s="107">
        <f>1971+táj2!L414</f>
        <v>200</v>
      </c>
      <c r="M414" s="107"/>
      <c r="N414" s="107"/>
      <c r="O414" s="107"/>
      <c r="P414" s="107"/>
      <c r="Q414" s="82">
        <f t="shared" si="30"/>
        <v>1595</v>
      </c>
    </row>
    <row r="415" spans="1:17" ht="28.15" customHeight="1" x14ac:dyDescent="0.2">
      <c r="A415" s="102"/>
      <c r="B415" s="155"/>
      <c r="C415" s="386" t="s">
        <v>471</v>
      </c>
      <c r="D415" s="618" t="s">
        <v>930</v>
      </c>
      <c r="E415" s="598"/>
      <c r="F415" s="359">
        <v>162441</v>
      </c>
      <c r="G415" s="107"/>
      <c r="H415" s="107"/>
      <c r="I415" s="107"/>
      <c r="J415" s="107"/>
      <c r="K415" s="107"/>
      <c r="L415" s="107">
        <f>3000+táj2!L415</f>
        <v>3000</v>
      </c>
      <c r="M415" s="107"/>
      <c r="N415" s="107"/>
      <c r="O415" s="107"/>
      <c r="P415" s="107"/>
      <c r="Q415" s="82">
        <f t="shared" si="30"/>
        <v>3000</v>
      </c>
    </row>
    <row r="416" spans="1:17" ht="21.6" customHeight="1" x14ac:dyDescent="0.2">
      <c r="A416" s="102"/>
      <c r="B416" s="155"/>
      <c r="C416" s="386" t="s">
        <v>764</v>
      </c>
      <c r="D416" s="364" t="s">
        <v>931</v>
      </c>
      <c r="E416" s="604"/>
      <c r="F416" s="359">
        <v>162442</v>
      </c>
      <c r="G416" s="107"/>
      <c r="H416" s="107"/>
      <c r="I416" s="107"/>
      <c r="J416" s="107"/>
      <c r="K416" s="107"/>
      <c r="L416" s="107">
        <f>4711+táj2!L416</f>
        <v>4711</v>
      </c>
      <c r="M416" s="107"/>
      <c r="N416" s="107"/>
      <c r="O416" s="107"/>
      <c r="P416" s="107"/>
      <c r="Q416" s="82">
        <f t="shared" si="30"/>
        <v>4711</v>
      </c>
    </row>
    <row r="417" spans="1:17" ht="14.45" customHeight="1" x14ac:dyDescent="0.2">
      <c r="A417" s="679"/>
      <c r="B417" s="714"/>
      <c r="C417" s="717" t="s">
        <v>1017</v>
      </c>
      <c r="D417" s="715" t="s">
        <v>1025</v>
      </c>
      <c r="E417" s="716"/>
      <c r="F417" s="684">
        <v>164439</v>
      </c>
      <c r="G417" s="680"/>
      <c r="H417" s="680"/>
      <c r="I417" s="680"/>
      <c r="J417" s="680"/>
      <c r="K417" s="680"/>
      <c r="L417" s="107"/>
      <c r="M417" s="107">
        <f>50000+táj2!M417</f>
        <v>35234</v>
      </c>
      <c r="N417" s="680"/>
      <c r="O417" s="680"/>
      <c r="P417" s="680"/>
      <c r="Q417" s="82">
        <f t="shared" si="30"/>
        <v>35234</v>
      </c>
    </row>
    <row r="418" spans="1:17" ht="16.149999999999999" customHeight="1" x14ac:dyDescent="0.2">
      <c r="A418" s="679"/>
      <c r="B418" s="714"/>
      <c r="C418" s="717" t="s">
        <v>1018</v>
      </c>
      <c r="D418" s="715" t="s">
        <v>1026</v>
      </c>
      <c r="E418" s="716"/>
      <c r="F418" s="684">
        <v>162443</v>
      </c>
      <c r="G418" s="680"/>
      <c r="H418" s="680"/>
      <c r="I418" s="680"/>
      <c r="J418" s="680"/>
      <c r="K418" s="680"/>
      <c r="L418" s="107">
        <f>8440+táj2!L418</f>
        <v>8440</v>
      </c>
      <c r="M418" s="680"/>
      <c r="N418" s="680"/>
      <c r="O418" s="680"/>
      <c r="P418" s="680"/>
      <c r="Q418" s="82">
        <f t="shared" si="30"/>
        <v>8440</v>
      </c>
    </row>
    <row r="419" spans="1:17" ht="16.899999999999999" customHeight="1" x14ac:dyDescent="0.2">
      <c r="A419" s="679"/>
      <c r="B419" s="714"/>
      <c r="C419" s="717" t="s">
        <v>1027</v>
      </c>
      <c r="D419" s="715" t="s">
        <v>1028</v>
      </c>
      <c r="E419" s="716"/>
      <c r="F419" s="684">
        <v>164445</v>
      </c>
      <c r="G419" s="680"/>
      <c r="H419" s="680"/>
      <c r="I419" s="680"/>
      <c r="J419" s="680"/>
      <c r="K419" s="680"/>
      <c r="L419" s="107"/>
      <c r="M419" s="107">
        <f>0+táj2!M419</f>
        <v>0</v>
      </c>
      <c r="N419" s="680"/>
      <c r="O419" s="680"/>
      <c r="P419" s="680"/>
      <c r="Q419" s="82">
        <f t="shared" si="30"/>
        <v>0</v>
      </c>
    </row>
    <row r="420" spans="1:17" ht="16.899999999999999" customHeight="1" x14ac:dyDescent="0.2">
      <c r="A420" s="679"/>
      <c r="B420" s="714"/>
      <c r="C420" s="717" t="s">
        <v>1096</v>
      </c>
      <c r="D420" s="715" t="s">
        <v>1097</v>
      </c>
      <c r="E420" s="716"/>
      <c r="F420" s="684">
        <v>164440</v>
      </c>
      <c r="G420" s="680"/>
      <c r="H420" s="680"/>
      <c r="I420" s="680"/>
      <c r="J420" s="680"/>
      <c r="K420" s="680"/>
      <c r="L420" s="680"/>
      <c r="M420" s="680">
        <f>6948+táj2!M420</f>
        <v>6948</v>
      </c>
      <c r="N420" s="680"/>
      <c r="O420" s="680"/>
      <c r="P420" s="680"/>
      <c r="Q420" s="82">
        <f t="shared" si="30"/>
        <v>6948</v>
      </c>
    </row>
    <row r="421" spans="1:17" ht="16.899999999999999" customHeight="1" x14ac:dyDescent="0.2">
      <c r="A421" s="808"/>
      <c r="B421" s="714"/>
      <c r="C421" s="820" t="s">
        <v>1135</v>
      </c>
      <c r="D421" s="715" t="s">
        <v>1136</v>
      </c>
      <c r="E421" s="821"/>
      <c r="F421" s="810">
        <v>154474</v>
      </c>
      <c r="G421" s="822"/>
      <c r="H421" s="822"/>
      <c r="I421" s="822"/>
      <c r="J421" s="822"/>
      <c r="K421" s="822"/>
      <c r="L421" s="822"/>
      <c r="M421" s="822">
        <f>50000+táj2!M421</f>
        <v>40000</v>
      </c>
      <c r="N421" s="822"/>
      <c r="O421" s="822"/>
      <c r="P421" s="822"/>
      <c r="Q421" s="82">
        <f t="shared" si="30"/>
        <v>40000</v>
      </c>
    </row>
    <row r="422" spans="1:17" ht="15.4" customHeight="1" x14ac:dyDescent="0.2">
      <c r="A422" s="102"/>
      <c r="B422" s="155"/>
      <c r="C422" s="386"/>
      <c r="D422" s="619" t="s">
        <v>868</v>
      </c>
      <c r="E422" s="598"/>
      <c r="F422" s="598"/>
      <c r="G422" s="107"/>
      <c r="H422" s="107"/>
      <c r="I422" s="107"/>
      <c r="J422" s="107"/>
      <c r="K422" s="107"/>
      <c r="L422" s="107"/>
      <c r="M422" s="107"/>
      <c r="N422" s="107"/>
      <c r="O422" s="107"/>
      <c r="P422" s="107"/>
      <c r="Q422" s="82"/>
    </row>
    <row r="423" spans="1:17" ht="15.4" customHeight="1" x14ac:dyDescent="0.2">
      <c r="A423" s="102"/>
      <c r="B423" s="155"/>
      <c r="C423" s="386" t="s">
        <v>473</v>
      </c>
      <c r="D423" s="373" t="s">
        <v>630</v>
      </c>
      <c r="E423" s="598"/>
      <c r="F423" s="598">
        <v>162431</v>
      </c>
      <c r="G423" s="107"/>
      <c r="H423" s="107"/>
      <c r="I423" s="107"/>
      <c r="J423" s="107"/>
      <c r="K423" s="107"/>
      <c r="L423" s="107">
        <f>0+táj2!L423</f>
        <v>0</v>
      </c>
      <c r="M423" s="107"/>
      <c r="N423" s="107"/>
      <c r="O423" s="107"/>
      <c r="P423" s="107"/>
      <c r="Q423" s="82">
        <f t="shared" si="30"/>
        <v>0</v>
      </c>
    </row>
    <row r="424" spans="1:17" ht="15.4" customHeight="1" x14ac:dyDescent="0.2">
      <c r="A424" s="102"/>
      <c r="B424" s="155"/>
      <c r="C424" s="386" t="s">
        <v>474</v>
      </c>
      <c r="D424" s="375" t="s">
        <v>722</v>
      </c>
      <c r="E424" s="598"/>
      <c r="F424" s="598">
        <v>162402</v>
      </c>
      <c r="G424" s="107"/>
      <c r="H424" s="107"/>
      <c r="I424" s="107"/>
      <c r="J424" s="107"/>
      <c r="K424" s="107"/>
      <c r="L424" s="107">
        <f>1979+táj2!L424</f>
        <v>0</v>
      </c>
      <c r="M424" s="107">
        <f>1581+táj2!M424</f>
        <v>1581</v>
      </c>
      <c r="N424" s="107"/>
      <c r="O424" s="107"/>
      <c r="P424" s="107"/>
      <c r="Q424" s="82">
        <f t="shared" si="30"/>
        <v>1581</v>
      </c>
    </row>
    <row r="425" spans="1:17" ht="15" customHeight="1" x14ac:dyDescent="0.2">
      <c r="A425" s="102"/>
      <c r="B425" s="155"/>
      <c r="C425" s="386" t="s">
        <v>475</v>
      </c>
      <c r="D425" s="620" t="s">
        <v>932</v>
      </c>
      <c r="E425" s="598"/>
      <c r="F425" s="598">
        <v>164435</v>
      </c>
      <c r="G425" s="107"/>
      <c r="H425" s="107"/>
      <c r="I425" s="107"/>
      <c r="J425" s="107"/>
      <c r="K425" s="107"/>
      <c r="L425" s="107"/>
      <c r="M425" s="107">
        <f>6652+táj2!M425</f>
        <v>6652</v>
      </c>
      <c r="N425" s="107"/>
      <c r="O425" s="107"/>
      <c r="P425" s="107"/>
      <c r="Q425" s="82">
        <f t="shared" si="30"/>
        <v>6652</v>
      </c>
    </row>
    <row r="426" spans="1:17" ht="15.4" customHeight="1" x14ac:dyDescent="0.2">
      <c r="A426" s="102"/>
      <c r="B426" s="155"/>
      <c r="C426" s="386" t="s">
        <v>476</v>
      </c>
      <c r="D426" s="620" t="s">
        <v>933</v>
      </c>
      <c r="E426" s="598"/>
      <c r="F426" s="598">
        <v>152467</v>
      </c>
      <c r="G426" s="107"/>
      <c r="H426" s="107"/>
      <c r="I426" s="107"/>
      <c r="J426" s="107"/>
      <c r="K426" s="107"/>
      <c r="L426" s="107">
        <f>2072+táj2!L426</f>
        <v>2072</v>
      </c>
      <c r="M426" s="107"/>
      <c r="N426" s="107"/>
      <c r="O426" s="107"/>
      <c r="P426" s="107"/>
      <c r="Q426" s="82">
        <f t="shared" si="30"/>
        <v>2072</v>
      </c>
    </row>
    <row r="427" spans="1:17" ht="15.4" customHeight="1" x14ac:dyDescent="0.2">
      <c r="A427" s="102"/>
      <c r="B427" s="155"/>
      <c r="C427" s="386" t="s">
        <v>477</v>
      </c>
      <c r="D427" s="620" t="s">
        <v>934</v>
      </c>
      <c r="E427" s="598"/>
      <c r="F427" s="598">
        <v>154456</v>
      </c>
      <c r="G427" s="107"/>
      <c r="H427" s="107"/>
      <c r="I427" s="107"/>
      <c r="J427" s="107"/>
      <c r="K427" s="107"/>
      <c r="L427" s="107"/>
      <c r="M427" s="107">
        <f>2000+táj2!M427</f>
        <v>2000</v>
      </c>
      <c r="N427" s="107"/>
      <c r="O427" s="107"/>
      <c r="P427" s="107"/>
      <c r="Q427" s="82">
        <f t="shared" si="30"/>
        <v>2000</v>
      </c>
    </row>
    <row r="428" spans="1:17" ht="15.4" customHeight="1" x14ac:dyDescent="0.2">
      <c r="A428" s="102"/>
      <c r="B428" s="155"/>
      <c r="C428" s="387" t="s">
        <v>76</v>
      </c>
      <c r="D428" s="361" t="s">
        <v>482</v>
      </c>
      <c r="E428" s="598"/>
      <c r="F428" s="598"/>
      <c r="G428" s="107"/>
      <c r="H428" s="107"/>
      <c r="I428" s="107"/>
      <c r="J428" s="107"/>
      <c r="K428" s="107"/>
      <c r="L428" s="107"/>
      <c r="M428" s="107"/>
      <c r="N428" s="107"/>
      <c r="O428" s="107"/>
      <c r="P428" s="107"/>
      <c r="Q428" s="82"/>
    </row>
    <row r="429" spans="1:17" ht="15.4" customHeight="1" x14ac:dyDescent="0.2">
      <c r="A429" s="285"/>
      <c r="B429" s="298"/>
      <c r="C429" s="370" t="s">
        <v>822</v>
      </c>
      <c r="D429" s="460" t="s">
        <v>935</v>
      </c>
      <c r="E429" s="621"/>
      <c r="F429" s="598">
        <v>162507</v>
      </c>
      <c r="G429" s="295"/>
      <c r="H429" s="295"/>
      <c r="I429" s="295"/>
      <c r="J429" s="295"/>
      <c r="K429" s="295"/>
      <c r="L429" s="107">
        <f>3000+táj2!L429</f>
        <v>1990</v>
      </c>
      <c r="M429" s="295"/>
      <c r="N429" s="295"/>
      <c r="O429" s="295"/>
      <c r="P429" s="295"/>
      <c r="Q429" s="82">
        <f t="shared" si="30"/>
        <v>1990</v>
      </c>
    </row>
    <row r="430" spans="1:17" ht="15.4" customHeight="1" x14ac:dyDescent="0.2">
      <c r="A430" s="285"/>
      <c r="B430" s="298"/>
      <c r="C430" s="384" t="s">
        <v>75</v>
      </c>
      <c r="D430" s="377" t="s">
        <v>514</v>
      </c>
      <c r="E430" s="598"/>
      <c r="F430" s="598"/>
      <c r="G430" s="287"/>
      <c r="H430" s="287"/>
      <c r="I430" s="287"/>
      <c r="J430" s="287"/>
      <c r="K430" s="287"/>
      <c r="L430" s="107"/>
      <c r="M430" s="287"/>
      <c r="N430" s="287"/>
      <c r="O430" s="287"/>
      <c r="P430" s="287"/>
      <c r="Q430" s="82"/>
    </row>
    <row r="431" spans="1:17" ht="15.4" customHeight="1" x14ac:dyDescent="0.2">
      <c r="A431" s="102"/>
      <c r="B431" s="102"/>
      <c r="C431" s="385" t="s">
        <v>936</v>
      </c>
      <c r="D431" s="388" t="s">
        <v>937</v>
      </c>
      <c r="E431" s="598"/>
      <c r="F431" s="598">
        <v>162637</v>
      </c>
      <c r="G431" s="107"/>
      <c r="H431" s="107"/>
      <c r="I431" s="107"/>
      <c r="J431" s="107"/>
      <c r="K431" s="107"/>
      <c r="L431" s="107">
        <f>2120+táj2!L431</f>
        <v>2120</v>
      </c>
      <c r="M431" s="107">
        <f>1245+táj2!M431</f>
        <v>3480</v>
      </c>
      <c r="N431" s="107"/>
      <c r="O431" s="107"/>
      <c r="P431" s="107"/>
      <c r="Q431" s="82">
        <f t="shared" si="30"/>
        <v>5600</v>
      </c>
    </row>
    <row r="432" spans="1:17" ht="15.4" customHeight="1" x14ac:dyDescent="0.2">
      <c r="A432" s="102"/>
      <c r="B432" s="102"/>
      <c r="C432" s="385" t="s">
        <v>938</v>
      </c>
      <c r="D432" s="448" t="s">
        <v>939</v>
      </c>
      <c r="E432" s="598"/>
      <c r="F432" s="598">
        <v>162621</v>
      </c>
      <c r="G432" s="107"/>
      <c r="H432" s="107"/>
      <c r="I432" s="107"/>
      <c r="J432" s="107"/>
      <c r="K432" s="107"/>
      <c r="L432" s="107">
        <f>1993+táj2!L432</f>
        <v>1460</v>
      </c>
      <c r="M432" s="107">
        <f>1251+táj2!M432</f>
        <v>3665</v>
      </c>
      <c r="N432" s="107"/>
      <c r="O432" s="107"/>
      <c r="P432" s="107"/>
      <c r="Q432" s="287">
        <f t="shared" si="30"/>
        <v>5125</v>
      </c>
    </row>
    <row r="433" spans="1:17" ht="15.4" customHeight="1" x14ac:dyDescent="0.2">
      <c r="A433" s="102"/>
      <c r="B433" s="102"/>
      <c r="C433" s="384"/>
      <c r="D433" s="351" t="s">
        <v>868</v>
      </c>
      <c r="E433" s="598"/>
      <c r="F433" s="598"/>
      <c r="G433" s="107"/>
      <c r="H433" s="107"/>
      <c r="I433" s="107"/>
      <c r="J433" s="107"/>
      <c r="K433" s="107"/>
      <c r="L433" s="107"/>
      <c r="M433" s="107"/>
      <c r="N433" s="107"/>
      <c r="O433" s="107"/>
      <c r="P433" s="107"/>
      <c r="Q433" s="287">
        <f t="shared" si="30"/>
        <v>0</v>
      </c>
    </row>
    <row r="434" spans="1:17" ht="15.4" customHeight="1" x14ac:dyDescent="0.2">
      <c r="A434" s="102"/>
      <c r="B434" s="102"/>
      <c r="C434" s="386" t="s">
        <v>389</v>
      </c>
      <c r="D434" s="388" t="s">
        <v>515</v>
      </c>
      <c r="E434" s="598"/>
      <c r="F434" s="598">
        <v>162601</v>
      </c>
      <c r="G434" s="107"/>
      <c r="H434" s="107"/>
      <c r="I434" s="107"/>
      <c r="J434" s="107"/>
      <c r="K434" s="107"/>
      <c r="L434" s="107">
        <f>394+táj2!L434</f>
        <v>394</v>
      </c>
      <c r="M434" s="107"/>
      <c r="N434" s="107"/>
      <c r="O434" s="107"/>
      <c r="P434" s="107"/>
      <c r="Q434" s="287">
        <f t="shared" si="30"/>
        <v>394</v>
      </c>
    </row>
    <row r="435" spans="1:17" ht="15.4" customHeight="1" x14ac:dyDescent="0.2">
      <c r="A435" s="102"/>
      <c r="B435" s="102"/>
      <c r="C435" s="386" t="s">
        <v>390</v>
      </c>
      <c r="D435" s="389" t="s">
        <v>940</v>
      </c>
      <c r="E435" s="598"/>
      <c r="F435" s="598">
        <v>162636</v>
      </c>
      <c r="G435" s="107"/>
      <c r="H435" s="107"/>
      <c r="I435" s="107">
        <f>0+táj2!I435</f>
        <v>2096</v>
      </c>
      <c r="J435" s="107"/>
      <c r="K435" s="107"/>
      <c r="L435" s="107">
        <f>21416+táj2!L435</f>
        <v>21358</v>
      </c>
      <c r="M435" s="107">
        <f>22386+táj2!M435</f>
        <v>22422</v>
      </c>
      <c r="N435" s="107"/>
      <c r="O435" s="107"/>
      <c r="P435" s="107"/>
      <c r="Q435" s="287">
        <f t="shared" si="30"/>
        <v>45876</v>
      </c>
    </row>
    <row r="436" spans="1:17" ht="15.6" customHeight="1" x14ac:dyDescent="0.2">
      <c r="A436" s="102"/>
      <c r="B436" s="102"/>
      <c r="C436" s="387" t="s">
        <v>77</v>
      </c>
      <c r="D436" s="377" t="s">
        <v>485</v>
      </c>
      <c r="E436" s="598"/>
      <c r="F436" s="598"/>
      <c r="G436" s="107"/>
      <c r="H436" s="107"/>
      <c r="I436" s="107"/>
      <c r="J436" s="107"/>
      <c r="K436" s="107"/>
      <c r="L436" s="107"/>
      <c r="M436" s="107"/>
      <c r="N436" s="107"/>
      <c r="O436" s="107"/>
      <c r="P436" s="107"/>
      <c r="Q436" s="287"/>
    </row>
    <row r="437" spans="1:17" ht="15.4" customHeight="1" x14ac:dyDescent="0.2">
      <c r="A437" s="102"/>
      <c r="B437" s="102"/>
      <c r="C437" s="387"/>
      <c r="D437" s="351" t="s">
        <v>868</v>
      </c>
      <c r="E437" s="598"/>
      <c r="F437" s="598"/>
      <c r="G437" s="107"/>
      <c r="H437" s="107"/>
      <c r="I437" s="107"/>
      <c r="J437" s="107"/>
      <c r="K437" s="107"/>
      <c r="L437" s="107"/>
      <c r="M437" s="107"/>
      <c r="N437" s="107"/>
      <c r="O437" s="107"/>
      <c r="P437" s="107"/>
      <c r="Q437" s="287">
        <f t="shared" si="30"/>
        <v>0</v>
      </c>
    </row>
    <row r="438" spans="1:17" ht="15.6" customHeight="1" x14ac:dyDescent="0.2">
      <c r="A438" s="102"/>
      <c r="B438" s="102"/>
      <c r="C438" s="464" t="s">
        <v>941</v>
      </c>
      <c r="D438" s="622" t="s">
        <v>942</v>
      </c>
      <c r="E438" s="604"/>
      <c r="F438" s="598">
        <v>162703</v>
      </c>
      <c r="G438" s="107"/>
      <c r="H438" s="107"/>
      <c r="I438" s="107"/>
      <c r="J438" s="107"/>
      <c r="K438" s="107"/>
      <c r="L438" s="107">
        <f>8624+táj2!L438</f>
        <v>8624</v>
      </c>
      <c r="M438" s="107"/>
      <c r="N438" s="107"/>
      <c r="O438" s="107"/>
      <c r="P438" s="107"/>
      <c r="Q438" s="287">
        <f t="shared" si="30"/>
        <v>8624</v>
      </c>
    </row>
    <row r="439" spans="1:17" ht="14.45" customHeight="1" x14ac:dyDescent="0.2">
      <c r="A439" s="102"/>
      <c r="B439" s="102"/>
      <c r="C439" s="462" t="s">
        <v>78</v>
      </c>
      <c r="D439" s="623" t="s">
        <v>486</v>
      </c>
      <c r="E439" s="598"/>
      <c r="F439" s="598"/>
      <c r="G439" s="107"/>
      <c r="H439" s="107"/>
      <c r="I439" s="107"/>
      <c r="J439" s="107"/>
      <c r="K439" s="107"/>
      <c r="L439" s="107"/>
      <c r="M439" s="107"/>
      <c r="N439" s="107"/>
      <c r="O439" s="107"/>
      <c r="P439" s="107"/>
      <c r="Q439" s="287">
        <f t="shared" si="30"/>
        <v>0</v>
      </c>
    </row>
    <row r="440" spans="1:17" ht="15" customHeight="1" x14ac:dyDescent="0.2">
      <c r="A440" s="476"/>
      <c r="B440" s="476"/>
      <c r="C440" s="463" t="s">
        <v>79</v>
      </c>
      <c r="D440" s="623" t="s">
        <v>488</v>
      </c>
      <c r="E440" s="598"/>
      <c r="F440" s="598"/>
      <c r="G440" s="479"/>
      <c r="H440" s="479"/>
      <c r="I440" s="479"/>
      <c r="J440" s="479"/>
      <c r="K440" s="479"/>
      <c r="L440" s="107"/>
      <c r="M440" s="479"/>
      <c r="N440" s="479"/>
      <c r="O440" s="479"/>
      <c r="P440" s="479"/>
      <c r="Q440" s="287">
        <f t="shared" si="30"/>
        <v>0</v>
      </c>
    </row>
    <row r="441" spans="1:17" ht="15.4" customHeight="1" x14ac:dyDescent="0.2">
      <c r="A441" s="102"/>
      <c r="B441" s="102"/>
      <c r="C441" s="370" t="s">
        <v>489</v>
      </c>
      <c r="D441" s="613" t="s">
        <v>943</v>
      </c>
      <c r="E441" s="598"/>
      <c r="F441" s="359">
        <v>152906</v>
      </c>
      <c r="G441" s="107"/>
      <c r="H441" s="107"/>
      <c r="I441" s="107"/>
      <c r="J441" s="107"/>
      <c r="K441" s="107"/>
      <c r="L441" s="107">
        <f>4112+táj2!L441</f>
        <v>3612</v>
      </c>
      <c r="M441" s="107"/>
      <c r="N441" s="107"/>
      <c r="O441" s="107"/>
      <c r="P441" s="107"/>
      <c r="Q441" s="82">
        <f>SUM(G441:P441)</f>
        <v>3612</v>
      </c>
    </row>
    <row r="442" spans="1:17" ht="15" customHeight="1" x14ac:dyDescent="0.2">
      <c r="A442" s="102"/>
      <c r="B442" s="102"/>
      <c r="C442" s="370" t="s">
        <v>490</v>
      </c>
      <c r="D442" s="624" t="s">
        <v>944</v>
      </c>
      <c r="E442" s="598"/>
      <c r="F442" s="359">
        <v>151929</v>
      </c>
      <c r="G442" s="107"/>
      <c r="H442" s="107"/>
      <c r="I442" s="107">
        <f>26500+táj2!I442</f>
        <v>25551</v>
      </c>
      <c r="J442" s="107"/>
      <c r="K442" s="107"/>
      <c r="L442" s="107"/>
      <c r="M442" s="107"/>
      <c r="N442" s="107"/>
      <c r="O442" s="107"/>
      <c r="P442" s="107"/>
      <c r="Q442" s="82">
        <f>SUM(G442:P442)</f>
        <v>25551</v>
      </c>
    </row>
    <row r="443" spans="1:17" ht="15" customHeight="1" x14ac:dyDescent="0.2">
      <c r="A443" s="679"/>
      <c r="B443" s="679"/>
      <c r="C443" s="679" t="s">
        <v>1029</v>
      </c>
      <c r="D443" s="719" t="s">
        <v>1030</v>
      </c>
      <c r="E443" s="684"/>
      <c r="F443" s="684">
        <v>164952</v>
      </c>
      <c r="G443" s="680"/>
      <c r="H443" s="680"/>
      <c r="I443" s="107">
        <f>70+táj2!I443</f>
        <v>70</v>
      </c>
      <c r="J443" s="107"/>
      <c r="K443" s="107"/>
      <c r="L443" s="107">
        <f>1461+táj2!L443</f>
        <v>24663</v>
      </c>
      <c r="M443" s="107">
        <f>21469+táj2!M443</f>
        <v>0</v>
      </c>
      <c r="N443" s="107">
        <f>10975+táj2!N443</f>
        <v>9242</v>
      </c>
      <c r="O443" s="680"/>
      <c r="P443" s="680"/>
      <c r="Q443" s="82">
        <f t="shared" ref="Q443:Q455" si="31">SUM(G443:P443)</f>
        <v>33975</v>
      </c>
    </row>
    <row r="444" spans="1:17" ht="15" customHeight="1" x14ac:dyDescent="0.2">
      <c r="A444" s="679"/>
      <c r="B444" s="679"/>
      <c r="C444" s="661" t="s">
        <v>1031</v>
      </c>
      <c r="D444" s="667" t="s">
        <v>1032</v>
      </c>
      <c r="E444" s="684"/>
      <c r="F444" s="663">
        <v>162986</v>
      </c>
      <c r="G444" s="680"/>
      <c r="H444" s="680"/>
      <c r="I444" s="107"/>
      <c r="J444" s="680"/>
      <c r="K444" s="680"/>
      <c r="L444" s="107">
        <f>12394+táj2!L444</f>
        <v>12394</v>
      </c>
      <c r="M444" s="680"/>
      <c r="N444" s="680"/>
      <c r="O444" s="680"/>
      <c r="P444" s="680"/>
      <c r="Q444" s="82">
        <f t="shared" si="31"/>
        <v>12394</v>
      </c>
    </row>
    <row r="445" spans="1:17" ht="15" customHeight="1" x14ac:dyDescent="0.2">
      <c r="A445" s="679"/>
      <c r="B445" s="679"/>
      <c r="C445" s="341" t="s">
        <v>1033</v>
      </c>
      <c r="D445" s="718" t="s">
        <v>1034</v>
      </c>
      <c r="E445" s="684"/>
      <c r="F445" s="684">
        <v>164953</v>
      </c>
      <c r="G445" s="680"/>
      <c r="H445" s="680"/>
      <c r="I445" s="680"/>
      <c r="J445" s="680"/>
      <c r="K445" s="680"/>
      <c r="L445" s="107"/>
      <c r="M445" s="107">
        <f>2997+táj2!M445</f>
        <v>2997</v>
      </c>
      <c r="N445" s="680"/>
      <c r="O445" s="680"/>
      <c r="P445" s="680"/>
      <c r="Q445" s="82">
        <f t="shared" si="31"/>
        <v>2997</v>
      </c>
    </row>
    <row r="446" spans="1:17" ht="15" customHeight="1" x14ac:dyDescent="0.2">
      <c r="A446" s="679"/>
      <c r="B446" s="679"/>
      <c r="C446" s="341" t="s">
        <v>1044</v>
      </c>
      <c r="D446" s="718" t="s">
        <v>1045</v>
      </c>
      <c r="E446" s="684"/>
      <c r="F446" s="684">
        <v>164427</v>
      </c>
      <c r="G446" s="680"/>
      <c r="H446" s="680"/>
      <c r="I446" s="680"/>
      <c r="J446" s="680"/>
      <c r="K446" s="680"/>
      <c r="L446" s="680"/>
      <c r="M446" s="107">
        <f>45000+táj2!M446</f>
        <v>45000</v>
      </c>
      <c r="N446" s="680"/>
      <c r="O446" s="680"/>
      <c r="P446" s="680"/>
      <c r="Q446" s="82">
        <f t="shared" si="31"/>
        <v>45000</v>
      </c>
    </row>
    <row r="447" spans="1:17" ht="15" customHeight="1" x14ac:dyDescent="0.2">
      <c r="A447" s="341"/>
      <c r="B447" s="341"/>
      <c r="C447" s="409" t="s">
        <v>1060</v>
      </c>
      <c r="D447" s="563" t="s">
        <v>1061</v>
      </c>
      <c r="E447" s="598"/>
      <c r="F447" s="598">
        <v>164927</v>
      </c>
      <c r="G447" s="357"/>
      <c r="H447" s="357"/>
      <c r="I447" s="107">
        <f>0+táj2!I447</f>
        <v>2000</v>
      </c>
      <c r="J447" s="107"/>
      <c r="K447" s="107"/>
      <c r="L447" s="107"/>
      <c r="M447" s="107">
        <f>2000+táj2!M447</f>
        <v>0</v>
      </c>
      <c r="N447" s="357"/>
      <c r="O447" s="357"/>
      <c r="P447" s="357"/>
      <c r="Q447" s="82">
        <f t="shared" si="31"/>
        <v>2000</v>
      </c>
    </row>
    <row r="448" spans="1:17" ht="27.6" customHeight="1" x14ac:dyDescent="0.2">
      <c r="A448" s="341"/>
      <c r="B448" s="341"/>
      <c r="C448" s="409" t="s">
        <v>1062</v>
      </c>
      <c r="D448" s="546" t="s">
        <v>1063</v>
      </c>
      <c r="E448" s="358"/>
      <c r="F448" s="598">
        <v>164955</v>
      </c>
      <c r="G448" s="357"/>
      <c r="H448" s="357"/>
      <c r="I448" s="357"/>
      <c r="J448" s="357"/>
      <c r="K448" s="357"/>
      <c r="L448" s="357"/>
      <c r="M448" s="107">
        <f>15000+táj2!M448</f>
        <v>15000</v>
      </c>
      <c r="N448" s="357"/>
      <c r="O448" s="357"/>
      <c r="P448" s="357"/>
      <c r="Q448" s="82">
        <f t="shared" si="31"/>
        <v>15000</v>
      </c>
    </row>
    <row r="449" spans="1:17" ht="18.600000000000001" customHeight="1" x14ac:dyDescent="0.2">
      <c r="A449" s="679"/>
      <c r="B449" s="679"/>
      <c r="C449" s="679" t="s">
        <v>1070</v>
      </c>
      <c r="D449" s="733" t="s">
        <v>1067</v>
      </c>
      <c r="E449" s="716"/>
      <c r="F449" s="598">
        <v>164956</v>
      </c>
      <c r="G449" s="680"/>
      <c r="H449" s="680"/>
      <c r="I449" s="680"/>
      <c r="J449" s="680"/>
      <c r="K449" s="680"/>
      <c r="L449" s="680"/>
      <c r="M449" s="107">
        <f>25000+táj2!M449</f>
        <v>26846</v>
      </c>
      <c r="N449" s="680"/>
      <c r="O449" s="680"/>
      <c r="P449" s="680"/>
      <c r="Q449" s="82">
        <f t="shared" si="31"/>
        <v>26846</v>
      </c>
    </row>
    <row r="450" spans="1:17" ht="24" customHeight="1" x14ac:dyDescent="0.2">
      <c r="A450" s="679"/>
      <c r="B450" s="679"/>
      <c r="C450" s="679" t="s">
        <v>1098</v>
      </c>
      <c r="D450" s="733" t="s">
        <v>1099</v>
      </c>
      <c r="E450" s="716"/>
      <c r="F450" s="684">
        <v>152516</v>
      </c>
      <c r="G450" s="680"/>
      <c r="H450" s="680"/>
      <c r="I450" s="680"/>
      <c r="J450" s="680"/>
      <c r="K450" s="680"/>
      <c r="L450" s="680">
        <f>1000+táj2!L450</f>
        <v>1000</v>
      </c>
      <c r="M450" s="680"/>
      <c r="N450" s="680"/>
      <c r="O450" s="680"/>
      <c r="P450" s="680"/>
      <c r="Q450" s="82">
        <f t="shared" si="31"/>
        <v>1000</v>
      </c>
    </row>
    <row r="451" spans="1:17" ht="24" customHeight="1" x14ac:dyDescent="0.2">
      <c r="A451" s="679"/>
      <c r="B451" s="679"/>
      <c r="C451" s="679" t="s">
        <v>1110</v>
      </c>
      <c r="D451" s="733" t="s">
        <v>1109</v>
      </c>
      <c r="E451" s="716"/>
      <c r="F451" s="684">
        <v>164957</v>
      </c>
      <c r="G451" s="680"/>
      <c r="H451" s="680"/>
      <c r="I451" s="680"/>
      <c r="J451" s="680"/>
      <c r="K451" s="680"/>
      <c r="L451" s="680"/>
      <c r="M451" s="680">
        <f>7640+táj2!M451</f>
        <v>7640</v>
      </c>
      <c r="N451" s="680"/>
      <c r="O451" s="680"/>
      <c r="P451" s="680"/>
      <c r="Q451" s="82">
        <f t="shared" si="31"/>
        <v>7640</v>
      </c>
    </row>
    <row r="452" spans="1:17" ht="24" customHeight="1" x14ac:dyDescent="0.2">
      <c r="A452" s="808"/>
      <c r="B452" s="808"/>
      <c r="C452" s="809" t="s">
        <v>1137</v>
      </c>
      <c r="D452" s="733" t="s">
        <v>1138</v>
      </c>
      <c r="E452" s="821"/>
      <c r="F452" s="810">
        <v>152318</v>
      </c>
      <c r="G452" s="822"/>
      <c r="H452" s="822"/>
      <c r="I452" s="822"/>
      <c r="J452" s="822"/>
      <c r="K452" s="822"/>
      <c r="L452" s="822"/>
      <c r="M452" s="822"/>
      <c r="N452" s="822">
        <f>2500+táj2!N452</f>
        <v>2500</v>
      </c>
      <c r="O452" s="822"/>
      <c r="P452" s="822"/>
      <c r="Q452" s="82">
        <f t="shared" si="31"/>
        <v>2500</v>
      </c>
    </row>
    <row r="453" spans="1:17" ht="24" customHeight="1" x14ac:dyDescent="0.2">
      <c r="A453" s="808"/>
      <c r="B453" s="808"/>
      <c r="C453" s="809" t="s">
        <v>1139</v>
      </c>
      <c r="D453" s="733" t="s">
        <v>1140</v>
      </c>
      <c r="E453" s="821"/>
      <c r="F453" s="810">
        <v>162624</v>
      </c>
      <c r="G453" s="822"/>
      <c r="H453" s="822"/>
      <c r="I453" s="822"/>
      <c r="J453" s="822"/>
      <c r="K453" s="822"/>
      <c r="L453" s="822">
        <f>6000+táj2!L453</f>
        <v>6754</v>
      </c>
      <c r="M453" s="822"/>
      <c r="N453" s="822"/>
      <c r="O453" s="822"/>
      <c r="P453" s="822"/>
      <c r="Q453" s="82">
        <f t="shared" si="31"/>
        <v>6754</v>
      </c>
    </row>
    <row r="454" spans="1:17" ht="23.25" customHeight="1" x14ac:dyDescent="0.2">
      <c r="A454" s="808"/>
      <c r="B454" s="808"/>
      <c r="C454" s="809" t="s">
        <v>1197</v>
      </c>
      <c r="D454" s="733" t="s">
        <v>1199</v>
      </c>
      <c r="E454" s="821"/>
      <c r="F454" s="810">
        <v>162988</v>
      </c>
      <c r="G454" s="822"/>
      <c r="H454" s="822"/>
      <c r="I454" s="822"/>
      <c r="J454" s="822"/>
      <c r="K454" s="822"/>
      <c r="L454" s="822">
        <f>0+táj2!L454</f>
        <v>14766</v>
      </c>
      <c r="M454" s="822"/>
      <c r="N454" s="822"/>
      <c r="O454" s="822"/>
      <c r="P454" s="822"/>
      <c r="Q454" s="82">
        <f t="shared" si="31"/>
        <v>14766</v>
      </c>
    </row>
    <row r="455" spans="1:17" ht="18" customHeight="1" x14ac:dyDescent="0.2">
      <c r="A455" s="808"/>
      <c r="B455" s="808"/>
      <c r="C455" s="809" t="s">
        <v>1198</v>
      </c>
      <c r="D455" s="733" t="s">
        <v>1200</v>
      </c>
      <c r="E455" s="821"/>
      <c r="F455" s="810">
        <v>162989</v>
      </c>
      <c r="G455" s="822"/>
      <c r="H455" s="822"/>
      <c r="I455" s="822"/>
      <c r="J455" s="822"/>
      <c r="K455" s="822"/>
      <c r="L455" s="822">
        <f>0+táj2!L455</f>
        <v>53442</v>
      </c>
      <c r="M455" s="822"/>
      <c r="N455" s="822"/>
      <c r="O455" s="822"/>
      <c r="P455" s="822"/>
      <c r="Q455" s="82">
        <f t="shared" si="31"/>
        <v>53442</v>
      </c>
    </row>
    <row r="456" spans="1:17" ht="15.4" customHeight="1" x14ac:dyDescent="0.2">
      <c r="A456" s="102"/>
      <c r="B456" s="102"/>
      <c r="C456" s="378"/>
      <c r="D456" s="391" t="s">
        <v>868</v>
      </c>
      <c r="E456" s="598"/>
      <c r="F456" s="598"/>
      <c r="G456" s="107"/>
      <c r="H456" s="107"/>
      <c r="I456" s="107"/>
      <c r="J456" s="107"/>
      <c r="K456" s="107"/>
      <c r="L456" s="107"/>
      <c r="M456" s="107"/>
      <c r="N456" s="107"/>
      <c r="O456" s="107"/>
      <c r="P456" s="107"/>
      <c r="Q456" s="82">
        <f>SUM(G456:P456)</f>
        <v>0</v>
      </c>
    </row>
    <row r="457" spans="1:17" ht="24" customHeight="1" x14ac:dyDescent="0.2">
      <c r="A457" s="102"/>
      <c r="B457" s="102"/>
      <c r="C457" s="341" t="s">
        <v>492</v>
      </c>
      <c r="D457" s="392" t="s">
        <v>945</v>
      </c>
      <c r="E457" s="598"/>
      <c r="F457" s="598">
        <v>174902</v>
      </c>
      <c r="G457" s="107"/>
      <c r="H457" s="107"/>
      <c r="I457" s="107"/>
      <c r="J457" s="107"/>
      <c r="K457" s="107"/>
      <c r="L457" s="107"/>
      <c r="M457" s="107">
        <f>74503+táj2!M457</f>
        <v>74503</v>
      </c>
      <c r="N457" s="107"/>
      <c r="O457" s="107"/>
      <c r="P457" s="107"/>
      <c r="Q457" s="82">
        <f>SUM(G457:P457)</f>
        <v>74503</v>
      </c>
    </row>
    <row r="458" spans="1:17" ht="16.149999999999999" customHeight="1" x14ac:dyDescent="0.2">
      <c r="A458" s="102"/>
      <c r="B458" s="102"/>
      <c r="C458" s="341" t="s">
        <v>493</v>
      </c>
      <c r="D458" s="351" t="s">
        <v>946</v>
      </c>
      <c r="E458" s="598"/>
      <c r="F458" s="598">
        <v>162942</v>
      </c>
      <c r="G458" s="107"/>
      <c r="H458" s="107"/>
      <c r="I458" s="107"/>
      <c r="J458" s="107"/>
      <c r="K458" s="107"/>
      <c r="L458" s="107"/>
      <c r="M458" s="107">
        <f>24758+táj2!M458</f>
        <v>30508</v>
      </c>
      <c r="N458" s="107"/>
      <c r="O458" s="107"/>
      <c r="P458" s="107"/>
      <c r="Q458" s="82">
        <f t="shared" ref="Q458:Q509" si="32">SUM(G458:P458)</f>
        <v>30508</v>
      </c>
    </row>
    <row r="459" spans="1:17" ht="15.4" customHeight="1" x14ac:dyDescent="0.2">
      <c r="A459" s="102"/>
      <c r="B459" s="102"/>
      <c r="C459" s="341" t="s">
        <v>494</v>
      </c>
      <c r="D459" s="364" t="s">
        <v>765</v>
      </c>
      <c r="E459" s="598"/>
      <c r="F459" s="598">
        <v>162903</v>
      </c>
      <c r="G459" s="107"/>
      <c r="H459" s="107"/>
      <c r="I459" s="107">
        <f>3990+táj2!I459</f>
        <v>3990</v>
      </c>
      <c r="J459" s="107"/>
      <c r="K459" s="107"/>
      <c r="L459" s="107">
        <f>13781+táj2!L459</f>
        <v>13781</v>
      </c>
      <c r="M459" s="107">
        <f>62574+táj2!M459</f>
        <v>62574</v>
      </c>
      <c r="N459" s="107">
        <f>3616+táj2!N459</f>
        <v>3616</v>
      </c>
      <c r="O459" s="107"/>
      <c r="P459" s="107"/>
      <c r="Q459" s="82">
        <f t="shared" si="32"/>
        <v>83961</v>
      </c>
    </row>
    <row r="460" spans="1:17" ht="24.6" customHeight="1" x14ac:dyDescent="0.2">
      <c r="A460" s="102"/>
      <c r="B460" s="102"/>
      <c r="C460" s="341" t="s">
        <v>495</v>
      </c>
      <c r="D460" s="373" t="s">
        <v>655</v>
      </c>
      <c r="E460" s="598"/>
      <c r="F460" s="598">
        <v>162967</v>
      </c>
      <c r="G460" s="107"/>
      <c r="H460" s="107"/>
      <c r="I460" s="107"/>
      <c r="J460" s="107"/>
      <c r="K460" s="107"/>
      <c r="L460" s="107">
        <f>4710+táj2!L460</f>
        <v>4710</v>
      </c>
      <c r="M460" s="107"/>
      <c r="N460" s="107"/>
      <c r="O460" s="107"/>
      <c r="P460" s="107"/>
      <c r="Q460" s="82">
        <f t="shared" si="32"/>
        <v>4710</v>
      </c>
    </row>
    <row r="461" spans="1:17" ht="15.4" customHeight="1" x14ac:dyDescent="0.2">
      <c r="A461" s="102"/>
      <c r="B461" s="102"/>
      <c r="C461" s="341" t="s">
        <v>496</v>
      </c>
      <c r="D461" s="373" t="s">
        <v>705</v>
      </c>
      <c r="E461" s="598"/>
      <c r="F461" s="598">
        <v>162976</v>
      </c>
      <c r="G461" s="107"/>
      <c r="H461" s="107"/>
      <c r="I461" s="107"/>
      <c r="J461" s="107"/>
      <c r="K461" s="107"/>
      <c r="L461" s="107">
        <f>9064+táj2!L461</f>
        <v>9064</v>
      </c>
      <c r="M461" s="107"/>
      <c r="N461" s="107"/>
      <c r="O461" s="107"/>
      <c r="P461" s="107"/>
      <c r="Q461" s="82">
        <f t="shared" si="32"/>
        <v>9064</v>
      </c>
    </row>
    <row r="462" spans="1:17" ht="17.45" customHeight="1" x14ac:dyDescent="0.2">
      <c r="A462" s="102"/>
      <c r="B462" s="102"/>
      <c r="C462" s="341" t="s">
        <v>497</v>
      </c>
      <c r="D462" s="393" t="s">
        <v>947</v>
      </c>
      <c r="E462" s="625"/>
      <c r="F462" s="598">
        <v>162981</v>
      </c>
      <c r="G462" s="107"/>
      <c r="H462" s="107"/>
      <c r="I462" s="107">
        <f>5457+táj2!I462</f>
        <v>5457</v>
      </c>
      <c r="J462" s="107"/>
      <c r="K462" s="107"/>
      <c r="L462" s="107">
        <f>13231+táj2!L462</f>
        <v>2789</v>
      </c>
      <c r="M462" s="107"/>
      <c r="N462" s="107"/>
      <c r="O462" s="107"/>
      <c r="P462" s="107"/>
      <c r="Q462" s="82">
        <f t="shared" si="32"/>
        <v>8246</v>
      </c>
    </row>
    <row r="463" spans="1:17" ht="15.6" customHeight="1" x14ac:dyDescent="0.2">
      <c r="A463" s="102"/>
      <c r="B463" s="102"/>
      <c r="C463" s="341" t="s">
        <v>498</v>
      </c>
      <c r="D463" s="390" t="s">
        <v>827</v>
      </c>
      <c r="E463" s="598"/>
      <c r="F463" s="598">
        <v>164945</v>
      </c>
      <c r="G463" s="107"/>
      <c r="H463" s="107"/>
      <c r="I463" s="107"/>
      <c r="J463" s="107"/>
      <c r="K463" s="107"/>
      <c r="L463" s="107"/>
      <c r="M463" s="107">
        <f>18708+táj2!M463</f>
        <v>18708</v>
      </c>
      <c r="N463" s="107"/>
      <c r="O463" s="107"/>
      <c r="P463" s="107"/>
      <c r="Q463" s="82">
        <f t="shared" si="32"/>
        <v>18708</v>
      </c>
    </row>
    <row r="464" spans="1:17" ht="15" customHeight="1" x14ac:dyDescent="0.2">
      <c r="A464" s="102"/>
      <c r="B464" s="102"/>
      <c r="C464" s="341" t="s">
        <v>516</v>
      </c>
      <c r="D464" s="390" t="s">
        <v>828</v>
      </c>
      <c r="E464" s="598"/>
      <c r="F464" s="598">
        <v>162984</v>
      </c>
      <c r="G464" s="107"/>
      <c r="H464" s="107"/>
      <c r="I464" s="107"/>
      <c r="J464" s="107"/>
      <c r="K464" s="107"/>
      <c r="L464" s="107">
        <f>2794+táj2!L464</f>
        <v>2794</v>
      </c>
      <c r="M464" s="107"/>
      <c r="N464" s="107"/>
      <c r="O464" s="107"/>
      <c r="P464" s="107"/>
      <c r="Q464" s="82">
        <f t="shared" si="32"/>
        <v>2794</v>
      </c>
    </row>
    <row r="465" spans="1:17" ht="17.45" customHeight="1" x14ac:dyDescent="0.2">
      <c r="A465" s="102"/>
      <c r="B465" s="102"/>
      <c r="C465" s="361" t="s">
        <v>21</v>
      </c>
      <c r="D465" s="361" t="s">
        <v>517</v>
      </c>
      <c r="E465" s="598"/>
      <c r="F465" s="598"/>
      <c r="G465" s="107"/>
      <c r="H465" s="107"/>
      <c r="I465" s="107"/>
      <c r="J465" s="107"/>
      <c r="K465" s="107"/>
      <c r="L465" s="107"/>
      <c r="M465" s="107"/>
      <c r="N465" s="107"/>
      <c r="O465" s="107"/>
      <c r="P465" s="107"/>
      <c r="Q465" s="82"/>
    </row>
    <row r="466" spans="1:17" ht="15.6" customHeight="1" x14ac:dyDescent="0.2">
      <c r="A466" s="102"/>
      <c r="B466" s="102"/>
      <c r="C466" s="626" t="s">
        <v>518</v>
      </c>
      <c r="D466" s="395" t="s">
        <v>829</v>
      </c>
      <c r="E466" s="598"/>
      <c r="F466" s="598"/>
      <c r="G466" s="107"/>
      <c r="H466" s="107"/>
      <c r="I466" s="107"/>
      <c r="J466" s="107"/>
      <c r="K466" s="107"/>
      <c r="L466" s="107"/>
      <c r="M466" s="107"/>
      <c r="N466" s="107"/>
      <c r="O466" s="107"/>
      <c r="P466" s="107"/>
      <c r="Q466" s="82"/>
    </row>
    <row r="467" spans="1:17" ht="23.25" customHeight="1" x14ac:dyDescent="0.2">
      <c r="A467" s="102"/>
      <c r="B467" s="102"/>
      <c r="C467" s="341" t="s">
        <v>948</v>
      </c>
      <c r="D467" s="627" t="s">
        <v>949</v>
      </c>
      <c r="E467" s="598"/>
      <c r="F467" s="598">
        <v>162622</v>
      </c>
      <c r="G467" s="107"/>
      <c r="H467" s="107"/>
      <c r="I467" s="107"/>
      <c r="J467" s="107"/>
      <c r="K467" s="107">
        <f>354098+táj2!K467</f>
        <v>354098</v>
      </c>
      <c r="L467" s="107"/>
      <c r="M467" s="107"/>
      <c r="N467" s="107">
        <f>0+táj2!N467</f>
        <v>0</v>
      </c>
      <c r="O467" s="107"/>
      <c r="P467" s="107"/>
      <c r="Q467" s="82">
        <f t="shared" si="32"/>
        <v>354098</v>
      </c>
    </row>
    <row r="468" spans="1:17" ht="25.15" customHeight="1" x14ac:dyDescent="0.2">
      <c r="A468" s="408"/>
      <c r="B468" s="408"/>
      <c r="C468" s="408" t="s">
        <v>975</v>
      </c>
      <c r="D468" s="650" t="s">
        <v>976</v>
      </c>
      <c r="E468" s="598"/>
      <c r="F468" s="598">
        <v>163666</v>
      </c>
      <c r="G468" s="107">
        <f>1250+táj2!G468</f>
        <v>1250</v>
      </c>
      <c r="H468" s="107">
        <f>169+táj2!H468</f>
        <v>169</v>
      </c>
      <c r="I468" s="107">
        <f>107915+táj2!I468</f>
        <v>107915</v>
      </c>
      <c r="J468" s="107"/>
      <c r="K468" s="107"/>
      <c r="L468" s="107">
        <f>387288+táj2!L468</f>
        <v>387288</v>
      </c>
      <c r="M468" s="649"/>
      <c r="N468" s="649"/>
      <c r="O468" s="649"/>
      <c r="P468" s="649"/>
      <c r="Q468" s="82">
        <f t="shared" si="32"/>
        <v>496622</v>
      </c>
    </row>
    <row r="469" spans="1:17" ht="28.9" customHeight="1" x14ac:dyDescent="0.2">
      <c r="A469" s="679"/>
      <c r="B469" s="679"/>
      <c r="C469" s="679" t="s">
        <v>1035</v>
      </c>
      <c r="D469" s="696" t="s">
        <v>997</v>
      </c>
      <c r="E469" s="684"/>
      <c r="F469" s="684">
        <v>163671</v>
      </c>
      <c r="G469" s="107">
        <f>698+táj2!G469</f>
        <v>698</v>
      </c>
      <c r="H469" s="107">
        <f>91+táj2!H469</f>
        <v>91</v>
      </c>
      <c r="I469" s="107">
        <f>4721+táj2!I469</f>
        <v>4721</v>
      </c>
      <c r="J469" s="107"/>
      <c r="K469" s="107"/>
      <c r="L469" s="107">
        <f>94490+táj2!L469</f>
        <v>94490</v>
      </c>
      <c r="M469" s="680"/>
      <c r="N469" s="680"/>
      <c r="O469" s="680"/>
      <c r="P469" s="680"/>
      <c r="Q469" s="82">
        <f t="shared" si="32"/>
        <v>100000</v>
      </c>
    </row>
    <row r="470" spans="1:17" ht="28.9" customHeight="1" x14ac:dyDescent="0.2">
      <c r="A470" s="679"/>
      <c r="B470" s="679"/>
      <c r="C470" s="679" t="s">
        <v>1100</v>
      </c>
      <c r="D470" s="734" t="s">
        <v>1103</v>
      </c>
      <c r="E470" s="684"/>
      <c r="F470" s="684">
        <v>163672</v>
      </c>
      <c r="G470" s="680">
        <f>95+táj2!G470</f>
        <v>95</v>
      </c>
      <c r="H470" s="680"/>
      <c r="I470" s="680">
        <f>8833+táj2!I470</f>
        <v>8833</v>
      </c>
      <c r="J470" s="680"/>
      <c r="K470" s="680"/>
      <c r="L470" s="680"/>
      <c r="M470" s="680">
        <f>195072+táj2!M470</f>
        <v>195072</v>
      </c>
      <c r="N470" s="680"/>
      <c r="O470" s="680"/>
      <c r="P470" s="680"/>
      <c r="Q470" s="82">
        <f t="shared" si="32"/>
        <v>204000</v>
      </c>
    </row>
    <row r="471" spans="1:17" ht="28.9" customHeight="1" x14ac:dyDescent="0.2">
      <c r="A471" s="679"/>
      <c r="B471" s="679"/>
      <c r="C471" s="679" t="s">
        <v>1101</v>
      </c>
      <c r="D471" s="734" t="s">
        <v>1104</v>
      </c>
      <c r="E471" s="684"/>
      <c r="F471" s="684">
        <v>163665</v>
      </c>
      <c r="G471" s="680">
        <f>38887+táj2!G471</f>
        <v>38887</v>
      </c>
      <c r="H471" s="680">
        <f>5055+táj2!H471</f>
        <v>5055</v>
      </c>
      <c r="I471" s="680">
        <f>23876+táj2!I471</f>
        <v>23876</v>
      </c>
      <c r="J471" s="680"/>
      <c r="K471" s="680"/>
      <c r="L471" s="680">
        <f>1134438+táj2!L471</f>
        <v>1144527</v>
      </c>
      <c r="M471" s="680"/>
      <c r="N471" s="680"/>
      <c r="O471" s="680"/>
      <c r="P471" s="680"/>
      <c r="Q471" s="82">
        <f t="shared" si="32"/>
        <v>1212345</v>
      </c>
    </row>
    <row r="472" spans="1:17" ht="28.9" customHeight="1" x14ac:dyDescent="0.2">
      <c r="A472" s="679"/>
      <c r="B472" s="679"/>
      <c r="C472" s="679" t="s">
        <v>1102</v>
      </c>
      <c r="D472" s="734" t="s">
        <v>1105</v>
      </c>
      <c r="E472" s="684"/>
      <c r="F472" s="684">
        <v>163685</v>
      </c>
      <c r="G472" s="680">
        <f>500+táj2!G472</f>
        <v>500</v>
      </c>
      <c r="H472" s="680">
        <f>104+táj2!H472</f>
        <v>104</v>
      </c>
      <c r="I472" s="680">
        <f>9723+táj2!I472</f>
        <v>9723</v>
      </c>
      <c r="J472" s="680"/>
      <c r="K472" s="680"/>
      <c r="L472" s="680"/>
      <c r="M472" s="680">
        <f>175673+táj2!M472</f>
        <v>175673</v>
      </c>
      <c r="N472" s="680"/>
      <c r="O472" s="680"/>
      <c r="P472" s="680"/>
      <c r="Q472" s="82">
        <f t="shared" si="32"/>
        <v>186000</v>
      </c>
    </row>
    <row r="473" spans="1:17" ht="28.9" customHeight="1" x14ac:dyDescent="0.2">
      <c r="A473" s="679"/>
      <c r="B473" s="679"/>
      <c r="C473" s="679" t="s">
        <v>1111</v>
      </c>
      <c r="D473" s="734" t="s">
        <v>1112</v>
      </c>
      <c r="E473" s="684"/>
      <c r="F473" s="684">
        <v>163684</v>
      </c>
      <c r="G473" s="680">
        <f>4690+táj2!G473</f>
        <v>4690</v>
      </c>
      <c r="H473" s="680">
        <f>610+táj2!H473</f>
        <v>610</v>
      </c>
      <c r="I473" s="680">
        <f>16346+táj2!I473</f>
        <v>16346</v>
      </c>
      <c r="J473" s="680"/>
      <c r="K473" s="680"/>
      <c r="L473" s="680">
        <f>5054+táj2!L473</f>
        <v>5054</v>
      </c>
      <c r="M473" s="680">
        <f>333300+táj2!M473</f>
        <v>333300</v>
      </c>
      <c r="N473" s="680"/>
      <c r="O473" s="680"/>
      <c r="P473" s="680"/>
      <c r="Q473" s="82">
        <f t="shared" si="32"/>
        <v>360000</v>
      </c>
    </row>
    <row r="474" spans="1:17" ht="28.9" customHeight="1" x14ac:dyDescent="0.2">
      <c r="A474" s="808"/>
      <c r="B474" s="808"/>
      <c r="C474" s="808" t="s">
        <v>1141</v>
      </c>
      <c r="D474" s="823" t="s">
        <v>1126</v>
      </c>
      <c r="E474" s="810"/>
      <c r="F474" s="810">
        <v>163686</v>
      </c>
      <c r="G474" s="822">
        <f>3014+táj2!G474</f>
        <v>3014</v>
      </c>
      <c r="H474" s="822">
        <f>392+táj2!H474</f>
        <v>392</v>
      </c>
      <c r="I474" s="822">
        <f>13441+táj2!I474</f>
        <v>13441</v>
      </c>
      <c r="J474" s="822"/>
      <c r="K474" s="822"/>
      <c r="L474" s="822"/>
      <c r="M474" s="822">
        <f>354359+táj2!M474</f>
        <v>354359</v>
      </c>
      <c r="N474" s="822"/>
      <c r="O474" s="822"/>
      <c r="P474" s="822"/>
      <c r="Q474" s="82">
        <f t="shared" si="32"/>
        <v>371206</v>
      </c>
    </row>
    <row r="475" spans="1:17" ht="28.9" customHeight="1" x14ac:dyDescent="0.2">
      <c r="A475" s="808"/>
      <c r="B475" s="808"/>
      <c r="C475" s="808" t="s">
        <v>1190</v>
      </c>
      <c r="D475" s="823" t="s">
        <v>1176</v>
      </c>
      <c r="E475" s="810"/>
      <c r="F475" s="810">
        <v>163673</v>
      </c>
      <c r="G475" s="822">
        <f>0+táj2!G475</f>
        <v>2860</v>
      </c>
      <c r="H475" s="822">
        <f>0+táj2!H475</f>
        <v>0</v>
      </c>
      <c r="I475" s="822">
        <f>0+táj2!I475</f>
        <v>10821</v>
      </c>
      <c r="J475" s="822">
        <f>0+táj2!J475</f>
        <v>0</v>
      </c>
      <c r="K475" s="822">
        <f>0+táj2!K475</f>
        <v>0</v>
      </c>
      <c r="L475" s="822">
        <f>0+táj2!L475</f>
        <v>166319</v>
      </c>
      <c r="M475" s="822">
        <f>0+táj2!M475</f>
        <v>0</v>
      </c>
      <c r="N475" s="822">
        <f>0+táj2!N475</f>
        <v>0</v>
      </c>
      <c r="O475" s="822"/>
      <c r="P475" s="822"/>
      <c r="Q475" s="82">
        <f t="shared" si="32"/>
        <v>180000</v>
      </c>
    </row>
    <row r="476" spans="1:17" ht="28.9" customHeight="1" x14ac:dyDescent="0.2">
      <c r="A476" s="808"/>
      <c r="B476" s="808"/>
      <c r="C476" s="808" t="s">
        <v>1191</v>
      </c>
      <c r="D476" s="860" t="s">
        <v>1177</v>
      </c>
      <c r="E476" s="810"/>
      <c r="F476" s="810">
        <v>163687</v>
      </c>
      <c r="G476" s="822">
        <f>0+táj2!G476</f>
        <v>0</v>
      </c>
      <c r="H476" s="822">
        <f>0+táj2!H476</f>
        <v>0</v>
      </c>
      <c r="I476" s="822">
        <f>0+táj2!I476</f>
        <v>8584</v>
      </c>
      <c r="J476" s="822">
        <f>0+táj2!J476</f>
        <v>0</v>
      </c>
      <c r="K476" s="822">
        <f>0+táj2!K476</f>
        <v>0</v>
      </c>
      <c r="L476" s="822">
        <f>0+táj2!L476</f>
        <v>191416</v>
      </c>
      <c r="M476" s="822">
        <f>0+táj2!M476</f>
        <v>0</v>
      </c>
      <c r="N476" s="822">
        <f>0+táj2!N476</f>
        <v>0</v>
      </c>
      <c r="O476" s="822"/>
      <c r="P476" s="822"/>
      <c r="Q476" s="82">
        <f t="shared" si="32"/>
        <v>200000</v>
      </c>
    </row>
    <row r="477" spans="1:17" ht="28.9" customHeight="1" x14ac:dyDescent="0.2">
      <c r="A477" s="808"/>
      <c r="B477" s="808"/>
      <c r="C477" s="808" t="s">
        <v>1192</v>
      </c>
      <c r="D477" s="860" t="s">
        <v>1178</v>
      </c>
      <c r="E477" s="810"/>
      <c r="F477" s="810">
        <v>163678</v>
      </c>
      <c r="G477" s="822">
        <f>0+táj2!G477</f>
        <v>7322</v>
      </c>
      <c r="H477" s="822">
        <f>0+táj2!H477</f>
        <v>952</v>
      </c>
      <c r="I477" s="822">
        <f>0+táj2!I477</f>
        <v>58244</v>
      </c>
      <c r="J477" s="822">
        <f>0+táj2!J477</f>
        <v>0</v>
      </c>
      <c r="K477" s="822">
        <f>0+táj2!K477</f>
        <v>0</v>
      </c>
      <c r="L477" s="822">
        <f>0+táj2!L477</f>
        <v>14299</v>
      </c>
      <c r="M477" s="822">
        <f>0+táj2!M477</f>
        <v>0</v>
      </c>
      <c r="N477" s="822">
        <f>0+táj2!N477</f>
        <v>0</v>
      </c>
      <c r="O477" s="822"/>
      <c r="P477" s="822"/>
      <c r="Q477" s="82">
        <f t="shared" si="32"/>
        <v>80817</v>
      </c>
    </row>
    <row r="478" spans="1:17" ht="18" customHeight="1" x14ac:dyDescent="0.2">
      <c r="A478" s="285"/>
      <c r="B478" s="285"/>
      <c r="C478" s="341"/>
      <c r="D478" s="391" t="s">
        <v>868</v>
      </c>
      <c r="E478" s="598"/>
      <c r="F478" s="598"/>
      <c r="G478" s="295"/>
      <c r="H478" s="295"/>
      <c r="I478" s="107"/>
      <c r="J478" s="295"/>
      <c r="K478" s="295"/>
      <c r="L478" s="295"/>
      <c r="M478" s="295"/>
      <c r="N478" s="107"/>
      <c r="O478" s="295"/>
      <c r="P478" s="295"/>
      <c r="Q478" s="82"/>
    </row>
    <row r="479" spans="1:17" ht="63" customHeight="1" x14ac:dyDescent="0.2">
      <c r="A479" s="285"/>
      <c r="B479" s="285"/>
      <c r="C479" s="341" t="s">
        <v>719</v>
      </c>
      <c r="D479" s="628" t="s">
        <v>150</v>
      </c>
      <c r="E479" s="598"/>
      <c r="F479" s="598">
        <v>163607</v>
      </c>
      <c r="G479" s="295"/>
      <c r="H479" s="295"/>
      <c r="I479" s="107">
        <f>300+táj2!I479</f>
        <v>300</v>
      </c>
      <c r="J479" s="107"/>
      <c r="K479" s="107"/>
      <c r="L479" s="107"/>
      <c r="M479" s="107"/>
      <c r="N479" s="107"/>
      <c r="O479" s="295"/>
      <c r="P479" s="295"/>
      <c r="Q479" s="82">
        <f t="shared" si="32"/>
        <v>300</v>
      </c>
    </row>
    <row r="480" spans="1:17" ht="22.5" customHeight="1" x14ac:dyDescent="0.2">
      <c r="A480" s="285"/>
      <c r="B480" s="285"/>
      <c r="C480" s="341" t="s">
        <v>720</v>
      </c>
      <c r="D480" s="627" t="s">
        <v>137</v>
      </c>
      <c r="E480" s="598"/>
      <c r="F480" s="598">
        <v>163625</v>
      </c>
      <c r="G480" s="295"/>
      <c r="H480" s="295"/>
      <c r="I480" s="107">
        <f>31513+táj2!I480</f>
        <v>31513</v>
      </c>
      <c r="J480" s="295"/>
      <c r="K480" s="295"/>
      <c r="L480" s="295"/>
      <c r="M480" s="295"/>
      <c r="N480" s="295"/>
      <c r="O480" s="295"/>
      <c r="P480" s="295"/>
      <c r="Q480" s="287">
        <f t="shared" si="32"/>
        <v>31513</v>
      </c>
    </row>
    <row r="481" spans="1:17" ht="27" customHeight="1" x14ac:dyDescent="0.2">
      <c r="A481" s="285"/>
      <c r="B481" s="285"/>
      <c r="C481" s="341" t="s">
        <v>519</v>
      </c>
      <c r="D481" s="629" t="s">
        <v>138</v>
      </c>
      <c r="E481" s="598"/>
      <c r="F481" s="598">
        <v>163626</v>
      </c>
      <c r="G481" s="295"/>
      <c r="H481" s="295"/>
      <c r="I481" s="107">
        <f>3+táj2!I481</f>
        <v>3</v>
      </c>
      <c r="J481" s="295"/>
      <c r="K481" s="295"/>
      <c r="L481" s="295"/>
      <c r="M481" s="295"/>
      <c r="N481" s="295"/>
      <c r="O481" s="295"/>
      <c r="P481" s="295"/>
      <c r="Q481" s="287">
        <f t="shared" si="32"/>
        <v>3</v>
      </c>
    </row>
    <row r="482" spans="1:17" ht="15.6" customHeight="1" x14ac:dyDescent="0.2">
      <c r="A482" s="102"/>
      <c r="B482" s="102"/>
      <c r="C482" s="341" t="s">
        <v>520</v>
      </c>
      <c r="D482" s="630" t="s">
        <v>830</v>
      </c>
      <c r="E482" s="598"/>
      <c r="F482" s="598">
        <v>163658</v>
      </c>
      <c r="G482" s="107"/>
      <c r="H482" s="107"/>
      <c r="I482" s="107">
        <f>404+táj2!I482</f>
        <v>404</v>
      </c>
      <c r="J482" s="107"/>
      <c r="K482" s="107"/>
      <c r="L482" s="107"/>
      <c r="M482" s="107"/>
      <c r="N482" s="107"/>
      <c r="O482" s="107"/>
      <c r="P482" s="107"/>
      <c r="Q482" s="287">
        <f t="shared" si="32"/>
        <v>404</v>
      </c>
    </row>
    <row r="483" spans="1:17" ht="29.45" customHeight="1" x14ac:dyDescent="0.2">
      <c r="A483" s="102"/>
      <c r="B483" s="102"/>
      <c r="C483" s="341" t="s">
        <v>521</v>
      </c>
      <c r="D483" s="630" t="s">
        <v>749</v>
      </c>
      <c r="E483" s="598"/>
      <c r="F483" s="598">
        <v>163662</v>
      </c>
      <c r="G483" s="107">
        <f>10050+táj2!G483</f>
        <v>5450</v>
      </c>
      <c r="H483" s="107">
        <f>1957+táj2!H483</f>
        <v>1957</v>
      </c>
      <c r="I483" s="107">
        <f>194879+táj2!I483</f>
        <v>199479</v>
      </c>
      <c r="J483" s="107"/>
      <c r="K483" s="107"/>
      <c r="L483" s="107">
        <f>592301+táj2!L483</f>
        <v>592301</v>
      </c>
      <c r="M483" s="107"/>
      <c r="N483" s="107"/>
      <c r="O483" s="107"/>
      <c r="P483" s="107"/>
      <c r="Q483" s="82">
        <f t="shared" si="32"/>
        <v>799187</v>
      </c>
    </row>
    <row r="484" spans="1:17" ht="24" customHeight="1" x14ac:dyDescent="0.2">
      <c r="A484" s="102"/>
      <c r="B484" s="102"/>
      <c r="C484" s="341" t="s">
        <v>522</v>
      </c>
      <c r="D484" s="631" t="s">
        <v>748</v>
      </c>
      <c r="E484" s="598"/>
      <c r="F484" s="359">
        <v>132937</v>
      </c>
      <c r="G484" s="107">
        <f>2622+táj2!G484</f>
        <v>2622</v>
      </c>
      <c r="H484" s="107">
        <f>341+táj2!H484</f>
        <v>341</v>
      </c>
      <c r="I484" s="107">
        <f>6457+táj2!I484</f>
        <v>6457</v>
      </c>
      <c r="J484" s="107"/>
      <c r="K484" s="107"/>
      <c r="L484" s="107">
        <f>14392+táj2!L484</f>
        <v>14392</v>
      </c>
      <c r="M484" s="107"/>
      <c r="N484" s="107"/>
      <c r="O484" s="107"/>
      <c r="P484" s="107"/>
      <c r="Q484" s="82">
        <f t="shared" si="32"/>
        <v>23812</v>
      </c>
    </row>
    <row r="485" spans="1:17" ht="15.6" customHeight="1" x14ac:dyDescent="0.2">
      <c r="A485" s="102"/>
      <c r="B485" s="102"/>
      <c r="C485" s="341" t="s">
        <v>523</v>
      </c>
      <c r="D485" s="631" t="s">
        <v>831</v>
      </c>
      <c r="E485" s="598"/>
      <c r="F485" s="598">
        <v>163663</v>
      </c>
      <c r="G485" s="107"/>
      <c r="H485" s="107"/>
      <c r="I485" s="107"/>
      <c r="J485" s="107"/>
      <c r="K485" s="107"/>
      <c r="L485" s="107"/>
      <c r="M485" s="107"/>
      <c r="N485" s="107">
        <f>3807+táj2!N485</f>
        <v>3807</v>
      </c>
      <c r="O485" s="107"/>
      <c r="P485" s="107"/>
      <c r="Q485" s="82">
        <f t="shared" si="32"/>
        <v>3807</v>
      </c>
    </row>
    <row r="486" spans="1:17" ht="15.6" customHeight="1" x14ac:dyDescent="0.2">
      <c r="A486" s="102"/>
      <c r="B486" s="102"/>
      <c r="C486" s="341" t="s">
        <v>524</v>
      </c>
      <c r="D486" s="391" t="s">
        <v>1175</v>
      </c>
      <c r="E486" s="598"/>
      <c r="F486" s="598">
        <v>163679</v>
      </c>
      <c r="G486" s="107">
        <f>0+táj2!G486</f>
        <v>1310</v>
      </c>
      <c r="H486" s="107"/>
      <c r="I486" s="107">
        <f>27301+táj2!I486</f>
        <v>6756</v>
      </c>
      <c r="J486" s="107"/>
      <c r="K486" s="107"/>
      <c r="L486" s="107">
        <f>72699+táj2!L486</f>
        <v>91934</v>
      </c>
      <c r="M486" s="107"/>
      <c r="N486" s="107"/>
      <c r="O486" s="107"/>
      <c r="P486" s="107"/>
      <c r="Q486" s="82">
        <f t="shared" si="32"/>
        <v>100000</v>
      </c>
    </row>
    <row r="487" spans="1:17" ht="22.5" customHeight="1" x14ac:dyDescent="0.2">
      <c r="A487" s="102"/>
      <c r="B487" s="102"/>
      <c r="C487" s="341" t="s">
        <v>525</v>
      </c>
      <c r="D487" s="627" t="s">
        <v>950</v>
      </c>
      <c r="E487" s="598"/>
      <c r="F487" s="598">
        <v>163680</v>
      </c>
      <c r="G487" s="107">
        <f>1250+táj2!G487</f>
        <v>1250</v>
      </c>
      <c r="H487" s="107">
        <f>160+táj2!H487</f>
        <v>160</v>
      </c>
      <c r="I487" s="107">
        <f>102900+táj2!I487</f>
        <v>102900</v>
      </c>
      <c r="J487" s="107"/>
      <c r="K487" s="107"/>
      <c r="L487" s="107">
        <f>291524+táj2!L487</f>
        <v>291524</v>
      </c>
      <c r="M487" s="107"/>
      <c r="N487" s="107"/>
      <c r="O487" s="107"/>
      <c r="P487" s="107"/>
      <c r="Q487" s="82">
        <f t="shared" si="32"/>
        <v>395834</v>
      </c>
    </row>
    <row r="488" spans="1:17" ht="22.5" customHeight="1" x14ac:dyDescent="0.2">
      <c r="A488" s="102"/>
      <c r="B488" s="102"/>
      <c r="C488" s="341" t="s">
        <v>526</v>
      </c>
      <c r="D488" s="627" t="s">
        <v>951</v>
      </c>
      <c r="E488" s="598"/>
      <c r="F488" s="598">
        <v>163681</v>
      </c>
      <c r="G488" s="107">
        <f>2320+táj2!G488</f>
        <v>2320</v>
      </c>
      <c r="H488" s="107">
        <f>297+táj2!H488</f>
        <v>297</v>
      </c>
      <c r="I488" s="107">
        <f>63693+táj2!I488</f>
        <v>63693</v>
      </c>
      <c r="J488" s="107"/>
      <c r="K488" s="107"/>
      <c r="L488" s="107">
        <f>12700+táj2!L488</f>
        <v>12700</v>
      </c>
      <c r="M488" s="107">
        <f>214979+táj2!M488</f>
        <v>214979</v>
      </c>
      <c r="N488" s="107"/>
      <c r="O488" s="107"/>
      <c r="P488" s="107"/>
      <c r="Q488" s="82">
        <f t="shared" si="32"/>
        <v>293989</v>
      </c>
    </row>
    <row r="489" spans="1:17" ht="36" customHeight="1" x14ac:dyDescent="0.2">
      <c r="A489" s="102"/>
      <c r="B489" s="102"/>
      <c r="C489" s="341" t="s">
        <v>721</v>
      </c>
      <c r="D489" s="627" t="s">
        <v>952</v>
      </c>
      <c r="E489" s="598"/>
      <c r="F489" s="598">
        <v>163682</v>
      </c>
      <c r="G489" s="107">
        <f>2036+táj2!G489</f>
        <v>2036</v>
      </c>
      <c r="H489" s="107">
        <f>265+táj2!H489</f>
        <v>265</v>
      </c>
      <c r="I489" s="107">
        <f>10752+táj2!I489</f>
        <v>10752</v>
      </c>
      <c r="J489" s="107"/>
      <c r="K489" s="107"/>
      <c r="L489" s="107">
        <f>47231+táj2!L489</f>
        <v>47231</v>
      </c>
      <c r="M489" s="107">
        <f>189716+táj2!M489</f>
        <v>189716</v>
      </c>
      <c r="N489" s="107"/>
      <c r="O489" s="107"/>
      <c r="P489" s="107"/>
      <c r="Q489" s="82">
        <f t="shared" si="32"/>
        <v>250000</v>
      </c>
    </row>
    <row r="490" spans="1:17" ht="16.899999999999999" customHeight="1" x14ac:dyDescent="0.2">
      <c r="A490" s="102"/>
      <c r="B490" s="102"/>
      <c r="C490" s="632" t="s">
        <v>750</v>
      </c>
      <c r="D490" s="398" t="s">
        <v>528</v>
      </c>
      <c r="E490" s="598"/>
      <c r="F490" s="598"/>
      <c r="G490" s="107"/>
      <c r="H490" s="107"/>
      <c r="I490" s="107"/>
      <c r="J490" s="107"/>
      <c r="K490" s="107"/>
      <c r="L490" s="107"/>
      <c r="M490" s="107"/>
      <c r="N490" s="107"/>
      <c r="O490" s="107"/>
      <c r="P490" s="107"/>
      <c r="Q490" s="82"/>
    </row>
    <row r="491" spans="1:17" ht="15" customHeight="1" x14ac:dyDescent="0.2">
      <c r="A491" s="102"/>
      <c r="B491" s="102"/>
      <c r="C491" s="633"/>
      <c r="D491" s="351" t="s">
        <v>868</v>
      </c>
      <c r="E491" s="598"/>
      <c r="F491" s="598"/>
      <c r="G491" s="107"/>
      <c r="H491" s="107"/>
      <c r="I491" s="107"/>
      <c r="J491" s="107"/>
      <c r="K491" s="107"/>
      <c r="L491" s="107"/>
      <c r="M491" s="107"/>
      <c r="N491" s="107"/>
      <c r="O491" s="107"/>
      <c r="P491" s="107"/>
      <c r="Q491" s="82"/>
    </row>
    <row r="492" spans="1:17" ht="27" customHeight="1" x14ac:dyDescent="0.2">
      <c r="A492" s="102"/>
      <c r="B492" s="102"/>
      <c r="C492" s="633" t="s">
        <v>751</v>
      </c>
      <c r="D492" s="397" t="s">
        <v>530</v>
      </c>
      <c r="E492" s="598"/>
      <c r="F492" s="598">
        <v>163621</v>
      </c>
      <c r="G492" s="107">
        <f>514+táj2!G492</f>
        <v>514</v>
      </c>
      <c r="H492" s="107">
        <f>121+táj2!H492</f>
        <v>121</v>
      </c>
      <c r="I492" s="107">
        <f>198394+táj2!I492</f>
        <v>198394</v>
      </c>
      <c r="J492" s="107"/>
      <c r="K492" s="107"/>
      <c r="L492" s="107"/>
      <c r="M492" s="107">
        <f>798841+táj2!M492</f>
        <v>811705</v>
      </c>
      <c r="N492" s="107"/>
      <c r="O492" s="107"/>
      <c r="P492" s="107"/>
      <c r="Q492" s="82">
        <f t="shared" si="32"/>
        <v>1010734</v>
      </c>
    </row>
    <row r="493" spans="1:17" ht="30.6" customHeight="1" x14ac:dyDescent="0.2">
      <c r="A493" s="102"/>
      <c r="B493" s="102"/>
      <c r="C493" s="633" t="s">
        <v>752</v>
      </c>
      <c r="D493" s="397" t="s">
        <v>533</v>
      </c>
      <c r="E493" s="598"/>
      <c r="F493" s="598">
        <v>163702</v>
      </c>
      <c r="G493" s="107"/>
      <c r="H493" s="107"/>
      <c r="I493" s="107">
        <f>5654+táj2!I493</f>
        <v>5654</v>
      </c>
      <c r="J493" s="107"/>
      <c r="K493" s="107"/>
      <c r="L493" s="107"/>
      <c r="M493" s="107"/>
      <c r="N493" s="107">
        <f>32696+táj2!N493</f>
        <v>32696</v>
      </c>
      <c r="O493" s="107"/>
      <c r="P493" s="107"/>
      <c r="Q493" s="82">
        <f t="shared" si="32"/>
        <v>38350</v>
      </c>
    </row>
    <row r="494" spans="1:17" ht="28.15" customHeight="1" x14ac:dyDescent="0.2">
      <c r="A494" s="102"/>
      <c r="B494" s="102"/>
      <c r="C494" s="633" t="s">
        <v>753</v>
      </c>
      <c r="D494" s="396" t="s">
        <v>754</v>
      </c>
      <c r="E494" s="598"/>
      <c r="F494" s="598">
        <v>163650</v>
      </c>
      <c r="G494" s="107"/>
      <c r="H494" s="107"/>
      <c r="I494" s="107">
        <f>630005+táj2!I494</f>
        <v>520005</v>
      </c>
      <c r="J494" s="107"/>
      <c r="K494" s="107"/>
      <c r="L494" s="107">
        <f>2151250+táj2!L494</f>
        <v>2051250</v>
      </c>
      <c r="M494" s="107">
        <f>875956+táj2!M494</f>
        <v>1085956</v>
      </c>
      <c r="N494" s="107"/>
      <c r="O494" s="107"/>
      <c r="P494" s="107"/>
      <c r="Q494" s="82">
        <f t="shared" si="32"/>
        <v>3657211</v>
      </c>
    </row>
    <row r="495" spans="1:17" ht="15" customHeight="1" x14ac:dyDescent="0.2">
      <c r="A495" s="102"/>
      <c r="B495" s="102"/>
      <c r="C495" s="634" t="s">
        <v>527</v>
      </c>
      <c r="D495" s="399" t="s">
        <v>536</v>
      </c>
      <c r="E495" s="598"/>
      <c r="F495" s="598"/>
      <c r="G495" s="107"/>
      <c r="H495" s="107"/>
      <c r="I495" s="107"/>
      <c r="J495" s="107"/>
      <c r="K495" s="107"/>
      <c r="L495" s="107"/>
      <c r="M495" s="107"/>
      <c r="N495" s="107"/>
      <c r="O495" s="107"/>
      <c r="P495" s="107"/>
      <c r="Q495" s="82"/>
    </row>
    <row r="496" spans="1:17" ht="29.25" customHeight="1" x14ac:dyDescent="0.2">
      <c r="A496" s="102"/>
      <c r="B496" s="102"/>
      <c r="C496" s="784" t="s">
        <v>1113</v>
      </c>
      <c r="D496" s="397" t="s">
        <v>1121</v>
      </c>
      <c r="E496" s="783"/>
      <c r="F496" s="793">
        <v>164959</v>
      </c>
      <c r="G496" s="107"/>
      <c r="H496" s="107"/>
      <c r="I496" s="107"/>
      <c r="J496" s="107"/>
      <c r="K496" s="107"/>
      <c r="L496" s="107"/>
      <c r="M496" s="107">
        <f>93556+táj2!M496</f>
        <v>96709</v>
      </c>
      <c r="N496" s="107"/>
      <c r="O496" s="107"/>
      <c r="P496" s="107"/>
      <c r="Q496" s="82">
        <f t="shared" si="32"/>
        <v>96709</v>
      </c>
    </row>
    <row r="497" spans="1:17" ht="30.75" customHeight="1" x14ac:dyDescent="0.2">
      <c r="A497" s="102"/>
      <c r="B497" s="102"/>
      <c r="C497" s="784" t="s">
        <v>1114</v>
      </c>
      <c r="D497" s="397" t="s">
        <v>1122</v>
      </c>
      <c r="E497" s="783"/>
      <c r="F497" s="793">
        <v>164958</v>
      </c>
      <c r="G497" s="107"/>
      <c r="H497" s="107"/>
      <c r="I497" s="107"/>
      <c r="J497" s="107"/>
      <c r="K497" s="107"/>
      <c r="L497" s="107"/>
      <c r="M497" s="107">
        <f>184642+táj2!M497</f>
        <v>184642</v>
      </c>
      <c r="N497" s="107"/>
      <c r="O497" s="107"/>
      <c r="P497" s="107"/>
      <c r="Q497" s="82">
        <f t="shared" si="32"/>
        <v>184642</v>
      </c>
    </row>
    <row r="498" spans="1:17" ht="15" customHeight="1" x14ac:dyDescent="0.2">
      <c r="A498" s="102"/>
      <c r="B498" s="102"/>
      <c r="C498" s="634"/>
      <c r="D498" s="351" t="s">
        <v>868</v>
      </c>
      <c r="E498" s="598"/>
      <c r="F498" s="598"/>
      <c r="G498" s="107"/>
      <c r="H498" s="107"/>
      <c r="I498" s="107"/>
      <c r="J498" s="107"/>
      <c r="K498" s="107"/>
      <c r="L498" s="107"/>
      <c r="M498" s="107"/>
      <c r="N498" s="107"/>
      <c r="O498" s="107"/>
      <c r="P498" s="107"/>
      <c r="Q498" s="82"/>
    </row>
    <row r="499" spans="1:17" ht="41.25" customHeight="1" x14ac:dyDescent="0.2">
      <c r="A499" s="300"/>
      <c r="B499" s="300"/>
      <c r="C499" s="633" t="s">
        <v>529</v>
      </c>
      <c r="D499" s="400" t="s">
        <v>755</v>
      </c>
      <c r="E499" s="401"/>
      <c r="F499" s="465">
        <v>163654</v>
      </c>
      <c r="G499" s="301"/>
      <c r="H499" s="301"/>
      <c r="I499" s="107">
        <f>482871+táj2!I499</f>
        <v>482871</v>
      </c>
      <c r="J499" s="301"/>
      <c r="K499" s="301"/>
      <c r="L499" s="107">
        <f>1595145+táj2!L499</f>
        <v>1595145</v>
      </c>
      <c r="M499" s="301"/>
      <c r="N499" s="301"/>
      <c r="O499" s="301"/>
      <c r="P499" s="301"/>
      <c r="Q499" s="82">
        <f t="shared" si="32"/>
        <v>2078016</v>
      </c>
    </row>
    <row r="500" spans="1:17" ht="36" customHeight="1" x14ac:dyDescent="0.2">
      <c r="A500" s="102"/>
      <c r="B500" s="102"/>
      <c r="C500" s="633" t="s">
        <v>531</v>
      </c>
      <c r="D500" s="397" t="s">
        <v>756</v>
      </c>
      <c r="E500" s="598"/>
      <c r="F500" s="635">
        <v>163661</v>
      </c>
      <c r="G500" s="107"/>
      <c r="H500" s="107"/>
      <c r="I500" s="107">
        <f>245540+táj2!I500</f>
        <v>245540</v>
      </c>
      <c r="J500" s="107"/>
      <c r="K500" s="107"/>
      <c r="L500" s="107">
        <f>754460+táj2!L500</f>
        <v>754460</v>
      </c>
      <c r="M500" s="107"/>
      <c r="N500" s="107"/>
      <c r="O500" s="107"/>
      <c r="P500" s="107"/>
      <c r="Q500" s="82">
        <f t="shared" si="32"/>
        <v>1000000</v>
      </c>
    </row>
    <row r="501" spans="1:17" ht="36.6" customHeight="1" x14ac:dyDescent="0.2">
      <c r="A501" s="102"/>
      <c r="B501" s="102"/>
      <c r="C501" s="633" t="s">
        <v>532</v>
      </c>
      <c r="D501" s="397" t="s">
        <v>953</v>
      </c>
      <c r="E501" s="598"/>
      <c r="F501" s="635">
        <v>163683</v>
      </c>
      <c r="G501" s="107"/>
      <c r="H501" s="107"/>
      <c r="I501" s="107">
        <f>241493+táj2!I501</f>
        <v>241493</v>
      </c>
      <c r="J501" s="107"/>
      <c r="K501" s="107"/>
      <c r="L501" s="107">
        <f>658507+táj2!L501</f>
        <v>658507</v>
      </c>
      <c r="M501" s="107"/>
      <c r="N501" s="107"/>
      <c r="O501" s="107"/>
      <c r="P501" s="107"/>
      <c r="Q501" s="82">
        <f t="shared" si="32"/>
        <v>900000</v>
      </c>
    </row>
    <row r="502" spans="1:17" ht="30.6" customHeight="1" x14ac:dyDescent="0.2">
      <c r="A502" s="102"/>
      <c r="B502" s="102"/>
      <c r="C502" s="633" t="s">
        <v>534</v>
      </c>
      <c r="D502" s="365" t="s">
        <v>832</v>
      </c>
      <c r="E502" s="598"/>
      <c r="F502" s="598">
        <v>163664</v>
      </c>
      <c r="G502" s="107"/>
      <c r="H502" s="107"/>
      <c r="I502" s="107">
        <f>108667+táj2!I502</f>
        <v>108667</v>
      </c>
      <c r="J502" s="107"/>
      <c r="K502" s="107"/>
      <c r="L502" s="107">
        <f>332977+táj2!L502</f>
        <v>333296</v>
      </c>
      <c r="M502" s="107"/>
      <c r="N502" s="107"/>
      <c r="O502" s="107"/>
      <c r="P502" s="107"/>
      <c r="Q502" s="82">
        <f t="shared" si="32"/>
        <v>441963</v>
      </c>
    </row>
    <row r="503" spans="1:17" ht="15" customHeight="1" x14ac:dyDescent="0.2">
      <c r="A503" s="341"/>
      <c r="B503" s="341"/>
      <c r="C503" s="633" t="s">
        <v>954</v>
      </c>
      <c r="D503" s="397" t="s">
        <v>706</v>
      </c>
      <c r="E503" s="598"/>
      <c r="F503" s="598">
        <v>163655</v>
      </c>
      <c r="G503" s="357"/>
      <c r="H503" s="357"/>
      <c r="I503" s="107"/>
      <c r="J503" s="357"/>
      <c r="K503" s="357"/>
      <c r="L503" s="107">
        <f>6033+táj2!L503</f>
        <v>6033</v>
      </c>
      <c r="M503" s="357"/>
      <c r="N503" s="357"/>
      <c r="O503" s="357"/>
      <c r="P503" s="357"/>
      <c r="Q503" s="82">
        <f t="shared" si="32"/>
        <v>6033</v>
      </c>
    </row>
    <row r="504" spans="1:17" ht="15" customHeight="1" x14ac:dyDescent="0.2">
      <c r="A504" s="102"/>
      <c r="B504" s="102"/>
      <c r="C504" s="402" t="s">
        <v>535</v>
      </c>
      <c r="D504" s="636" t="s">
        <v>539</v>
      </c>
      <c r="E504" s="598"/>
      <c r="F504" s="598"/>
      <c r="G504" s="107"/>
      <c r="H504" s="107"/>
      <c r="I504" s="107"/>
      <c r="J504" s="107"/>
      <c r="K504" s="107"/>
      <c r="L504" s="107"/>
      <c r="M504" s="107"/>
      <c r="N504" s="107"/>
      <c r="O504" s="107"/>
      <c r="P504" s="107"/>
      <c r="Q504" s="82"/>
    </row>
    <row r="505" spans="1:17" ht="14.45" customHeight="1" x14ac:dyDescent="0.2">
      <c r="A505" s="102"/>
      <c r="B505" s="102"/>
      <c r="C505" s="363" t="s">
        <v>757</v>
      </c>
      <c r="D505" s="637" t="s">
        <v>955</v>
      </c>
      <c r="E505" s="391"/>
      <c r="F505" s="359">
        <v>171923</v>
      </c>
      <c r="G505" s="107"/>
      <c r="H505" s="107"/>
      <c r="I505" s="107"/>
      <c r="J505" s="107"/>
      <c r="K505" s="107"/>
      <c r="L505" s="107">
        <f>53000+táj2!L505</f>
        <v>53000</v>
      </c>
      <c r="M505" s="107"/>
      <c r="N505" s="107"/>
      <c r="O505" s="107"/>
      <c r="P505" s="107"/>
      <c r="Q505" s="82">
        <f t="shared" si="32"/>
        <v>53000</v>
      </c>
    </row>
    <row r="506" spans="1:17" ht="28.9" customHeight="1" x14ac:dyDescent="0.2">
      <c r="A506" s="679"/>
      <c r="B506" s="679"/>
      <c r="C506" s="661" t="s">
        <v>1036</v>
      </c>
      <c r="D506" s="720" t="s">
        <v>1037</v>
      </c>
      <c r="E506" s="721"/>
      <c r="F506" s="663">
        <v>164954</v>
      </c>
      <c r="G506" s="680"/>
      <c r="H506" s="680"/>
      <c r="I506" s="107">
        <f>0+táj2!I506</f>
        <v>1905</v>
      </c>
      <c r="J506" s="107"/>
      <c r="K506" s="107"/>
      <c r="L506" s="107"/>
      <c r="M506" s="107">
        <f>21500+táj2!M506</f>
        <v>16442</v>
      </c>
      <c r="N506" s="680"/>
      <c r="O506" s="680"/>
      <c r="P506" s="680"/>
      <c r="Q506" s="82">
        <f t="shared" si="32"/>
        <v>18347</v>
      </c>
    </row>
    <row r="507" spans="1:17" ht="15.6" customHeight="1" x14ac:dyDescent="0.2">
      <c r="A507" s="102"/>
      <c r="B507" s="102"/>
      <c r="C507" s="402"/>
      <c r="D507" s="351" t="s">
        <v>868</v>
      </c>
      <c r="E507" s="391"/>
      <c r="F507" s="359"/>
      <c r="G507" s="107"/>
      <c r="H507" s="107"/>
      <c r="I507" s="107"/>
      <c r="J507" s="107"/>
      <c r="K507" s="107"/>
      <c r="L507" s="107"/>
      <c r="M507" s="107"/>
      <c r="N507" s="107"/>
      <c r="O507" s="107"/>
      <c r="P507" s="107"/>
      <c r="Q507" s="82"/>
    </row>
    <row r="508" spans="1:17" ht="27.75" customHeight="1" x14ac:dyDescent="0.2">
      <c r="A508" s="285"/>
      <c r="B508" s="285"/>
      <c r="C508" s="341" t="s">
        <v>537</v>
      </c>
      <c r="D508" s="365" t="s">
        <v>540</v>
      </c>
      <c r="E508" s="598"/>
      <c r="F508" s="598">
        <v>162633</v>
      </c>
      <c r="G508" s="107"/>
      <c r="H508" s="107"/>
      <c r="I508" s="107">
        <f>32574+táj2!I508</f>
        <v>24630</v>
      </c>
      <c r="J508" s="107"/>
      <c r="K508" s="107"/>
      <c r="L508" s="107">
        <f>23719+táj2!L508</f>
        <v>6613</v>
      </c>
      <c r="M508" s="107"/>
      <c r="N508" s="107"/>
      <c r="O508" s="107"/>
      <c r="P508" s="107"/>
      <c r="Q508" s="82">
        <f t="shared" si="32"/>
        <v>31243</v>
      </c>
    </row>
    <row r="509" spans="1:17" ht="28.9" customHeight="1" x14ac:dyDescent="0.2">
      <c r="A509" s="102"/>
      <c r="B509" s="102"/>
      <c r="C509" s="341" t="s">
        <v>538</v>
      </c>
      <c r="D509" s="365" t="s">
        <v>541</v>
      </c>
      <c r="E509" s="598"/>
      <c r="F509" s="598">
        <v>163631</v>
      </c>
      <c r="G509" s="107"/>
      <c r="H509" s="107"/>
      <c r="I509" s="107">
        <f>2000+táj2!I509</f>
        <v>2034</v>
      </c>
      <c r="J509" s="107"/>
      <c r="K509" s="107"/>
      <c r="L509" s="107">
        <f>5177+táj2!L509</f>
        <v>143</v>
      </c>
      <c r="M509" s="107"/>
      <c r="N509" s="107"/>
      <c r="O509" s="107"/>
      <c r="P509" s="107"/>
      <c r="Q509" s="82">
        <f t="shared" si="32"/>
        <v>2177</v>
      </c>
    </row>
    <row r="510" spans="1:17" ht="14.1" customHeight="1" x14ac:dyDescent="0.2">
      <c r="A510" s="244"/>
      <c r="B510" s="244"/>
      <c r="C510" s="245"/>
      <c r="D510" s="246" t="s">
        <v>542</v>
      </c>
      <c r="E510" s="247"/>
      <c r="F510" s="248"/>
      <c r="G510" s="249">
        <f t="shared" ref="G510:Q510" si="33">SUM(G394:G509)</f>
        <v>74818</v>
      </c>
      <c r="H510" s="249">
        <f t="shared" si="33"/>
        <v>10548</v>
      </c>
      <c r="I510" s="249">
        <f t="shared" si="33"/>
        <v>2789413</v>
      </c>
      <c r="J510" s="249">
        <f t="shared" si="33"/>
        <v>0</v>
      </c>
      <c r="K510" s="249">
        <f t="shared" si="33"/>
        <v>358961</v>
      </c>
      <c r="L510" s="249">
        <f t="shared" si="33"/>
        <v>8772910</v>
      </c>
      <c r="M510" s="249">
        <f t="shared" si="33"/>
        <v>4918730</v>
      </c>
      <c r="N510" s="249">
        <f t="shared" si="33"/>
        <v>78194</v>
      </c>
      <c r="O510" s="249">
        <f t="shared" si="33"/>
        <v>0</v>
      </c>
      <c r="P510" s="249">
        <f t="shared" si="33"/>
        <v>0</v>
      </c>
      <c r="Q510" s="249">
        <f t="shared" si="33"/>
        <v>17003574</v>
      </c>
    </row>
    <row r="511" spans="1:17" ht="15" customHeight="1" x14ac:dyDescent="0.2">
      <c r="A511" s="102">
        <v>1</v>
      </c>
      <c r="B511" s="102">
        <v>17</v>
      </c>
      <c r="C511" s="118"/>
      <c r="D511" s="146" t="s">
        <v>543</v>
      </c>
      <c r="E511" s="130"/>
      <c r="F511" s="82"/>
      <c r="G511" s="82"/>
      <c r="H511" s="107"/>
      <c r="I511" s="107"/>
      <c r="J511" s="107"/>
      <c r="K511" s="107"/>
      <c r="L511" s="107"/>
      <c r="M511" s="82"/>
      <c r="N511" s="82"/>
      <c r="O511" s="82"/>
      <c r="P511" s="82"/>
      <c r="Q511" s="82"/>
    </row>
    <row r="512" spans="1:17" ht="15" customHeight="1" x14ac:dyDescent="0.2">
      <c r="A512" s="102"/>
      <c r="B512" s="102"/>
      <c r="C512" s="118"/>
      <c r="D512" s="119" t="s">
        <v>197</v>
      </c>
      <c r="E512" s="134"/>
      <c r="F512" s="113"/>
      <c r="G512" s="82"/>
      <c r="H512" s="107"/>
      <c r="I512" s="107"/>
      <c r="J512" s="107"/>
      <c r="K512" s="107"/>
      <c r="L512" s="107"/>
      <c r="M512" s="82"/>
      <c r="N512" s="82"/>
      <c r="O512" s="82"/>
      <c r="P512" s="82"/>
      <c r="Q512" s="82"/>
    </row>
    <row r="513" spans="1:17" ht="15" customHeight="1" x14ac:dyDescent="0.2">
      <c r="A513" s="102"/>
      <c r="B513" s="102"/>
      <c r="C513" s="118"/>
      <c r="D513" s="116" t="s">
        <v>544</v>
      </c>
      <c r="E513" s="82">
        <v>1</v>
      </c>
      <c r="F513" s="82">
        <v>171905</v>
      </c>
      <c r="G513" s="82"/>
      <c r="H513" s="82"/>
      <c r="I513" s="82">
        <f>76141+táj2!I513</f>
        <v>76141</v>
      </c>
      <c r="J513" s="82"/>
      <c r="K513" s="82"/>
      <c r="L513" s="82"/>
      <c r="M513" s="82">
        <f>2350+táj2!M513</f>
        <v>2350</v>
      </c>
      <c r="N513" s="82"/>
      <c r="O513" s="82"/>
      <c r="P513" s="82"/>
      <c r="Q513" s="82">
        <f t="shared" ref="Q513:Q521" si="34">SUM(G513:P513)</f>
        <v>78491</v>
      </c>
    </row>
    <row r="514" spans="1:17" ht="15" customHeight="1" x14ac:dyDescent="0.2">
      <c r="A514" s="102"/>
      <c r="B514" s="102"/>
      <c r="C514" s="118"/>
      <c r="D514" s="116" t="s">
        <v>545</v>
      </c>
      <c r="E514" s="113">
        <v>1</v>
      </c>
      <c r="F514" s="82">
        <v>171920</v>
      </c>
      <c r="G514" s="82"/>
      <c r="H514" s="82"/>
      <c r="I514" s="82">
        <f>6687+táj2!I514</f>
        <v>6687</v>
      </c>
      <c r="J514" s="82"/>
      <c r="K514" s="82"/>
      <c r="L514" s="82"/>
      <c r="M514" s="82"/>
      <c r="N514" s="82"/>
      <c r="O514" s="82"/>
      <c r="P514" s="82"/>
      <c r="Q514" s="82">
        <f t="shared" si="34"/>
        <v>6687</v>
      </c>
    </row>
    <row r="515" spans="1:17" ht="15" customHeight="1" x14ac:dyDescent="0.2">
      <c r="A515" s="102"/>
      <c r="B515" s="102"/>
      <c r="C515" s="118"/>
      <c r="D515" s="123" t="s">
        <v>546</v>
      </c>
      <c r="E515" s="113">
        <v>1</v>
      </c>
      <c r="F515" s="82">
        <v>171956</v>
      </c>
      <c r="G515" s="82"/>
      <c r="H515" s="82"/>
      <c r="I515" s="82">
        <f>2027+táj2!I515</f>
        <v>2027</v>
      </c>
      <c r="J515" s="82"/>
      <c r="K515" s="82"/>
      <c r="L515" s="82"/>
      <c r="M515" s="82"/>
      <c r="N515" s="82"/>
      <c r="O515" s="82"/>
      <c r="P515" s="82"/>
      <c r="Q515" s="82">
        <f t="shared" si="34"/>
        <v>2027</v>
      </c>
    </row>
    <row r="516" spans="1:17" ht="15" customHeight="1" x14ac:dyDescent="0.2">
      <c r="A516" s="102"/>
      <c r="B516" s="102"/>
      <c r="C516" s="118"/>
      <c r="D516" s="123" t="s">
        <v>547</v>
      </c>
      <c r="E516" s="113">
        <v>1</v>
      </c>
      <c r="F516" s="82">
        <v>171958</v>
      </c>
      <c r="G516" s="82"/>
      <c r="H516" s="82"/>
      <c r="I516" s="82">
        <f>520+táj2!I516</f>
        <v>520</v>
      </c>
      <c r="J516" s="82"/>
      <c r="K516" s="82"/>
      <c r="L516" s="82"/>
      <c r="M516" s="82"/>
      <c r="N516" s="82"/>
      <c r="O516" s="82"/>
      <c r="P516" s="82"/>
      <c r="Q516" s="82">
        <f t="shared" si="34"/>
        <v>520</v>
      </c>
    </row>
    <row r="517" spans="1:17" ht="15" customHeight="1" x14ac:dyDescent="0.2">
      <c r="A517" s="102"/>
      <c r="B517" s="102"/>
      <c r="C517" s="118"/>
      <c r="D517" s="123" t="s">
        <v>548</v>
      </c>
      <c r="E517" s="113">
        <v>1</v>
      </c>
      <c r="F517" s="82">
        <v>171904</v>
      </c>
      <c r="G517" s="82"/>
      <c r="H517" s="82"/>
      <c r="I517" s="82">
        <f>2000+táj2!I517</f>
        <v>2000</v>
      </c>
      <c r="J517" s="82"/>
      <c r="K517" s="82"/>
      <c r="L517" s="82"/>
      <c r="M517" s="82"/>
      <c r="N517" s="82"/>
      <c r="O517" s="82"/>
      <c r="P517" s="82"/>
      <c r="Q517" s="82">
        <f t="shared" si="34"/>
        <v>2000</v>
      </c>
    </row>
    <row r="518" spans="1:17" ht="15" customHeight="1" x14ac:dyDescent="0.2">
      <c r="A518" s="102"/>
      <c r="B518" s="102"/>
      <c r="C518" s="118"/>
      <c r="D518" s="116" t="s">
        <v>549</v>
      </c>
      <c r="E518" s="82">
        <v>1</v>
      </c>
      <c r="F518" s="82">
        <v>171902</v>
      </c>
      <c r="G518" s="82"/>
      <c r="H518" s="82"/>
      <c r="I518" s="82">
        <f>46373+táj2!I518</f>
        <v>45495</v>
      </c>
      <c r="J518" s="82"/>
      <c r="K518" s="82"/>
      <c r="L518" s="82"/>
      <c r="M518" s="82"/>
      <c r="N518" s="82"/>
      <c r="O518" s="82"/>
      <c r="P518" s="82"/>
      <c r="Q518" s="82">
        <f t="shared" si="34"/>
        <v>45495</v>
      </c>
    </row>
    <row r="519" spans="1:17" ht="15" customHeight="1" x14ac:dyDescent="0.2">
      <c r="A519" s="102"/>
      <c r="B519" s="102"/>
      <c r="C519" s="118"/>
      <c r="D519" s="116" t="s">
        <v>550</v>
      </c>
      <c r="E519" s="82">
        <v>1</v>
      </c>
      <c r="F519" s="82">
        <v>171925</v>
      </c>
      <c r="G519" s="82"/>
      <c r="H519" s="82"/>
      <c r="I519" s="82">
        <f>1000+táj2!I519</f>
        <v>1000</v>
      </c>
      <c r="J519" s="82"/>
      <c r="K519" s="82"/>
      <c r="L519" s="82"/>
      <c r="M519" s="82"/>
      <c r="N519" s="82"/>
      <c r="O519" s="82"/>
      <c r="P519" s="82"/>
      <c r="Q519" s="82">
        <f t="shared" si="34"/>
        <v>1000</v>
      </c>
    </row>
    <row r="520" spans="1:17" ht="23.25" customHeight="1" x14ac:dyDescent="0.2">
      <c r="A520" s="679"/>
      <c r="B520" s="679"/>
      <c r="C520" s="661"/>
      <c r="D520" s="722" t="s">
        <v>1038</v>
      </c>
      <c r="E520" s="684">
        <v>1</v>
      </c>
      <c r="F520" s="663">
        <v>171987</v>
      </c>
      <c r="G520" s="663"/>
      <c r="H520" s="663"/>
      <c r="I520" s="82">
        <f>6000+táj2!I520</f>
        <v>6000</v>
      </c>
      <c r="J520" s="663"/>
      <c r="K520" s="663"/>
      <c r="L520" s="663"/>
      <c r="M520" s="663"/>
      <c r="N520" s="663"/>
      <c r="O520" s="663"/>
      <c r="P520" s="663"/>
      <c r="Q520" s="82">
        <f t="shared" si="34"/>
        <v>6000</v>
      </c>
    </row>
    <row r="521" spans="1:17" ht="23.25" customHeight="1" x14ac:dyDescent="0.2">
      <c r="A521" s="679"/>
      <c r="B521" s="679"/>
      <c r="C521" s="661"/>
      <c r="D521" s="722" t="s">
        <v>1089</v>
      </c>
      <c r="E521" s="684">
        <v>1</v>
      </c>
      <c r="F521" s="663">
        <v>172901</v>
      </c>
      <c r="G521" s="663"/>
      <c r="H521" s="663"/>
      <c r="I521" s="663"/>
      <c r="J521" s="663"/>
      <c r="K521" s="663"/>
      <c r="L521" s="663">
        <f>67405+táj2!L521</f>
        <v>67405</v>
      </c>
      <c r="M521" s="663"/>
      <c r="N521" s="663"/>
      <c r="O521" s="663"/>
      <c r="P521" s="663"/>
      <c r="Q521" s="82">
        <f t="shared" si="34"/>
        <v>67405</v>
      </c>
    </row>
    <row r="522" spans="1:17" ht="15" customHeight="1" x14ac:dyDescent="0.2">
      <c r="A522" s="102"/>
      <c r="B522" s="102"/>
      <c r="C522" s="102"/>
      <c r="D522" s="82" t="s">
        <v>551</v>
      </c>
      <c r="E522" s="130"/>
      <c r="F522" s="82"/>
      <c r="G522" s="82"/>
      <c r="H522" s="107"/>
      <c r="I522" s="82"/>
      <c r="J522" s="107"/>
      <c r="K522" s="107"/>
      <c r="L522" s="107"/>
      <c r="M522" s="82"/>
      <c r="N522" s="82"/>
      <c r="O522" s="82"/>
      <c r="P522" s="82"/>
      <c r="Q522" s="82"/>
    </row>
    <row r="523" spans="1:17" ht="15" customHeight="1" x14ac:dyDescent="0.2">
      <c r="A523" s="102"/>
      <c r="B523" s="102"/>
      <c r="C523" s="102"/>
      <c r="D523" s="82" t="s">
        <v>552</v>
      </c>
      <c r="E523" s="130">
        <v>1</v>
      </c>
      <c r="F523" s="82">
        <v>171954</v>
      </c>
      <c r="G523" s="82"/>
      <c r="H523" s="82"/>
      <c r="I523" s="82">
        <f>120+táj2!I523</f>
        <v>120</v>
      </c>
      <c r="J523" s="82"/>
      <c r="K523" s="82"/>
      <c r="L523" s="82"/>
      <c r="M523" s="82"/>
      <c r="N523" s="82"/>
      <c r="O523" s="82"/>
      <c r="P523" s="82"/>
      <c r="Q523" s="82">
        <f>SUM(G523:P523)</f>
        <v>120</v>
      </c>
    </row>
    <row r="524" spans="1:17" ht="15" customHeight="1" x14ac:dyDescent="0.2">
      <c r="A524" s="124"/>
      <c r="B524" s="124"/>
      <c r="C524" s="250"/>
      <c r="D524" s="126" t="s">
        <v>553</v>
      </c>
      <c r="E524" s="127"/>
      <c r="F524" s="128"/>
      <c r="G524" s="128">
        <f t="shared" ref="G524:Q524" si="35">SUM(G512:G523)</f>
        <v>0</v>
      </c>
      <c r="H524" s="128">
        <f t="shared" si="35"/>
        <v>0</v>
      </c>
      <c r="I524" s="128">
        <f t="shared" si="35"/>
        <v>139990</v>
      </c>
      <c r="J524" s="128">
        <f t="shared" si="35"/>
        <v>0</v>
      </c>
      <c r="K524" s="128">
        <f t="shared" si="35"/>
        <v>0</v>
      </c>
      <c r="L524" s="128">
        <f t="shared" si="35"/>
        <v>67405</v>
      </c>
      <c r="M524" s="128">
        <f t="shared" si="35"/>
        <v>2350</v>
      </c>
      <c r="N524" s="128">
        <f t="shared" si="35"/>
        <v>0</v>
      </c>
      <c r="O524" s="128">
        <f t="shared" si="35"/>
        <v>0</v>
      </c>
      <c r="P524" s="128">
        <f t="shared" si="35"/>
        <v>0</v>
      </c>
      <c r="Q524" s="128">
        <f t="shared" si="35"/>
        <v>209745</v>
      </c>
    </row>
    <row r="525" spans="1:17" ht="14.1" customHeight="1" x14ac:dyDescent="0.2">
      <c r="A525" s="129"/>
      <c r="B525" s="129"/>
      <c r="C525" s="142"/>
      <c r="D525" s="143" t="s">
        <v>554</v>
      </c>
      <c r="E525" s="131"/>
      <c r="F525" s="132"/>
      <c r="G525" s="132"/>
      <c r="H525" s="132"/>
      <c r="I525" s="132"/>
      <c r="J525" s="132"/>
      <c r="K525" s="132"/>
      <c r="L525" s="132"/>
      <c r="M525" s="132"/>
      <c r="N525" s="132"/>
      <c r="O525" s="132"/>
      <c r="P525" s="132"/>
      <c r="Q525" s="132"/>
    </row>
    <row r="526" spans="1:17" ht="27" customHeight="1" x14ac:dyDescent="0.2">
      <c r="A526" s="129"/>
      <c r="B526" s="129"/>
      <c r="C526" s="118" t="s">
        <v>86</v>
      </c>
      <c r="D526" s="251" t="s">
        <v>555</v>
      </c>
      <c r="E526" s="156"/>
      <c r="F526" s="157">
        <v>171980</v>
      </c>
      <c r="G526" s="82"/>
      <c r="H526" s="82"/>
      <c r="I526" s="82"/>
      <c r="J526" s="82"/>
      <c r="K526" s="82"/>
      <c r="L526" s="82"/>
      <c r="M526" s="82"/>
      <c r="N526" s="82">
        <f>53000+táj2!N526</f>
        <v>53000</v>
      </c>
      <c r="O526" s="82"/>
      <c r="P526" s="82"/>
      <c r="Q526" s="82">
        <f>SUM(G526:P526)</f>
        <v>53000</v>
      </c>
    </row>
    <row r="527" spans="1:17" ht="17.45" customHeight="1" x14ac:dyDescent="0.2">
      <c r="A527" s="487"/>
      <c r="B527" s="487"/>
      <c r="C527" s="409" t="s">
        <v>85</v>
      </c>
      <c r="D527" s="651" t="s">
        <v>977</v>
      </c>
      <c r="E527" s="652"/>
      <c r="F527" s="653">
        <v>162603</v>
      </c>
      <c r="G527" s="411"/>
      <c r="H527" s="411"/>
      <c r="I527" s="411"/>
      <c r="J527" s="411"/>
      <c r="K527" s="411"/>
      <c r="L527" s="82">
        <f>2700+táj2!L527</f>
        <v>2700</v>
      </c>
      <c r="M527" s="82"/>
      <c r="N527" s="82"/>
      <c r="O527" s="411"/>
      <c r="P527" s="411"/>
      <c r="Q527" s="82">
        <f>SUM(G527:P527)</f>
        <v>2700</v>
      </c>
    </row>
    <row r="528" spans="1:17" ht="15.95" customHeight="1" x14ac:dyDescent="0.2">
      <c r="A528" s="124"/>
      <c r="B528" s="124"/>
      <c r="C528" s="125"/>
      <c r="D528" s="126" t="s">
        <v>235</v>
      </c>
      <c r="E528" s="127"/>
      <c r="F528" s="128"/>
      <c r="G528" s="128">
        <f>SUM(G524:G527)</f>
        <v>0</v>
      </c>
      <c r="H528" s="128">
        <f t="shared" ref="H528:Q528" si="36">SUM(H524:H527)</f>
        <v>0</v>
      </c>
      <c r="I528" s="128">
        <f t="shared" si="36"/>
        <v>139990</v>
      </c>
      <c r="J528" s="128">
        <f t="shared" si="36"/>
        <v>0</v>
      </c>
      <c r="K528" s="128">
        <f t="shared" si="36"/>
        <v>0</v>
      </c>
      <c r="L528" s="128">
        <f t="shared" si="36"/>
        <v>70105</v>
      </c>
      <c r="M528" s="128">
        <f t="shared" si="36"/>
        <v>2350</v>
      </c>
      <c r="N528" s="128">
        <f t="shared" si="36"/>
        <v>53000</v>
      </c>
      <c r="O528" s="128">
        <f t="shared" si="36"/>
        <v>0</v>
      </c>
      <c r="P528" s="128">
        <f t="shared" si="36"/>
        <v>0</v>
      </c>
      <c r="Q528" s="128">
        <f t="shared" si="36"/>
        <v>265445</v>
      </c>
    </row>
    <row r="529" spans="1:17" ht="15" customHeight="1" x14ac:dyDescent="0.2">
      <c r="A529" s="102">
        <v>1</v>
      </c>
      <c r="B529" s="102">
        <v>18</v>
      </c>
      <c r="C529" s="118"/>
      <c r="D529" s="146" t="s">
        <v>556</v>
      </c>
      <c r="E529" s="131"/>
      <c r="F529" s="131"/>
      <c r="G529" s="82"/>
      <c r="H529" s="107"/>
      <c r="I529" s="107"/>
      <c r="J529" s="107"/>
      <c r="K529" s="107"/>
      <c r="L529" s="107"/>
      <c r="M529" s="82"/>
      <c r="N529" s="82"/>
      <c r="O529" s="82"/>
      <c r="P529" s="82"/>
      <c r="Q529" s="82"/>
    </row>
    <row r="530" spans="1:17" ht="15.75" customHeight="1" x14ac:dyDescent="0.2">
      <c r="A530" s="102"/>
      <c r="B530" s="102"/>
      <c r="C530" s="118"/>
      <c r="D530" s="116" t="s">
        <v>197</v>
      </c>
      <c r="E530" s="134"/>
      <c r="F530" s="134"/>
      <c r="G530" s="82"/>
      <c r="H530" s="107"/>
      <c r="I530" s="107"/>
      <c r="J530" s="107"/>
      <c r="K530" s="107"/>
      <c r="L530" s="107"/>
      <c r="M530" s="82"/>
      <c r="N530" s="82"/>
      <c r="O530" s="82"/>
      <c r="P530" s="82"/>
      <c r="Q530" s="82"/>
    </row>
    <row r="531" spans="1:17" ht="17.25" customHeight="1" x14ac:dyDescent="0.2">
      <c r="A531" s="102"/>
      <c r="B531" s="102"/>
      <c r="C531" s="118"/>
      <c r="D531" s="116" t="s">
        <v>557</v>
      </c>
      <c r="E531" s="82">
        <v>2</v>
      </c>
      <c r="F531" s="82">
        <v>181905</v>
      </c>
      <c r="G531" s="82"/>
      <c r="H531" s="82"/>
      <c r="I531" s="82">
        <f>30700+táj2!I531</f>
        <v>30700</v>
      </c>
      <c r="J531" s="82"/>
      <c r="K531" s="82"/>
      <c r="L531" s="82"/>
      <c r="M531" s="82"/>
      <c r="N531" s="82"/>
      <c r="O531" s="82"/>
      <c r="P531" s="82"/>
      <c r="Q531" s="82">
        <f>SUM(G531:P531)</f>
        <v>30700</v>
      </c>
    </row>
    <row r="532" spans="1:17" ht="27.75" customHeight="1" x14ac:dyDescent="0.2">
      <c r="A532" s="102"/>
      <c r="B532" s="102"/>
      <c r="C532" s="118"/>
      <c r="D532" s="123" t="s">
        <v>558</v>
      </c>
      <c r="E532" s="82">
        <v>1</v>
      </c>
      <c r="F532" s="82" t="s">
        <v>238</v>
      </c>
      <c r="G532" s="82"/>
      <c r="H532" s="82"/>
      <c r="I532" s="82">
        <f>75100+táj2!I532</f>
        <v>77840</v>
      </c>
      <c r="J532" s="82"/>
      <c r="K532" s="82"/>
      <c r="L532" s="82"/>
      <c r="M532" s="82"/>
      <c r="N532" s="82"/>
      <c r="O532" s="82"/>
      <c r="P532" s="82"/>
      <c r="Q532" s="82">
        <f>SUM(G532:P532)</f>
        <v>77840</v>
      </c>
    </row>
    <row r="533" spans="1:17" ht="14.1" customHeight="1" x14ac:dyDescent="0.2">
      <c r="A533" s="102"/>
      <c r="B533" s="102"/>
      <c r="C533" s="118"/>
      <c r="D533" s="116" t="s">
        <v>559</v>
      </c>
      <c r="E533" s="82">
        <v>1</v>
      </c>
      <c r="F533" s="82">
        <v>181906</v>
      </c>
      <c r="G533" s="82"/>
      <c r="H533" s="82"/>
      <c r="I533" s="82">
        <f>3552+táj2!I533</f>
        <v>4662</v>
      </c>
      <c r="J533" s="82"/>
      <c r="K533" s="82"/>
      <c r="L533" s="82"/>
      <c r="M533" s="82"/>
      <c r="N533" s="82"/>
      <c r="O533" s="82"/>
      <c r="P533" s="82"/>
      <c r="Q533" s="82">
        <f>SUM(G533:P533)</f>
        <v>4662</v>
      </c>
    </row>
    <row r="534" spans="1:17" ht="14.1" customHeight="1" x14ac:dyDescent="0.2">
      <c r="A534" s="102"/>
      <c r="B534" s="102"/>
      <c r="C534" s="118"/>
      <c r="D534" s="116" t="s">
        <v>707</v>
      </c>
      <c r="E534" s="82">
        <v>1</v>
      </c>
      <c r="F534" s="82">
        <v>181915</v>
      </c>
      <c r="G534" s="82"/>
      <c r="H534" s="82"/>
      <c r="I534" s="82">
        <f>2850+táj2!I534</f>
        <v>2850</v>
      </c>
      <c r="J534" s="82"/>
      <c r="K534" s="82"/>
      <c r="L534" s="82"/>
      <c r="M534" s="82"/>
      <c r="N534" s="82"/>
      <c r="O534" s="82"/>
      <c r="P534" s="82"/>
      <c r="Q534" s="82">
        <f>SUM(G534:P534)</f>
        <v>2850</v>
      </c>
    </row>
    <row r="535" spans="1:17" ht="15" customHeight="1" x14ac:dyDescent="0.2">
      <c r="A535" s="102"/>
      <c r="B535" s="102"/>
      <c r="C535" s="118"/>
      <c r="D535" s="119" t="s">
        <v>190</v>
      </c>
      <c r="E535" s="138"/>
      <c r="F535" s="138"/>
      <c r="G535" s="82"/>
      <c r="H535" s="82"/>
      <c r="I535" s="82"/>
      <c r="J535" s="82"/>
      <c r="K535" s="82"/>
      <c r="L535" s="82"/>
      <c r="M535" s="82"/>
      <c r="N535" s="82"/>
      <c r="O535" s="82"/>
      <c r="P535" s="82"/>
      <c r="Q535" s="82"/>
    </row>
    <row r="536" spans="1:17" ht="15" customHeight="1" x14ac:dyDescent="0.2">
      <c r="A536" s="102"/>
      <c r="B536" s="102"/>
      <c r="C536" s="118"/>
      <c r="D536" s="116" t="s">
        <v>560</v>
      </c>
      <c r="E536" s="122">
        <v>1</v>
      </c>
      <c r="F536" s="82">
        <v>221950</v>
      </c>
      <c r="G536" s="82">
        <f>394545+táj2!G536</f>
        <v>395245</v>
      </c>
      <c r="H536" s="82">
        <f>52134+táj2!H536</f>
        <v>52134</v>
      </c>
      <c r="I536" s="82">
        <f>1200+táj2!I536</f>
        <v>1200</v>
      </c>
      <c r="J536" s="82"/>
      <c r="K536" s="82"/>
      <c r="L536" s="82"/>
      <c r="M536" s="82"/>
      <c r="N536" s="82"/>
      <c r="O536" s="82"/>
      <c r="P536" s="82"/>
      <c r="Q536" s="158">
        <f>SUM(G536:P536)</f>
        <v>448579</v>
      </c>
    </row>
    <row r="537" spans="1:17" ht="30.6" customHeight="1" x14ac:dyDescent="0.2">
      <c r="A537" s="102"/>
      <c r="B537" s="102"/>
      <c r="C537" s="118"/>
      <c r="D537" s="123" t="s">
        <v>561</v>
      </c>
      <c r="E537" s="113">
        <v>1</v>
      </c>
      <c r="F537" s="82">
        <v>181907</v>
      </c>
      <c r="G537" s="82"/>
      <c r="H537" s="82"/>
      <c r="I537" s="82">
        <f>10745+táj2!I537</f>
        <v>10635</v>
      </c>
      <c r="J537" s="82"/>
      <c r="K537" s="82"/>
      <c r="L537" s="82"/>
      <c r="M537" s="82"/>
      <c r="N537" s="82"/>
      <c r="O537" s="82"/>
      <c r="P537" s="82"/>
      <c r="Q537" s="82">
        <f>SUM(G537:P537)</f>
        <v>10635</v>
      </c>
    </row>
    <row r="538" spans="1:17" ht="15" customHeight="1" x14ac:dyDescent="0.2">
      <c r="A538" s="341"/>
      <c r="B538" s="341"/>
      <c r="C538" s="363"/>
      <c r="D538" s="365" t="s">
        <v>956</v>
      </c>
      <c r="E538" s="355">
        <v>1</v>
      </c>
      <c r="F538" s="359">
        <v>181919</v>
      </c>
      <c r="G538" s="359"/>
      <c r="H538" s="359"/>
      <c r="I538" s="82">
        <f>25000+táj2!I538</f>
        <v>25000</v>
      </c>
      <c r="J538" s="359"/>
      <c r="K538" s="359"/>
      <c r="L538" s="359"/>
      <c r="M538" s="359"/>
      <c r="N538" s="359"/>
      <c r="O538" s="359"/>
      <c r="P538" s="359"/>
      <c r="Q538" s="82">
        <f>SUM(G538:P538)</f>
        <v>25000</v>
      </c>
    </row>
    <row r="539" spans="1:17" ht="15.75" customHeight="1" x14ac:dyDescent="0.2">
      <c r="A539" s="102"/>
      <c r="B539" s="102"/>
      <c r="C539" s="118"/>
      <c r="D539" s="116" t="s">
        <v>562</v>
      </c>
      <c r="E539" s="113"/>
      <c r="F539" s="113"/>
      <c r="G539" s="82"/>
      <c r="H539" s="82"/>
      <c r="I539" s="82"/>
      <c r="J539" s="82"/>
      <c r="K539" s="82"/>
      <c r="L539" s="82"/>
      <c r="M539" s="82"/>
      <c r="N539" s="82"/>
      <c r="O539" s="82"/>
      <c r="P539" s="82"/>
      <c r="Q539" s="82"/>
    </row>
    <row r="540" spans="1:17" ht="12.75" customHeight="1" x14ac:dyDescent="0.2">
      <c r="A540" s="102"/>
      <c r="B540" s="102"/>
      <c r="C540" s="118"/>
      <c r="D540" s="123" t="s">
        <v>563</v>
      </c>
      <c r="E540" s="113">
        <v>1</v>
      </c>
      <c r="F540" s="82">
        <v>181909</v>
      </c>
      <c r="G540" s="82"/>
      <c r="H540" s="82"/>
      <c r="I540" s="82">
        <f>0+táj2!I540</f>
        <v>0</v>
      </c>
      <c r="J540" s="82"/>
      <c r="K540" s="82">
        <f>2850+táj2!K540</f>
        <v>2850</v>
      </c>
      <c r="L540" s="82"/>
      <c r="M540" s="82"/>
      <c r="N540" s="82">
        <f>150+táj2!N540</f>
        <v>150</v>
      </c>
      <c r="O540" s="82"/>
      <c r="P540" s="82"/>
      <c r="Q540" s="82">
        <f>SUM(G540:P540)</f>
        <v>3000</v>
      </c>
    </row>
    <row r="541" spans="1:17" ht="12.75" customHeight="1" x14ac:dyDescent="0.2">
      <c r="A541" s="408"/>
      <c r="B541" s="408"/>
      <c r="C541" s="409"/>
      <c r="D541" s="546" t="s">
        <v>978</v>
      </c>
      <c r="E541" s="553">
        <v>1</v>
      </c>
      <c r="F541" s="411">
        <v>181920</v>
      </c>
      <c r="G541" s="411"/>
      <c r="H541" s="411"/>
      <c r="I541" s="82">
        <f>6950+táj2!I541</f>
        <v>6950</v>
      </c>
      <c r="J541" s="411"/>
      <c r="K541" s="411"/>
      <c r="L541" s="411"/>
      <c r="M541" s="411"/>
      <c r="N541" s="411"/>
      <c r="O541" s="411"/>
      <c r="P541" s="411"/>
      <c r="Q541" s="82">
        <f>SUM(G541:P541)</f>
        <v>6950</v>
      </c>
    </row>
    <row r="542" spans="1:17" ht="26.25" customHeight="1" x14ac:dyDescent="0.2">
      <c r="A542" s="102"/>
      <c r="B542" s="102"/>
      <c r="C542" s="118"/>
      <c r="D542" s="123" t="s">
        <v>564</v>
      </c>
      <c r="E542" s="138">
        <v>2</v>
      </c>
      <c r="F542" s="139">
        <v>191142</v>
      </c>
      <c r="G542" s="82"/>
      <c r="H542" s="82"/>
      <c r="I542" s="82"/>
      <c r="J542" s="82"/>
      <c r="K542" s="82">
        <f>1000+táj2!K542</f>
        <v>1000</v>
      </c>
      <c r="L542" s="82"/>
      <c r="M542" s="82"/>
      <c r="N542" s="82"/>
      <c r="O542" s="82"/>
      <c r="P542" s="82"/>
      <c r="Q542" s="82">
        <f>SUM(G542:P542)</f>
        <v>1000</v>
      </c>
    </row>
    <row r="543" spans="1:17" ht="29.25" customHeight="1" x14ac:dyDescent="0.2">
      <c r="A543" s="102"/>
      <c r="B543" s="102"/>
      <c r="C543" s="118"/>
      <c r="D543" s="123" t="s">
        <v>565</v>
      </c>
      <c r="E543" s="138">
        <v>2</v>
      </c>
      <c r="F543" s="139">
        <v>191154</v>
      </c>
      <c r="G543" s="82"/>
      <c r="H543" s="82"/>
      <c r="I543" s="82"/>
      <c r="J543" s="82"/>
      <c r="K543" s="82">
        <f>3500+táj2!K543</f>
        <v>3500</v>
      </c>
      <c r="L543" s="82"/>
      <c r="M543" s="82"/>
      <c r="N543" s="82"/>
      <c r="O543" s="82"/>
      <c r="P543" s="82"/>
      <c r="Q543" s="82">
        <f>SUM(G543:P543)</f>
        <v>3500</v>
      </c>
    </row>
    <row r="544" spans="1:17" ht="15" customHeight="1" x14ac:dyDescent="0.2">
      <c r="A544" s="341"/>
      <c r="B544" s="341"/>
      <c r="C544" s="363"/>
      <c r="D544" s="365" t="s">
        <v>957</v>
      </c>
      <c r="E544" s="367">
        <v>2</v>
      </c>
      <c r="F544" s="368">
        <v>191141</v>
      </c>
      <c r="G544" s="359"/>
      <c r="H544" s="359"/>
      <c r="I544" s="82"/>
      <c r="J544" s="359"/>
      <c r="K544" s="82">
        <f>8000+táj2!K544</f>
        <v>8000</v>
      </c>
      <c r="L544" s="359"/>
      <c r="M544" s="359"/>
      <c r="N544" s="359"/>
      <c r="O544" s="359"/>
      <c r="P544" s="359"/>
      <c r="Q544" s="82">
        <f>SUM(G544:P544)</f>
        <v>8000</v>
      </c>
    </row>
    <row r="545" spans="1:17" ht="16.149999999999999" customHeight="1" x14ac:dyDescent="0.2">
      <c r="A545" s="341"/>
      <c r="B545" s="341"/>
      <c r="C545" s="363"/>
      <c r="D545" s="403" t="s">
        <v>190</v>
      </c>
      <c r="E545" s="367"/>
      <c r="F545" s="368"/>
      <c r="G545" s="359"/>
      <c r="H545" s="359"/>
      <c r="I545" s="82"/>
      <c r="J545" s="359"/>
      <c r="K545" s="359"/>
      <c r="L545" s="359"/>
      <c r="M545" s="359"/>
      <c r="N545" s="359"/>
      <c r="O545" s="359"/>
      <c r="P545" s="359"/>
      <c r="Q545" s="82"/>
    </row>
    <row r="546" spans="1:17" ht="16.149999999999999" customHeight="1" x14ac:dyDescent="0.2">
      <c r="A546" s="341"/>
      <c r="B546" s="341"/>
      <c r="C546" s="363"/>
      <c r="D546" s="365" t="s">
        <v>758</v>
      </c>
      <c r="E546" s="367">
        <v>2</v>
      </c>
      <c r="F546" s="368">
        <v>181916</v>
      </c>
      <c r="G546" s="359"/>
      <c r="H546" s="359"/>
      <c r="I546" s="82">
        <f>48006+táj2!I546</f>
        <v>48006</v>
      </c>
      <c r="J546" s="359"/>
      <c r="K546" s="359"/>
      <c r="L546" s="359"/>
      <c r="M546" s="359"/>
      <c r="N546" s="359"/>
      <c r="O546" s="359"/>
      <c r="P546" s="359"/>
      <c r="Q546" s="82">
        <f t="shared" ref="Q546" si="37">SUM(G546:P546)</f>
        <v>48006</v>
      </c>
    </row>
    <row r="547" spans="1:17" ht="15" customHeight="1" x14ac:dyDescent="0.2">
      <c r="A547" s="102"/>
      <c r="B547" s="102"/>
      <c r="C547" s="118"/>
      <c r="D547" s="123" t="s">
        <v>566</v>
      </c>
      <c r="E547" s="113"/>
      <c r="F547" s="113"/>
      <c r="G547" s="82"/>
      <c r="H547" s="82"/>
      <c r="I547" s="82"/>
      <c r="J547" s="82"/>
      <c r="K547" s="82"/>
      <c r="L547" s="82"/>
      <c r="M547" s="82"/>
      <c r="N547" s="82"/>
      <c r="O547" s="82"/>
      <c r="P547" s="82"/>
      <c r="Q547" s="82"/>
    </row>
    <row r="548" spans="1:17" ht="15" customHeight="1" x14ac:dyDescent="0.2">
      <c r="A548" s="102"/>
      <c r="B548" s="102"/>
      <c r="C548" s="118"/>
      <c r="D548" s="123" t="s">
        <v>567</v>
      </c>
      <c r="E548" s="113">
        <v>1</v>
      </c>
      <c r="F548" s="82">
        <v>181902</v>
      </c>
      <c r="G548" s="82"/>
      <c r="H548" s="82"/>
      <c r="I548" s="82">
        <f>300+táj2!I548</f>
        <v>300</v>
      </c>
      <c r="J548" s="82"/>
      <c r="K548" s="82"/>
      <c r="L548" s="82"/>
      <c r="M548" s="82"/>
      <c r="N548" s="82"/>
      <c r="O548" s="82"/>
      <c r="P548" s="82"/>
      <c r="Q548" s="82">
        <f>SUM(G548:P548)</f>
        <v>300</v>
      </c>
    </row>
    <row r="549" spans="1:17" ht="15" customHeight="1" x14ac:dyDescent="0.2">
      <c r="A549" s="102"/>
      <c r="B549" s="102"/>
      <c r="C549" s="118"/>
      <c r="D549" s="123" t="s">
        <v>568</v>
      </c>
      <c r="E549" s="113">
        <v>1</v>
      </c>
      <c r="F549" s="82">
        <v>181903</v>
      </c>
      <c r="G549" s="82"/>
      <c r="H549" s="82"/>
      <c r="I549" s="82">
        <f>100+táj2!I549</f>
        <v>100</v>
      </c>
      <c r="J549" s="82"/>
      <c r="K549" s="82"/>
      <c r="L549" s="82"/>
      <c r="M549" s="82"/>
      <c r="N549" s="82"/>
      <c r="O549" s="82"/>
      <c r="P549" s="82"/>
      <c r="Q549" s="82">
        <f>SUM(G549:P549)</f>
        <v>100</v>
      </c>
    </row>
    <row r="550" spans="1:17" ht="14.1" customHeight="1" x14ac:dyDescent="0.2">
      <c r="A550" s="252"/>
      <c r="B550" s="252"/>
      <c r="C550" s="252"/>
      <c r="D550" s="116" t="s">
        <v>569</v>
      </c>
      <c r="E550" s="82">
        <v>1</v>
      </c>
      <c r="F550" s="82">
        <v>181904</v>
      </c>
      <c r="G550" s="82"/>
      <c r="H550" s="82"/>
      <c r="I550" s="82">
        <f>400+táj2!I550</f>
        <v>1425</v>
      </c>
      <c r="J550" s="82"/>
      <c r="K550" s="82"/>
      <c r="L550" s="82"/>
      <c r="M550" s="82"/>
      <c r="N550" s="82"/>
      <c r="O550" s="82"/>
      <c r="P550" s="82"/>
      <c r="Q550" s="82">
        <f>SUM(G550:P550)</f>
        <v>1425</v>
      </c>
    </row>
    <row r="551" spans="1:17" ht="15" customHeight="1" x14ac:dyDescent="0.2">
      <c r="A551" s="128"/>
      <c r="B551" s="128"/>
      <c r="C551" s="126"/>
      <c r="D551" s="126" t="s">
        <v>570</v>
      </c>
      <c r="E551" s="127"/>
      <c r="F551" s="127"/>
      <c r="G551" s="173">
        <f t="shared" ref="G551:Q551" si="38">SUM(G531:G550)</f>
        <v>395245</v>
      </c>
      <c r="H551" s="173">
        <f t="shared" si="38"/>
        <v>52134</v>
      </c>
      <c r="I551" s="173">
        <f t="shared" si="38"/>
        <v>209668</v>
      </c>
      <c r="J551" s="173">
        <f t="shared" si="38"/>
        <v>0</v>
      </c>
      <c r="K551" s="173">
        <f t="shared" si="38"/>
        <v>15350</v>
      </c>
      <c r="L551" s="173">
        <f t="shared" si="38"/>
        <v>0</v>
      </c>
      <c r="M551" s="173">
        <f t="shared" si="38"/>
        <v>0</v>
      </c>
      <c r="N551" s="173">
        <f t="shared" si="38"/>
        <v>150</v>
      </c>
      <c r="O551" s="173">
        <f t="shared" si="38"/>
        <v>0</v>
      </c>
      <c r="P551" s="173">
        <f t="shared" si="38"/>
        <v>0</v>
      </c>
      <c r="Q551" s="173">
        <f t="shared" si="38"/>
        <v>672547</v>
      </c>
    </row>
    <row r="552" spans="1:17" ht="15" customHeight="1" x14ac:dyDescent="0.2">
      <c r="A552" s="132"/>
      <c r="B552" s="132"/>
      <c r="C552" s="146"/>
      <c r="D552" s="143" t="s">
        <v>571</v>
      </c>
      <c r="E552" s="131"/>
      <c r="F552" s="131"/>
      <c r="G552" s="107"/>
      <c r="H552" s="107"/>
      <c r="I552" s="107"/>
      <c r="J552" s="107"/>
      <c r="K552" s="107"/>
      <c r="L552" s="107"/>
      <c r="M552" s="107"/>
      <c r="N552" s="107"/>
      <c r="O552" s="107"/>
      <c r="P552" s="107"/>
      <c r="Q552" s="107"/>
    </row>
    <row r="553" spans="1:17" ht="30" customHeight="1" x14ac:dyDescent="0.2">
      <c r="A553" s="132"/>
      <c r="B553" s="132"/>
      <c r="C553" s="394"/>
      <c r="D553" s="365" t="s">
        <v>1115</v>
      </c>
      <c r="E553" s="785"/>
      <c r="F553" s="82">
        <v>184902</v>
      </c>
      <c r="G553" s="159"/>
      <c r="H553" s="159"/>
      <c r="I553" s="159"/>
      <c r="J553" s="159"/>
      <c r="K553" s="159"/>
      <c r="L553" s="159"/>
      <c r="M553" s="159">
        <f>2606+táj2!M553</f>
        <v>2606</v>
      </c>
      <c r="N553" s="159"/>
      <c r="O553" s="159"/>
      <c r="P553" s="159"/>
      <c r="Q553" s="107">
        <f>SUM(G553:P553)</f>
        <v>2606</v>
      </c>
    </row>
    <row r="554" spans="1:17" ht="15.6" customHeight="1" x14ac:dyDescent="0.2">
      <c r="A554" s="132"/>
      <c r="B554" s="132"/>
      <c r="C554" s="394"/>
      <c r="D554" s="351" t="s">
        <v>868</v>
      </c>
      <c r="E554" s="466"/>
      <c r="F554" s="362"/>
      <c r="G554" s="159"/>
      <c r="H554" s="159"/>
      <c r="I554" s="159"/>
      <c r="J554" s="159"/>
      <c r="K554" s="159"/>
      <c r="L554" s="159"/>
      <c r="M554" s="159"/>
      <c r="N554" s="159"/>
      <c r="O554" s="159"/>
      <c r="P554" s="159"/>
      <c r="Q554" s="107"/>
    </row>
    <row r="555" spans="1:17" ht="15.6" customHeight="1" x14ac:dyDescent="0.2">
      <c r="A555" s="296"/>
      <c r="B555" s="296"/>
      <c r="C555" s="341" t="s">
        <v>294</v>
      </c>
      <c r="D555" s="467" t="s">
        <v>572</v>
      </c>
      <c r="E555" s="468"/>
      <c r="F555" s="291">
        <v>182905</v>
      </c>
      <c r="G555" s="159"/>
      <c r="H555" s="159"/>
      <c r="I555" s="159"/>
      <c r="J555" s="159"/>
      <c r="K555" s="159"/>
      <c r="L555" s="159">
        <f>19974+táj2!L555</f>
        <v>19974</v>
      </c>
      <c r="M555" s="159">
        <f>0+táj2!M555</f>
        <v>0</v>
      </c>
      <c r="N555" s="159"/>
      <c r="O555" s="159"/>
      <c r="P555" s="159"/>
      <c r="Q555" s="107">
        <f>SUM(G555:P555)</f>
        <v>19974</v>
      </c>
    </row>
    <row r="556" spans="1:17" ht="15" customHeight="1" x14ac:dyDescent="0.2">
      <c r="A556" s="128"/>
      <c r="B556" s="128"/>
      <c r="C556" s="126"/>
      <c r="D556" s="126" t="s">
        <v>573</v>
      </c>
      <c r="E556" s="127"/>
      <c r="F556" s="127"/>
      <c r="G556" s="173">
        <f t="shared" ref="G556:Q556" si="39">SUM(G551:G555)</f>
        <v>395245</v>
      </c>
      <c r="H556" s="173">
        <f t="shared" si="39"/>
        <v>52134</v>
      </c>
      <c r="I556" s="173">
        <f t="shared" si="39"/>
        <v>209668</v>
      </c>
      <c r="J556" s="173">
        <f t="shared" si="39"/>
        <v>0</v>
      </c>
      <c r="K556" s="173">
        <f t="shared" si="39"/>
        <v>15350</v>
      </c>
      <c r="L556" s="173">
        <f t="shared" si="39"/>
        <v>19974</v>
      </c>
      <c r="M556" s="173">
        <f t="shared" si="39"/>
        <v>2606</v>
      </c>
      <c r="N556" s="173">
        <f t="shared" si="39"/>
        <v>150</v>
      </c>
      <c r="O556" s="173">
        <f t="shared" si="39"/>
        <v>0</v>
      </c>
      <c r="P556" s="173">
        <f t="shared" si="39"/>
        <v>0</v>
      </c>
      <c r="Q556" s="173">
        <f t="shared" si="39"/>
        <v>695127</v>
      </c>
    </row>
    <row r="557" spans="1:17" ht="15" customHeight="1" x14ac:dyDescent="0.2">
      <c r="A557" s="102">
        <v>1</v>
      </c>
      <c r="B557" s="102">
        <v>19</v>
      </c>
      <c r="C557" s="118"/>
      <c r="D557" s="146" t="s">
        <v>574</v>
      </c>
      <c r="E557" s="130"/>
      <c r="F557" s="130"/>
      <c r="G557" s="82"/>
      <c r="H557" s="107"/>
      <c r="I557" s="107"/>
      <c r="J557" s="107"/>
      <c r="K557" s="107"/>
      <c r="L557" s="107"/>
      <c r="M557" s="82"/>
      <c r="N557" s="82"/>
      <c r="O557" s="82"/>
      <c r="P557" s="82"/>
      <c r="Q557" s="82"/>
    </row>
    <row r="558" spans="1:17" ht="15" customHeight="1" x14ac:dyDescent="0.2">
      <c r="A558" s="102"/>
      <c r="B558" s="102"/>
      <c r="C558" s="118"/>
      <c r="D558" s="115" t="s">
        <v>575</v>
      </c>
      <c r="E558" s="134"/>
      <c r="F558" s="134"/>
      <c r="G558" s="82"/>
      <c r="H558" s="107"/>
      <c r="I558" s="107"/>
      <c r="J558" s="107"/>
      <c r="K558" s="107"/>
      <c r="L558" s="107"/>
      <c r="M558" s="82"/>
      <c r="N558" s="82"/>
      <c r="O558" s="82"/>
      <c r="P558" s="82"/>
      <c r="Q558" s="82"/>
    </row>
    <row r="559" spans="1:17" ht="15" customHeight="1" x14ac:dyDescent="0.2">
      <c r="A559" s="102"/>
      <c r="B559" s="102"/>
      <c r="C559" s="118"/>
      <c r="D559" s="116" t="s">
        <v>958</v>
      </c>
      <c r="E559" s="113">
        <v>1</v>
      </c>
      <c r="F559" s="82">
        <v>191101</v>
      </c>
      <c r="G559" s="82"/>
      <c r="H559" s="82"/>
      <c r="I559" s="82"/>
      <c r="J559" s="82"/>
      <c r="K559" s="82">
        <f>30000+táj2!K559</f>
        <v>3344</v>
      </c>
      <c r="L559" s="82"/>
      <c r="M559" s="82"/>
      <c r="N559" s="82"/>
      <c r="O559" s="82"/>
      <c r="P559" s="82"/>
      <c r="Q559" s="82">
        <f>SUM(G559:P559)</f>
        <v>3344</v>
      </c>
    </row>
    <row r="560" spans="1:17" ht="15" customHeight="1" x14ac:dyDescent="0.2">
      <c r="A560" s="102"/>
      <c r="B560" s="102"/>
      <c r="C560" s="118"/>
      <c r="D560" s="116" t="s">
        <v>959</v>
      </c>
      <c r="E560" s="113">
        <v>1</v>
      </c>
      <c r="F560" s="82">
        <v>191901</v>
      </c>
      <c r="G560" s="82"/>
      <c r="H560" s="82"/>
      <c r="I560" s="82"/>
      <c r="J560" s="82"/>
      <c r="K560" s="82"/>
      <c r="L560" s="82"/>
      <c r="M560" s="82"/>
      <c r="N560" s="82"/>
      <c r="O560" s="82"/>
      <c r="P560" s="82">
        <f>200711+táj2!P560</f>
        <v>200711</v>
      </c>
      <c r="Q560" s="82">
        <f>SUM(G560:P560)</f>
        <v>200711</v>
      </c>
    </row>
    <row r="561" spans="1:17" ht="15" customHeight="1" x14ac:dyDescent="0.2">
      <c r="A561" s="102"/>
      <c r="B561" s="102"/>
      <c r="C561" s="118"/>
      <c r="D561" s="116" t="s">
        <v>576</v>
      </c>
      <c r="E561" s="113">
        <v>1</v>
      </c>
      <c r="F561" s="82">
        <v>191901</v>
      </c>
      <c r="G561" s="82"/>
      <c r="H561" s="82"/>
      <c r="I561" s="82"/>
      <c r="J561" s="82"/>
      <c r="K561" s="82">
        <f>2263242+táj2!K561</f>
        <v>2263242</v>
      </c>
      <c r="L561" s="82"/>
      <c r="M561" s="82"/>
      <c r="N561" s="82"/>
      <c r="O561" s="82"/>
      <c r="P561" s="82"/>
      <c r="Q561" s="82">
        <f>SUM(G561:P561)</f>
        <v>2263242</v>
      </c>
    </row>
    <row r="562" spans="1:17" ht="15" customHeight="1" x14ac:dyDescent="0.2">
      <c r="A562" s="408"/>
      <c r="B562" s="408"/>
      <c r="C562" s="409"/>
      <c r="D562" s="544" t="s">
        <v>979</v>
      </c>
      <c r="E562" s="553">
        <v>1</v>
      </c>
      <c r="F562" s="411">
        <v>191901</v>
      </c>
      <c r="G562" s="411"/>
      <c r="H562" s="411"/>
      <c r="I562" s="411"/>
      <c r="J562" s="411"/>
      <c r="K562" s="411"/>
      <c r="L562" s="411"/>
      <c r="M562" s="411"/>
      <c r="N562" s="411"/>
      <c r="O562" s="411"/>
      <c r="P562" s="82">
        <f>376316+táj2!P562</f>
        <v>376316</v>
      </c>
      <c r="Q562" s="82">
        <f>SUM(G562:P562)</f>
        <v>376316</v>
      </c>
    </row>
    <row r="563" spans="1:17" ht="15" customHeight="1" x14ac:dyDescent="0.2">
      <c r="A563" s="102"/>
      <c r="B563" s="102"/>
      <c r="C563" s="118"/>
      <c r="D563" s="119" t="s">
        <v>190</v>
      </c>
      <c r="E563" s="138"/>
      <c r="F563" s="138"/>
      <c r="G563" s="82"/>
      <c r="H563" s="82"/>
      <c r="I563" s="82"/>
      <c r="J563" s="82"/>
      <c r="K563" s="82"/>
      <c r="L563" s="82"/>
      <c r="M563" s="82"/>
      <c r="N563" s="82"/>
      <c r="O563" s="82"/>
      <c r="P563" s="82"/>
      <c r="Q563" s="82"/>
    </row>
    <row r="564" spans="1:17" ht="15" customHeight="1" x14ac:dyDescent="0.2">
      <c r="A564" s="102"/>
      <c r="B564" s="102"/>
      <c r="C564" s="118"/>
      <c r="D564" s="116" t="s">
        <v>833</v>
      </c>
      <c r="E564" s="113">
        <v>1</v>
      </c>
      <c r="F564" s="82">
        <v>191102</v>
      </c>
      <c r="G564" s="82"/>
      <c r="H564" s="82"/>
      <c r="I564" s="82">
        <f>42500+táj2!I564</f>
        <v>46500</v>
      </c>
      <c r="J564" s="82"/>
      <c r="K564" s="82"/>
      <c r="L564" s="82"/>
      <c r="M564" s="82"/>
      <c r="N564" s="82"/>
      <c r="O564" s="82"/>
      <c r="P564" s="82"/>
      <c r="Q564" s="82">
        <f t="shared" ref="Q564:Q567" si="40">SUM(G564:P564)</f>
        <v>46500</v>
      </c>
    </row>
    <row r="565" spans="1:17" ht="15" customHeight="1" x14ac:dyDescent="0.2">
      <c r="A565" s="102"/>
      <c r="B565" s="102"/>
      <c r="C565" s="118"/>
      <c r="D565" s="116" t="s">
        <v>577</v>
      </c>
      <c r="E565" s="82">
        <v>1</v>
      </c>
      <c r="F565" s="82">
        <v>191103</v>
      </c>
      <c r="G565" s="82"/>
      <c r="H565" s="82"/>
      <c r="I565" s="82">
        <f>428375+táj2!I565</f>
        <v>449775</v>
      </c>
      <c r="J565" s="82"/>
      <c r="K565" s="82"/>
      <c r="L565" s="82"/>
      <c r="M565" s="82"/>
      <c r="N565" s="82"/>
      <c r="O565" s="82"/>
      <c r="P565" s="82"/>
      <c r="Q565" s="82">
        <f t="shared" si="40"/>
        <v>449775</v>
      </c>
    </row>
    <row r="566" spans="1:17" ht="15" customHeight="1" x14ac:dyDescent="0.2">
      <c r="A566" s="102"/>
      <c r="B566" s="102"/>
      <c r="C566" s="118"/>
      <c r="D566" s="116" t="s">
        <v>578</v>
      </c>
      <c r="E566" s="82">
        <v>1</v>
      </c>
      <c r="F566" s="82">
        <v>191105</v>
      </c>
      <c r="G566" s="82"/>
      <c r="H566" s="82"/>
      <c r="I566" s="82">
        <f>5760+táj2!I566</f>
        <v>5760</v>
      </c>
      <c r="J566" s="82"/>
      <c r="K566" s="82"/>
      <c r="L566" s="82"/>
      <c r="M566" s="82"/>
      <c r="N566" s="82"/>
      <c r="O566" s="82"/>
      <c r="P566" s="82"/>
      <c r="Q566" s="82">
        <f t="shared" si="40"/>
        <v>5760</v>
      </c>
    </row>
    <row r="567" spans="1:17" ht="15" customHeight="1" x14ac:dyDescent="0.2">
      <c r="A567" s="102"/>
      <c r="B567" s="102"/>
      <c r="C567" s="118"/>
      <c r="D567" s="116" t="s">
        <v>579</v>
      </c>
      <c r="E567" s="82">
        <v>1</v>
      </c>
      <c r="F567" s="82">
        <v>196901</v>
      </c>
      <c r="G567" s="82"/>
      <c r="H567" s="82"/>
      <c r="I567" s="82">
        <f>684+táj2!I567</f>
        <v>684</v>
      </c>
      <c r="J567" s="82"/>
      <c r="K567" s="82"/>
      <c r="L567" s="82"/>
      <c r="M567" s="82"/>
      <c r="N567" s="82">
        <f>9000+táj2!N567</f>
        <v>9000</v>
      </c>
      <c r="O567" s="82"/>
      <c r="P567" s="82"/>
      <c r="Q567" s="82">
        <f t="shared" si="40"/>
        <v>9684</v>
      </c>
    </row>
    <row r="568" spans="1:17" ht="15" customHeight="1" x14ac:dyDescent="0.2">
      <c r="A568" s="102"/>
      <c r="B568" s="102"/>
      <c r="C568" s="118"/>
      <c r="D568" s="116" t="s">
        <v>197</v>
      </c>
      <c r="E568" s="82"/>
      <c r="F568" s="82"/>
      <c r="G568" s="82"/>
      <c r="H568" s="82"/>
      <c r="I568" s="82"/>
      <c r="J568" s="82"/>
      <c r="K568" s="82"/>
      <c r="L568" s="82"/>
      <c r="M568" s="82"/>
      <c r="N568" s="82"/>
      <c r="O568" s="82"/>
      <c r="P568" s="82"/>
      <c r="Q568" s="82"/>
    </row>
    <row r="569" spans="1:17" ht="15" customHeight="1" x14ac:dyDescent="0.2">
      <c r="A569" s="102"/>
      <c r="B569" s="102"/>
      <c r="C569" s="118"/>
      <c r="D569" s="116" t="s">
        <v>580</v>
      </c>
      <c r="E569" s="82">
        <v>1</v>
      </c>
      <c r="F569" s="82">
        <v>191104</v>
      </c>
      <c r="G569" s="82"/>
      <c r="H569" s="82"/>
      <c r="I569" s="82">
        <f>10000+táj2!I569</f>
        <v>10000</v>
      </c>
      <c r="J569" s="82"/>
      <c r="K569" s="82"/>
      <c r="L569" s="82"/>
      <c r="M569" s="82"/>
      <c r="N569" s="82"/>
      <c r="O569" s="82"/>
      <c r="P569" s="82"/>
      <c r="Q569" s="82">
        <f>SUM(G569:P569)</f>
        <v>10000</v>
      </c>
    </row>
    <row r="570" spans="1:17" ht="14.1" customHeight="1" x14ac:dyDescent="0.2">
      <c r="A570" s="102"/>
      <c r="B570" s="102"/>
      <c r="C570" s="118"/>
      <c r="D570" s="120" t="s">
        <v>581</v>
      </c>
      <c r="E570" s="82"/>
      <c r="F570" s="82"/>
      <c r="G570" s="82"/>
      <c r="H570" s="82"/>
      <c r="I570" s="82"/>
      <c r="J570" s="82"/>
      <c r="K570" s="82"/>
      <c r="L570" s="82"/>
      <c r="M570" s="82"/>
      <c r="N570" s="82"/>
      <c r="O570" s="82"/>
      <c r="P570" s="82"/>
      <c r="Q570" s="82"/>
    </row>
    <row r="571" spans="1:17" ht="14.1" customHeight="1" x14ac:dyDescent="0.2">
      <c r="A571" s="102"/>
      <c r="B571" s="102"/>
      <c r="C571" s="118"/>
      <c r="D571" s="116" t="s">
        <v>582</v>
      </c>
      <c r="E571" s="82">
        <v>2</v>
      </c>
      <c r="F571" s="82">
        <v>191109</v>
      </c>
      <c r="G571" s="82"/>
      <c r="H571" s="82"/>
      <c r="I571" s="82"/>
      <c r="J571" s="82"/>
      <c r="K571" s="82">
        <f>4000+táj2!K571</f>
        <v>4000</v>
      </c>
      <c r="L571" s="82"/>
      <c r="M571" s="82"/>
      <c r="N571" s="82"/>
      <c r="O571" s="82"/>
      <c r="P571" s="82"/>
      <c r="Q571" s="82">
        <f>SUM(G571:P571)</f>
        <v>4000</v>
      </c>
    </row>
    <row r="572" spans="1:17" ht="14.1" customHeight="1" x14ac:dyDescent="0.2">
      <c r="A572" s="341"/>
      <c r="B572" s="341"/>
      <c r="C572" s="363"/>
      <c r="D572" s="351" t="s">
        <v>960</v>
      </c>
      <c r="E572" s="359">
        <v>2</v>
      </c>
      <c r="F572" s="359">
        <v>191146</v>
      </c>
      <c r="G572" s="359"/>
      <c r="H572" s="359"/>
      <c r="I572" s="82"/>
      <c r="J572" s="359"/>
      <c r="K572" s="82">
        <f>1500+táj2!K572</f>
        <v>1500</v>
      </c>
      <c r="L572" s="359"/>
      <c r="M572" s="359"/>
      <c r="N572" s="359"/>
      <c r="O572" s="359"/>
      <c r="P572" s="359"/>
      <c r="Q572" s="82">
        <f>SUM(G572:P572)</f>
        <v>1500</v>
      </c>
    </row>
    <row r="573" spans="1:17" ht="15" customHeight="1" x14ac:dyDescent="0.2">
      <c r="A573" s="102"/>
      <c r="B573" s="102"/>
      <c r="C573" s="118"/>
      <c r="D573" s="119" t="s">
        <v>190</v>
      </c>
      <c r="E573" s="138"/>
      <c r="F573" s="138"/>
      <c r="G573" s="82"/>
      <c r="H573" s="82"/>
      <c r="I573" s="82"/>
      <c r="J573" s="82"/>
      <c r="K573" s="82"/>
      <c r="L573" s="82"/>
      <c r="M573" s="82"/>
      <c r="N573" s="82"/>
      <c r="O573" s="82"/>
      <c r="P573" s="82"/>
      <c r="Q573" s="82"/>
    </row>
    <row r="574" spans="1:17" ht="17.25" customHeight="1" x14ac:dyDescent="0.2">
      <c r="A574" s="102"/>
      <c r="B574" s="102"/>
      <c r="C574" s="118"/>
      <c r="D574" s="135" t="s">
        <v>585</v>
      </c>
      <c r="E574" s="113">
        <v>1</v>
      </c>
      <c r="F574" s="82">
        <v>191905</v>
      </c>
      <c r="G574" s="82"/>
      <c r="H574" s="82"/>
      <c r="I574" s="82"/>
      <c r="J574" s="82"/>
      <c r="K574" s="82">
        <f>810068+táj2!K574</f>
        <v>845854</v>
      </c>
      <c r="L574" s="82"/>
      <c r="M574" s="82"/>
      <c r="N574" s="82"/>
      <c r="O574" s="82"/>
      <c r="P574" s="82"/>
      <c r="Q574" s="82">
        <f>SUM(G574:P574)</f>
        <v>845854</v>
      </c>
    </row>
    <row r="575" spans="1:17" ht="15" customHeight="1" x14ac:dyDescent="0.2">
      <c r="A575" s="102"/>
      <c r="B575" s="102"/>
      <c r="C575" s="118"/>
      <c r="D575" s="119" t="s">
        <v>190</v>
      </c>
      <c r="E575" s="138"/>
      <c r="F575" s="138"/>
      <c r="G575" s="82"/>
      <c r="H575" s="82"/>
      <c r="I575" s="82"/>
      <c r="J575" s="82"/>
      <c r="K575" s="82"/>
      <c r="L575" s="82"/>
      <c r="M575" s="82"/>
      <c r="N575" s="82"/>
      <c r="O575" s="82"/>
      <c r="P575" s="82"/>
      <c r="Q575" s="82"/>
    </row>
    <row r="576" spans="1:17" ht="16.149999999999999" customHeight="1" x14ac:dyDescent="0.2">
      <c r="A576" s="102"/>
      <c r="B576" s="102"/>
      <c r="C576" s="118"/>
      <c r="D576" s="116" t="s">
        <v>586</v>
      </c>
      <c r="E576" s="82">
        <v>1</v>
      </c>
      <c r="F576" s="82">
        <v>191121</v>
      </c>
      <c r="G576" s="82"/>
      <c r="H576" s="82"/>
      <c r="I576" s="82">
        <f>5000+táj2!I576</f>
        <v>3300</v>
      </c>
      <c r="J576" s="82"/>
      <c r="K576" s="82"/>
      <c r="L576" s="82"/>
      <c r="M576" s="82"/>
      <c r="N576" s="82"/>
      <c r="O576" s="82"/>
      <c r="P576" s="82"/>
      <c r="Q576" s="82">
        <f>SUM(G576:P576)</f>
        <v>3300</v>
      </c>
    </row>
    <row r="577" spans="1:17" ht="21" customHeight="1" x14ac:dyDescent="0.2">
      <c r="A577" s="102"/>
      <c r="B577" s="102"/>
      <c r="C577" s="118"/>
      <c r="D577" s="123" t="s">
        <v>244</v>
      </c>
      <c r="E577" s="138"/>
      <c r="F577" s="138"/>
      <c r="G577" s="82"/>
      <c r="H577" s="82"/>
      <c r="I577" s="82"/>
      <c r="J577" s="82"/>
      <c r="K577" s="82"/>
      <c r="L577" s="82"/>
      <c r="M577" s="82"/>
      <c r="N577" s="82"/>
      <c r="O577" s="82"/>
      <c r="P577" s="82"/>
      <c r="Q577" s="82"/>
    </row>
    <row r="578" spans="1:17" ht="26.25" customHeight="1" x14ac:dyDescent="0.2">
      <c r="A578" s="102"/>
      <c r="B578" s="102"/>
      <c r="C578" s="118"/>
      <c r="D578" s="123" t="s">
        <v>587</v>
      </c>
      <c r="E578" s="138">
        <v>1</v>
      </c>
      <c r="F578" s="139">
        <v>191152</v>
      </c>
      <c r="G578" s="82"/>
      <c r="H578" s="82"/>
      <c r="I578" s="82">
        <f>79109+táj2!I578</f>
        <v>79109</v>
      </c>
      <c r="J578" s="82"/>
      <c r="K578" s="82"/>
      <c r="L578" s="82"/>
      <c r="M578" s="82"/>
      <c r="N578" s="82"/>
      <c r="O578" s="82">
        <f>117852+táj2!O578</f>
        <v>117852</v>
      </c>
      <c r="P578" s="82"/>
      <c r="Q578" s="82">
        <f>SUM(G578:P578)</f>
        <v>196961</v>
      </c>
    </row>
    <row r="579" spans="1:17" ht="16.149999999999999" customHeight="1" x14ac:dyDescent="0.2">
      <c r="A579" s="102"/>
      <c r="B579" s="102"/>
      <c r="C579" s="118"/>
      <c r="D579" s="139" t="s">
        <v>834</v>
      </c>
      <c r="E579" s="138">
        <v>2</v>
      </c>
      <c r="F579" s="139">
        <v>196919</v>
      </c>
      <c r="G579" s="82"/>
      <c r="H579" s="82"/>
      <c r="I579" s="82">
        <f>101000+táj2!I579</f>
        <v>101000</v>
      </c>
      <c r="J579" s="82"/>
      <c r="K579" s="82"/>
      <c r="L579" s="82"/>
      <c r="M579" s="82"/>
      <c r="N579" s="82"/>
      <c r="O579" s="82"/>
      <c r="P579" s="82">
        <f>5000000+táj2!P579</f>
        <v>5000000</v>
      </c>
      <c r="Q579" s="82">
        <f>SUM(G579:P579)</f>
        <v>5101000</v>
      </c>
    </row>
    <row r="580" spans="1:17" ht="16.149999999999999" customHeight="1" x14ac:dyDescent="0.2">
      <c r="A580" s="679"/>
      <c r="B580" s="679"/>
      <c r="C580" s="661"/>
      <c r="D580" s="722" t="s">
        <v>1002</v>
      </c>
      <c r="E580" s="706"/>
      <c r="F580" s="678"/>
      <c r="G580" s="663"/>
      <c r="H580" s="663"/>
      <c r="I580" s="82"/>
      <c r="J580" s="663"/>
      <c r="K580" s="663"/>
      <c r="L580" s="663"/>
      <c r="M580" s="663"/>
      <c r="N580" s="663"/>
      <c r="O580" s="663"/>
      <c r="P580" s="663"/>
      <c r="Q580" s="82"/>
    </row>
    <row r="581" spans="1:17" ht="27.6" customHeight="1" x14ac:dyDescent="0.2">
      <c r="A581" s="679"/>
      <c r="B581" s="679"/>
      <c r="C581" s="661"/>
      <c r="D581" s="722" t="s">
        <v>1039</v>
      </c>
      <c r="E581" s="684">
        <v>1</v>
      </c>
      <c r="F581" s="684">
        <v>191909</v>
      </c>
      <c r="G581" s="663"/>
      <c r="H581" s="663"/>
      <c r="I581" s="82"/>
      <c r="J581" s="82"/>
      <c r="K581" s="82">
        <f>20231+táj2!K581</f>
        <v>20231</v>
      </c>
      <c r="L581" s="663"/>
      <c r="M581" s="663"/>
      <c r="N581" s="663"/>
      <c r="O581" s="663"/>
      <c r="P581" s="663"/>
      <c r="Q581" s="82">
        <f t="shared" ref="Q581:Q583" si="41">SUM(G581:P581)</f>
        <v>20231</v>
      </c>
    </row>
    <row r="582" spans="1:17" ht="27.6" customHeight="1" x14ac:dyDescent="0.2">
      <c r="A582" s="102"/>
      <c r="B582" s="102"/>
      <c r="C582" s="363"/>
      <c r="D582" s="365" t="s">
        <v>1116</v>
      </c>
      <c r="E582" s="82"/>
      <c r="F582" s="783">
        <v>191158</v>
      </c>
      <c r="G582" s="82"/>
      <c r="H582" s="82"/>
      <c r="I582" s="82"/>
      <c r="J582" s="82"/>
      <c r="K582" s="82">
        <f>11000+táj2!K582</f>
        <v>11000</v>
      </c>
      <c r="L582" s="82"/>
      <c r="M582" s="82"/>
      <c r="N582" s="82"/>
      <c r="O582" s="82"/>
      <c r="P582" s="82"/>
      <c r="Q582" s="82">
        <f t="shared" si="41"/>
        <v>11000</v>
      </c>
    </row>
    <row r="583" spans="1:17" ht="27.6" customHeight="1" x14ac:dyDescent="0.2">
      <c r="A583" s="102"/>
      <c r="B583" s="102"/>
      <c r="C583" s="363"/>
      <c r="D583" s="365" t="s">
        <v>1117</v>
      </c>
      <c r="E583" s="82"/>
      <c r="F583" s="783">
        <v>191135</v>
      </c>
      <c r="G583" s="82"/>
      <c r="H583" s="82"/>
      <c r="I583" s="82"/>
      <c r="J583" s="82"/>
      <c r="K583" s="82">
        <f>15000+táj2!K583</f>
        <v>15000</v>
      </c>
      <c r="L583" s="82"/>
      <c r="M583" s="82"/>
      <c r="N583" s="82"/>
      <c r="O583" s="82"/>
      <c r="P583" s="82"/>
      <c r="Q583" s="82">
        <f t="shared" si="41"/>
        <v>15000</v>
      </c>
    </row>
    <row r="584" spans="1:17" ht="17.100000000000001" customHeight="1" x14ac:dyDescent="0.2">
      <c r="A584" s="102"/>
      <c r="B584" s="102"/>
      <c r="C584" s="118"/>
      <c r="D584" s="116" t="s">
        <v>588</v>
      </c>
      <c r="E584" s="82"/>
      <c r="F584" s="161"/>
      <c r="G584" s="82"/>
      <c r="H584" s="82"/>
      <c r="I584" s="82"/>
      <c r="J584" s="82"/>
      <c r="K584" s="82"/>
      <c r="L584" s="82"/>
      <c r="M584" s="82"/>
      <c r="N584" s="82"/>
      <c r="O584" s="82"/>
      <c r="P584" s="82"/>
      <c r="Q584" s="82"/>
    </row>
    <row r="585" spans="1:17" ht="17.100000000000001" customHeight="1" x14ac:dyDescent="0.2">
      <c r="A585" s="102"/>
      <c r="B585" s="102"/>
      <c r="C585" s="118"/>
      <c r="D585" s="116" t="s">
        <v>589</v>
      </c>
      <c r="E585" s="82">
        <v>2</v>
      </c>
      <c r="F585" s="162" t="s">
        <v>590</v>
      </c>
      <c r="G585" s="82"/>
      <c r="H585" s="82"/>
      <c r="I585" s="82"/>
      <c r="J585" s="82"/>
      <c r="K585" s="82">
        <f>2236+táj2!K585</f>
        <v>2236</v>
      </c>
      <c r="L585" s="82"/>
      <c r="M585" s="82"/>
      <c r="N585" s="82"/>
      <c r="O585" s="82"/>
      <c r="P585" s="82"/>
      <c r="Q585" s="82">
        <f>SUM(G585:P585)</f>
        <v>2236</v>
      </c>
    </row>
    <row r="586" spans="1:17" ht="17.100000000000001" customHeight="1" x14ac:dyDescent="0.2">
      <c r="A586" s="124"/>
      <c r="B586" s="124"/>
      <c r="C586" s="125"/>
      <c r="D586" s="126" t="s">
        <v>591</v>
      </c>
      <c r="E586" s="127"/>
      <c r="F586" s="127"/>
      <c r="G586" s="128">
        <f t="shared" ref="G586:Q586" si="42">SUM(G557:G585)</f>
        <v>0</v>
      </c>
      <c r="H586" s="128">
        <f t="shared" si="42"/>
        <v>0</v>
      </c>
      <c r="I586" s="128">
        <f t="shared" si="42"/>
        <v>696128</v>
      </c>
      <c r="J586" s="128">
        <f t="shared" si="42"/>
        <v>0</v>
      </c>
      <c r="K586" s="128">
        <f t="shared" si="42"/>
        <v>3166407</v>
      </c>
      <c r="L586" s="128">
        <f t="shared" si="42"/>
        <v>0</v>
      </c>
      <c r="M586" s="128">
        <f t="shared" si="42"/>
        <v>0</v>
      </c>
      <c r="N586" s="128">
        <f t="shared" si="42"/>
        <v>9000</v>
      </c>
      <c r="O586" s="128">
        <f t="shared" si="42"/>
        <v>117852</v>
      </c>
      <c r="P586" s="128">
        <f t="shared" si="42"/>
        <v>5577027</v>
      </c>
      <c r="Q586" s="128">
        <f t="shared" si="42"/>
        <v>9566414</v>
      </c>
    </row>
    <row r="587" spans="1:17" ht="17.100000000000001" customHeight="1" x14ac:dyDescent="0.2">
      <c r="A587" s="129"/>
      <c r="B587" s="129"/>
      <c r="C587" s="142"/>
      <c r="D587" s="143" t="s">
        <v>571</v>
      </c>
      <c r="E587" s="131"/>
      <c r="F587" s="131"/>
      <c r="G587" s="132"/>
      <c r="H587" s="132"/>
      <c r="I587" s="132"/>
      <c r="J587" s="132"/>
      <c r="K587" s="132"/>
      <c r="L587" s="132"/>
      <c r="M587" s="132"/>
      <c r="N587" s="132"/>
      <c r="O587" s="132"/>
      <c r="P587" s="132"/>
      <c r="Q587" s="132"/>
    </row>
    <row r="588" spans="1:17" ht="30.75" customHeight="1" x14ac:dyDescent="0.2">
      <c r="A588" s="129"/>
      <c r="B588" s="102"/>
      <c r="C588" s="363"/>
      <c r="D588" s="365" t="s">
        <v>1118</v>
      </c>
      <c r="E588" s="336"/>
      <c r="F588" s="783">
        <v>192909</v>
      </c>
      <c r="G588" s="82"/>
      <c r="H588" s="82"/>
      <c r="I588" s="82"/>
      <c r="J588" s="82"/>
      <c r="K588" s="82"/>
      <c r="L588" s="82"/>
      <c r="M588" s="82"/>
      <c r="N588" s="82">
        <f>800+táj2!N588</f>
        <v>800</v>
      </c>
      <c r="O588" s="82"/>
      <c r="P588" s="82"/>
      <c r="Q588" s="82">
        <f>SUM(G588:P588)</f>
        <v>800</v>
      </c>
    </row>
    <row r="589" spans="1:17" ht="17.100000000000001" customHeight="1" x14ac:dyDescent="0.2">
      <c r="A589" s="124"/>
      <c r="B589" s="124"/>
      <c r="C589" s="125"/>
      <c r="D589" s="126" t="s">
        <v>257</v>
      </c>
      <c r="E589" s="127"/>
      <c r="F589" s="127"/>
      <c r="G589" s="128">
        <f>SUM(G586:G588)</f>
        <v>0</v>
      </c>
      <c r="H589" s="128">
        <f t="shared" ref="H589:Q589" si="43">SUM(H586:H588)</f>
        <v>0</v>
      </c>
      <c r="I589" s="128">
        <f t="shared" si="43"/>
        <v>696128</v>
      </c>
      <c r="J589" s="128">
        <f t="shared" si="43"/>
        <v>0</v>
      </c>
      <c r="K589" s="128">
        <f t="shared" si="43"/>
        <v>3166407</v>
      </c>
      <c r="L589" s="128">
        <f t="shared" si="43"/>
        <v>0</v>
      </c>
      <c r="M589" s="128">
        <f t="shared" si="43"/>
        <v>0</v>
      </c>
      <c r="N589" s="128">
        <f t="shared" si="43"/>
        <v>9800</v>
      </c>
      <c r="O589" s="128">
        <f t="shared" si="43"/>
        <v>117852</v>
      </c>
      <c r="P589" s="128">
        <f t="shared" si="43"/>
        <v>5577027</v>
      </c>
      <c r="Q589" s="128">
        <f t="shared" si="43"/>
        <v>9567214</v>
      </c>
    </row>
    <row r="590" spans="1:17" ht="17.100000000000001" customHeight="1" x14ac:dyDescent="0.2">
      <c r="A590" s="163">
        <v>1</v>
      </c>
      <c r="B590" s="163" t="s">
        <v>592</v>
      </c>
      <c r="C590" s="164"/>
      <c r="D590" s="253" t="s">
        <v>593</v>
      </c>
      <c r="E590" s="165"/>
      <c r="F590" s="165"/>
      <c r="G590" s="166"/>
      <c r="H590" s="107"/>
      <c r="I590" s="107"/>
      <c r="J590" s="107"/>
      <c r="K590" s="107"/>
      <c r="L590" s="107"/>
      <c r="M590" s="82"/>
      <c r="N590" s="82"/>
      <c r="O590" s="166"/>
      <c r="P590" s="166"/>
      <c r="Q590" s="166"/>
    </row>
    <row r="591" spans="1:17" ht="17.100000000000001" customHeight="1" x14ac:dyDescent="0.2">
      <c r="A591" s="163"/>
      <c r="B591" s="163"/>
      <c r="C591" s="164"/>
      <c r="D591" s="119" t="s">
        <v>190</v>
      </c>
      <c r="E591" s="134"/>
      <c r="F591" s="134"/>
      <c r="G591" s="166"/>
      <c r="H591" s="107"/>
      <c r="I591" s="107"/>
      <c r="J591" s="107"/>
      <c r="K591" s="107"/>
      <c r="L591" s="107"/>
      <c r="M591" s="82"/>
      <c r="N591" s="82"/>
      <c r="O591" s="166"/>
      <c r="P591" s="166"/>
      <c r="Q591" s="166"/>
    </row>
    <row r="592" spans="1:17" ht="17.100000000000001" customHeight="1" x14ac:dyDescent="0.2">
      <c r="A592" s="163"/>
      <c r="B592" s="163"/>
      <c r="C592" s="164"/>
      <c r="D592" s="120" t="s">
        <v>594</v>
      </c>
      <c r="E592" s="158">
        <v>2</v>
      </c>
      <c r="F592" s="158">
        <v>221901</v>
      </c>
      <c r="G592" s="167">
        <f>45840+táj2!G592</f>
        <v>45840</v>
      </c>
      <c r="H592" s="167">
        <f>17793+táj2!H592</f>
        <v>17793</v>
      </c>
      <c r="I592" s="167">
        <f>90181+táj2!I592</f>
        <v>84354</v>
      </c>
      <c r="J592" s="167"/>
      <c r="K592" s="167">
        <f>3000+táj2!K592</f>
        <v>3000</v>
      </c>
      <c r="L592" s="167"/>
      <c r="M592" s="167"/>
      <c r="N592" s="167"/>
      <c r="O592" s="167"/>
      <c r="P592" s="167"/>
      <c r="Q592" s="158">
        <f t="shared" ref="Q592:Q603" si="44">SUM(G592:P592)</f>
        <v>150987</v>
      </c>
    </row>
    <row r="593" spans="1:17" ht="17.100000000000001" customHeight="1" x14ac:dyDescent="0.2">
      <c r="A593" s="163"/>
      <c r="B593" s="163"/>
      <c r="C593" s="164"/>
      <c r="D593" s="115" t="s">
        <v>595</v>
      </c>
      <c r="E593" s="122">
        <v>1</v>
      </c>
      <c r="F593" s="82">
        <v>221912</v>
      </c>
      <c r="G593" s="167">
        <f>500+táj2!G593</f>
        <v>500</v>
      </c>
      <c r="H593" s="167">
        <f>150+táj2!H593</f>
        <v>150</v>
      </c>
      <c r="I593" s="167">
        <f>5404+táj2!I593</f>
        <v>5404</v>
      </c>
      <c r="J593" s="167"/>
      <c r="K593" s="167">
        <f>3500+táj2!K593</f>
        <v>3500</v>
      </c>
      <c r="L593" s="167"/>
      <c r="M593" s="167"/>
      <c r="N593" s="167"/>
      <c r="O593" s="167"/>
      <c r="P593" s="167"/>
      <c r="Q593" s="158">
        <f t="shared" si="44"/>
        <v>9554</v>
      </c>
    </row>
    <row r="594" spans="1:17" ht="17.100000000000001" customHeight="1" x14ac:dyDescent="0.2">
      <c r="A594" s="163"/>
      <c r="B594" s="163"/>
      <c r="C594" s="164"/>
      <c r="D594" s="115" t="s">
        <v>596</v>
      </c>
      <c r="E594" s="122">
        <v>2</v>
      </c>
      <c r="F594" s="82">
        <v>221916</v>
      </c>
      <c r="G594" s="167"/>
      <c r="H594" s="167"/>
      <c r="I594" s="167"/>
      <c r="J594" s="167"/>
      <c r="K594" s="167">
        <f>35000+táj2!K594</f>
        <v>40600</v>
      </c>
      <c r="L594" s="167"/>
      <c r="M594" s="167"/>
      <c r="N594" s="167"/>
      <c r="O594" s="167"/>
      <c r="P594" s="167"/>
      <c r="Q594" s="158">
        <f t="shared" si="44"/>
        <v>40600</v>
      </c>
    </row>
    <row r="595" spans="1:17" ht="17.100000000000001" customHeight="1" x14ac:dyDescent="0.2">
      <c r="A595" s="163"/>
      <c r="B595" s="163"/>
      <c r="C595" s="164"/>
      <c r="D595" s="116" t="s">
        <v>597</v>
      </c>
      <c r="E595" s="122">
        <v>2</v>
      </c>
      <c r="F595" s="82">
        <v>221904</v>
      </c>
      <c r="G595" s="167"/>
      <c r="H595" s="167"/>
      <c r="I595" s="167">
        <f>2000+táj2!I595</f>
        <v>2000</v>
      </c>
      <c r="J595" s="167"/>
      <c r="K595" s="167"/>
      <c r="L595" s="167"/>
      <c r="M595" s="167"/>
      <c r="N595" s="167"/>
      <c r="O595" s="167"/>
      <c r="P595" s="167"/>
      <c r="Q595" s="158">
        <f t="shared" si="44"/>
        <v>2000</v>
      </c>
    </row>
    <row r="596" spans="1:17" ht="17.100000000000001" customHeight="1" x14ac:dyDescent="0.2">
      <c r="A596" s="163"/>
      <c r="B596" s="163"/>
      <c r="C596" s="164"/>
      <c r="D596" s="116" t="s">
        <v>598</v>
      </c>
      <c r="E596" s="82">
        <v>2</v>
      </c>
      <c r="F596" s="82">
        <v>221922</v>
      </c>
      <c r="G596" s="167"/>
      <c r="H596" s="167"/>
      <c r="I596" s="167">
        <f>9142+táj2!I596</f>
        <v>9142</v>
      </c>
      <c r="J596" s="167"/>
      <c r="K596" s="167"/>
      <c r="L596" s="167"/>
      <c r="M596" s="167"/>
      <c r="N596" s="167"/>
      <c r="O596" s="167"/>
      <c r="P596" s="167"/>
      <c r="Q596" s="158">
        <f t="shared" si="44"/>
        <v>9142</v>
      </c>
    </row>
    <row r="597" spans="1:17" ht="17.100000000000001" customHeight="1" x14ac:dyDescent="0.2">
      <c r="A597" s="163"/>
      <c r="B597" s="163"/>
      <c r="C597" s="164"/>
      <c r="D597" s="116" t="s">
        <v>599</v>
      </c>
      <c r="E597" s="113">
        <v>2</v>
      </c>
      <c r="F597" s="82">
        <v>221939</v>
      </c>
      <c r="G597" s="167">
        <f>200+táj2!G597</f>
        <v>200</v>
      </c>
      <c r="H597" s="167">
        <f>30+táj2!H597</f>
        <v>0</v>
      </c>
      <c r="I597" s="167">
        <f>73+táj2!I597</f>
        <v>163</v>
      </c>
      <c r="J597" s="167"/>
      <c r="K597" s="167">
        <f>1697+táj2!K597</f>
        <v>1637</v>
      </c>
      <c r="L597" s="167"/>
      <c r="M597" s="167"/>
      <c r="N597" s="167"/>
      <c r="O597" s="167"/>
      <c r="P597" s="167"/>
      <c r="Q597" s="158">
        <f t="shared" si="44"/>
        <v>2000</v>
      </c>
    </row>
    <row r="598" spans="1:17" ht="17.100000000000001" customHeight="1" x14ac:dyDescent="0.2">
      <c r="A598" s="163"/>
      <c r="B598" s="163"/>
      <c r="C598" s="164"/>
      <c r="D598" s="116" t="s">
        <v>600</v>
      </c>
      <c r="E598" s="113">
        <v>2</v>
      </c>
      <c r="F598" s="82">
        <v>221927</v>
      </c>
      <c r="G598" s="167"/>
      <c r="H598" s="167"/>
      <c r="I598" s="167"/>
      <c r="J598" s="167"/>
      <c r="K598" s="167">
        <f>4611+táj2!K598</f>
        <v>4611</v>
      </c>
      <c r="L598" s="167"/>
      <c r="M598" s="167"/>
      <c r="N598" s="167"/>
      <c r="O598" s="167"/>
      <c r="P598" s="167"/>
      <c r="Q598" s="158">
        <f t="shared" si="44"/>
        <v>4611</v>
      </c>
    </row>
    <row r="599" spans="1:17" ht="24.75" customHeight="1" x14ac:dyDescent="0.2">
      <c r="A599" s="163"/>
      <c r="B599" s="163"/>
      <c r="C599" s="164"/>
      <c r="D599" s="254" t="s">
        <v>601</v>
      </c>
      <c r="E599" s="113">
        <v>2</v>
      </c>
      <c r="F599" s="82">
        <v>221935</v>
      </c>
      <c r="G599" s="167"/>
      <c r="H599" s="167"/>
      <c r="I599" s="167"/>
      <c r="J599" s="167"/>
      <c r="K599" s="167">
        <f>21886+táj2!K599</f>
        <v>11886</v>
      </c>
      <c r="L599" s="167"/>
      <c r="M599" s="167"/>
      <c r="N599" s="167"/>
      <c r="O599" s="167"/>
      <c r="P599" s="167"/>
      <c r="Q599" s="158">
        <f t="shared" si="44"/>
        <v>11886</v>
      </c>
    </row>
    <row r="600" spans="1:17" ht="17.100000000000001" customHeight="1" x14ac:dyDescent="0.2">
      <c r="A600" s="163"/>
      <c r="B600" s="163"/>
      <c r="C600" s="164"/>
      <c r="D600" s="116" t="s">
        <v>602</v>
      </c>
      <c r="E600" s="82">
        <v>2</v>
      </c>
      <c r="F600" s="82">
        <v>191110</v>
      </c>
      <c r="G600" s="167">
        <f>11000+táj2!G600</f>
        <v>12869</v>
      </c>
      <c r="H600" s="167">
        <f>3400+táj2!H600</f>
        <v>3679</v>
      </c>
      <c r="I600" s="167">
        <f>13600+táj2!I600</f>
        <v>12379</v>
      </c>
      <c r="J600" s="167"/>
      <c r="K600" s="167">
        <f>0+táj2!K600</f>
        <v>1600</v>
      </c>
      <c r="L600" s="167"/>
      <c r="M600" s="167"/>
      <c r="N600" s="167"/>
      <c r="O600" s="167"/>
      <c r="P600" s="167"/>
      <c r="Q600" s="158">
        <f t="shared" si="44"/>
        <v>30527</v>
      </c>
    </row>
    <row r="601" spans="1:17" ht="17.100000000000001" customHeight="1" x14ac:dyDescent="0.2">
      <c r="A601" s="163"/>
      <c r="B601" s="163"/>
      <c r="C601" s="164"/>
      <c r="D601" s="116" t="s">
        <v>709</v>
      </c>
      <c r="E601" s="82">
        <v>2</v>
      </c>
      <c r="F601" s="82">
        <v>221967</v>
      </c>
      <c r="G601" s="167">
        <f>2150+táj2!G601</f>
        <v>2150</v>
      </c>
      <c r="H601" s="167">
        <f>300+táj2!H601</f>
        <v>300</v>
      </c>
      <c r="I601" s="167"/>
      <c r="J601" s="167"/>
      <c r="K601" s="167">
        <f>2550+táj2!K601</f>
        <v>2550</v>
      </c>
      <c r="L601" s="167"/>
      <c r="M601" s="167"/>
      <c r="N601" s="167"/>
      <c r="O601" s="167"/>
      <c r="P601" s="167"/>
      <c r="Q601" s="158">
        <f t="shared" si="44"/>
        <v>5000</v>
      </c>
    </row>
    <row r="602" spans="1:17" ht="17.100000000000001" customHeight="1" x14ac:dyDescent="0.2">
      <c r="A602" s="163"/>
      <c r="B602" s="163"/>
      <c r="C602" s="164"/>
      <c r="D602" s="308" t="s">
        <v>1168</v>
      </c>
      <c r="E602" s="299">
        <v>2</v>
      </c>
      <c r="F602" s="299">
        <v>191139</v>
      </c>
      <c r="G602" s="167"/>
      <c r="H602" s="167"/>
      <c r="I602" s="167"/>
      <c r="J602" s="167"/>
      <c r="K602" s="167">
        <f>2000+táj2!K602</f>
        <v>2000</v>
      </c>
      <c r="L602" s="167"/>
      <c r="M602" s="167"/>
      <c r="N602" s="167"/>
      <c r="O602" s="167"/>
      <c r="P602" s="167"/>
      <c r="Q602" s="158">
        <f t="shared" si="44"/>
        <v>2000</v>
      </c>
    </row>
    <row r="603" spans="1:17" ht="27" customHeight="1" x14ac:dyDescent="0.2">
      <c r="A603" s="163"/>
      <c r="B603" s="163"/>
      <c r="C603" s="164"/>
      <c r="D603" s="365" t="s">
        <v>835</v>
      </c>
      <c r="E603" s="359">
        <v>2</v>
      </c>
      <c r="F603" s="359">
        <v>221976</v>
      </c>
      <c r="G603" s="167"/>
      <c r="H603" s="167"/>
      <c r="I603" s="167"/>
      <c r="J603" s="167"/>
      <c r="K603" s="167">
        <f>5000+táj2!K603</f>
        <v>5000</v>
      </c>
      <c r="L603" s="167"/>
      <c r="M603" s="167"/>
      <c r="N603" s="167"/>
      <c r="O603" s="167"/>
      <c r="P603" s="167"/>
      <c r="Q603" s="158">
        <f t="shared" si="44"/>
        <v>5000</v>
      </c>
    </row>
    <row r="604" spans="1:17" ht="17.100000000000001" customHeight="1" x14ac:dyDescent="0.2">
      <c r="A604" s="163"/>
      <c r="B604" s="163"/>
      <c r="C604" s="164"/>
      <c r="D604" s="116" t="s">
        <v>603</v>
      </c>
      <c r="E604" s="113"/>
      <c r="F604" s="113"/>
      <c r="G604" s="167"/>
      <c r="H604" s="167"/>
      <c r="I604" s="167"/>
      <c r="J604" s="167"/>
      <c r="K604" s="167"/>
      <c r="L604" s="167"/>
      <c r="M604" s="167"/>
      <c r="N604" s="167"/>
      <c r="O604" s="167"/>
      <c r="P604" s="167"/>
      <c r="Q604" s="158"/>
    </row>
    <row r="605" spans="1:17" ht="17.100000000000001" customHeight="1" x14ac:dyDescent="0.2">
      <c r="A605" s="163"/>
      <c r="B605" s="163"/>
      <c r="C605" s="164"/>
      <c r="D605" s="116" t="s">
        <v>604</v>
      </c>
      <c r="E605" s="82">
        <v>2</v>
      </c>
      <c r="F605" s="82">
        <v>191301</v>
      </c>
      <c r="G605" s="167"/>
      <c r="H605" s="167"/>
      <c r="I605" s="167"/>
      <c r="J605" s="167"/>
      <c r="K605" s="167">
        <f>47000+táj2!K605</f>
        <v>47000</v>
      </c>
      <c r="L605" s="167"/>
      <c r="M605" s="167"/>
      <c r="N605" s="167"/>
      <c r="O605" s="167"/>
      <c r="P605" s="167"/>
      <c r="Q605" s="158">
        <f>SUM(G605:P605)</f>
        <v>47000</v>
      </c>
    </row>
    <row r="606" spans="1:17" ht="17.100000000000001" customHeight="1" x14ac:dyDescent="0.2">
      <c r="A606" s="129"/>
      <c r="B606" s="129"/>
      <c r="C606" s="142"/>
      <c r="D606" s="116" t="s">
        <v>605</v>
      </c>
      <c r="E606" s="82">
        <v>2</v>
      </c>
      <c r="F606" s="82">
        <v>191302</v>
      </c>
      <c r="G606" s="122"/>
      <c r="H606" s="122"/>
      <c r="I606" s="167">
        <f>15342+táj2!I606</f>
        <v>15342</v>
      </c>
      <c r="J606" s="122"/>
      <c r="K606" s="167"/>
      <c r="L606" s="122"/>
      <c r="M606" s="122"/>
      <c r="N606" s="122"/>
      <c r="O606" s="122"/>
      <c r="P606" s="122"/>
      <c r="Q606" s="82">
        <f>SUM(G606:P606)</f>
        <v>15342</v>
      </c>
    </row>
    <row r="607" spans="1:17" ht="17.100000000000001" customHeight="1" x14ac:dyDescent="0.2">
      <c r="A607" s="163"/>
      <c r="B607" s="163"/>
      <c r="C607" s="164"/>
      <c r="D607" s="255" t="s">
        <v>208</v>
      </c>
      <c r="E607" s="122"/>
      <c r="F607" s="82"/>
      <c r="G607" s="167"/>
      <c r="H607" s="167"/>
      <c r="I607" s="167"/>
      <c r="J607" s="167"/>
      <c r="K607" s="167"/>
      <c r="L607" s="167"/>
      <c r="M607" s="167"/>
      <c r="N607" s="167"/>
      <c r="O607" s="167"/>
      <c r="P607" s="167"/>
      <c r="Q607" s="158"/>
    </row>
    <row r="608" spans="1:17" ht="17.100000000000001" customHeight="1" x14ac:dyDescent="0.2">
      <c r="A608" s="163"/>
      <c r="B608" s="163"/>
      <c r="C608" s="164"/>
      <c r="D608" s="123" t="s">
        <v>606</v>
      </c>
      <c r="E608" s="140">
        <v>2</v>
      </c>
      <c r="F608" s="139">
        <v>221951</v>
      </c>
      <c r="G608" s="167"/>
      <c r="H608" s="167"/>
      <c r="I608" s="167">
        <f>500+táj2!I608</f>
        <v>500</v>
      </c>
      <c r="J608" s="167"/>
      <c r="K608" s="167">
        <f>40667+táj2!K608</f>
        <v>41467</v>
      </c>
      <c r="L608" s="167"/>
      <c r="M608" s="167"/>
      <c r="N608" s="167">
        <f>2000+táj2!N608</f>
        <v>2200</v>
      </c>
      <c r="O608" s="167"/>
      <c r="P608" s="167"/>
      <c r="Q608" s="158">
        <f>SUM(G608:P608)</f>
        <v>44167</v>
      </c>
    </row>
    <row r="609" spans="1:17" ht="17.100000000000001" customHeight="1" x14ac:dyDescent="0.2">
      <c r="A609" s="436"/>
      <c r="B609" s="163"/>
      <c r="C609" s="168"/>
      <c r="D609" s="256" t="s">
        <v>607</v>
      </c>
      <c r="E609" s="122">
        <v>2</v>
      </c>
      <c r="F609" s="82" t="s">
        <v>608</v>
      </c>
      <c r="G609" s="167">
        <f>1377+táj2!G609</f>
        <v>1943</v>
      </c>
      <c r="H609" s="167">
        <f>153+táj2!H609</f>
        <v>180</v>
      </c>
      <c r="I609" s="167">
        <f>33151+táj2!I609</f>
        <v>28865</v>
      </c>
      <c r="J609" s="167"/>
      <c r="K609" s="167">
        <f>15789+táj2!K609</f>
        <v>19664</v>
      </c>
      <c r="L609" s="167">
        <f>297+táj2!L609</f>
        <v>297</v>
      </c>
      <c r="M609" s="167"/>
      <c r="N609" s="167">
        <f>750+táj2!N609</f>
        <v>750</v>
      </c>
      <c r="O609" s="167"/>
      <c r="P609" s="167"/>
      <c r="Q609" s="158">
        <f>SUM(G609:P609)</f>
        <v>51699</v>
      </c>
    </row>
    <row r="610" spans="1:17" ht="17.100000000000001" customHeight="1" x14ac:dyDescent="0.2">
      <c r="A610" s="436"/>
      <c r="B610" s="480"/>
      <c r="C610" s="481"/>
      <c r="D610" s="482" t="s">
        <v>837</v>
      </c>
      <c r="E610" s="483">
        <v>2</v>
      </c>
      <c r="F610" s="475">
        <v>221981</v>
      </c>
      <c r="G610" s="484"/>
      <c r="H610" s="484"/>
      <c r="I610" s="167">
        <f>1417+táj2!I610</f>
        <v>1617</v>
      </c>
      <c r="J610" s="484"/>
      <c r="K610" s="167"/>
      <c r="L610" s="484"/>
      <c r="M610" s="484"/>
      <c r="N610" s="484"/>
      <c r="O610" s="484"/>
      <c r="P610" s="484"/>
      <c r="Q610" s="158">
        <f>SUM(G610:P610)</f>
        <v>1617</v>
      </c>
    </row>
    <row r="611" spans="1:17" ht="17.100000000000001" customHeight="1" x14ac:dyDescent="0.2">
      <c r="A611" s="163"/>
      <c r="B611" s="163"/>
      <c r="C611" s="257"/>
      <c r="D611" s="256" t="s">
        <v>710</v>
      </c>
      <c r="E611" s="122">
        <v>2</v>
      </c>
      <c r="F611" s="82">
        <v>221969</v>
      </c>
      <c r="G611" s="167"/>
      <c r="H611" s="167"/>
      <c r="I611" s="167"/>
      <c r="J611" s="167"/>
      <c r="K611" s="167">
        <f>24297+táj2!K611</f>
        <v>24297</v>
      </c>
      <c r="L611" s="167"/>
      <c r="M611" s="167"/>
      <c r="N611" s="167"/>
      <c r="O611" s="167"/>
      <c r="P611" s="167"/>
      <c r="Q611" s="158">
        <f t="shared" ref="Q611" si="45">SUM(G611:P611)</f>
        <v>24297</v>
      </c>
    </row>
    <row r="612" spans="1:17" ht="17.100000000000001" customHeight="1" x14ac:dyDescent="0.2">
      <c r="A612" s="163"/>
      <c r="B612" s="163"/>
      <c r="C612" s="164"/>
      <c r="D612" s="119" t="s">
        <v>190</v>
      </c>
      <c r="E612" s="122"/>
      <c r="F612" s="82"/>
      <c r="G612" s="167"/>
      <c r="H612" s="167"/>
      <c r="I612" s="167"/>
      <c r="J612" s="167"/>
      <c r="K612" s="167"/>
      <c r="L612" s="167"/>
      <c r="M612" s="167"/>
      <c r="N612" s="167"/>
      <c r="O612" s="167"/>
      <c r="P612" s="167"/>
      <c r="Q612" s="158"/>
    </row>
    <row r="613" spans="1:17" ht="17.100000000000001" customHeight="1" x14ac:dyDescent="0.2">
      <c r="A613" s="163"/>
      <c r="B613" s="163"/>
      <c r="C613" s="164"/>
      <c r="D613" s="115" t="s">
        <v>609</v>
      </c>
      <c r="E613" s="122">
        <v>2</v>
      </c>
      <c r="F613" s="82">
        <v>221929</v>
      </c>
      <c r="G613" s="167"/>
      <c r="H613" s="167"/>
      <c r="I613" s="167"/>
      <c r="J613" s="167"/>
      <c r="K613" s="167">
        <f>13221+táj2!K613</f>
        <v>13221</v>
      </c>
      <c r="L613" s="167"/>
      <c r="M613" s="167"/>
      <c r="N613" s="167"/>
      <c r="O613" s="167"/>
      <c r="P613" s="167"/>
      <c r="Q613" s="158">
        <f>SUM(G613:P613)</f>
        <v>13221</v>
      </c>
    </row>
    <row r="614" spans="1:17" ht="17.100000000000001" customHeight="1" x14ac:dyDescent="0.2">
      <c r="A614" s="163"/>
      <c r="B614" s="163"/>
      <c r="C614" s="257"/>
      <c r="D614" s="115" t="s">
        <v>610</v>
      </c>
      <c r="E614" s="122">
        <v>2</v>
      </c>
      <c r="F614" s="82">
        <v>191402</v>
      </c>
      <c r="G614" s="167"/>
      <c r="H614" s="167"/>
      <c r="I614" s="167"/>
      <c r="J614" s="167"/>
      <c r="K614" s="167">
        <f>16200+táj2!K614</f>
        <v>16200</v>
      </c>
      <c r="L614" s="167"/>
      <c r="M614" s="167"/>
      <c r="N614" s="167"/>
      <c r="O614" s="167"/>
      <c r="P614" s="167"/>
      <c r="Q614" s="158">
        <f>SUM(G614:P614)</f>
        <v>16200</v>
      </c>
    </row>
    <row r="615" spans="1:17" ht="17.100000000000001" customHeight="1" x14ac:dyDescent="0.2">
      <c r="A615" s="163"/>
      <c r="B615" s="163"/>
      <c r="C615" s="257"/>
      <c r="D615" s="115" t="s">
        <v>611</v>
      </c>
      <c r="E615" s="122"/>
      <c r="F615" s="82"/>
      <c r="G615" s="167"/>
      <c r="H615" s="167"/>
      <c r="I615" s="167"/>
      <c r="J615" s="167"/>
      <c r="K615" s="167"/>
      <c r="L615" s="167"/>
      <c r="M615" s="167"/>
      <c r="N615" s="167"/>
      <c r="O615" s="167"/>
      <c r="P615" s="167"/>
      <c r="Q615" s="158"/>
    </row>
    <row r="616" spans="1:17" ht="17.100000000000001" customHeight="1" x14ac:dyDescent="0.2">
      <c r="A616" s="163"/>
      <c r="B616" s="163"/>
      <c r="C616" s="257"/>
      <c r="D616" s="115" t="s">
        <v>612</v>
      </c>
      <c r="E616" s="122">
        <v>1</v>
      </c>
      <c r="F616" s="82">
        <v>221909</v>
      </c>
      <c r="G616" s="167"/>
      <c r="H616" s="167"/>
      <c r="I616" s="167"/>
      <c r="J616" s="167"/>
      <c r="K616" s="167">
        <f>7368+táj2!K616</f>
        <v>1768</v>
      </c>
      <c r="L616" s="167"/>
      <c r="M616" s="167"/>
      <c r="N616" s="167"/>
      <c r="O616" s="167"/>
      <c r="P616" s="167"/>
      <c r="Q616" s="158">
        <f>SUM(G616:P616)</f>
        <v>1768</v>
      </c>
    </row>
    <row r="617" spans="1:17" ht="17.100000000000001" customHeight="1" x14ac:dyDescent="0.2">
      <c r="A617" s="163"/>
      <c r="B617" s="163"/>
      <c r="C617" s="164"/>
      <c r="D617" s="115" t="s">
        <v>613</v>
      </c>
      <c r="E617" s="122">
        <v>1</v>
      </c>
      <c r="F617" s="82">
        <v>221913</v>
      </c>
      <c r="G617" s="167"/>
      <c r="H617" s="167"/>
      <c r="I617" s="167">
        <f>15621+táj2!I617</f>
        <v>15621</v>
      </c>
      <c r="J617" s="167"/>
      <c r="K617" s="167">
        <f>0+táj2!K617</f>
        <v>0</v>
      </c>
      <c r="L617" s="167"/>
      <c r="M617" s="167"/>
      <c r="N617" s="167"/>
      <c r="O617" s="167"/>
      <c r="P617" s="167"/>
      <c r="Q617" s="158">
        <f>SUM(G617:P617)</f>
        <v>15621</v>
      </c>
    </row>
    <row r="618" spans="1:17" ht="17.100000000000001" customHeight="1" x14ac:dyDescent="0.2">
      <c r="A618" s="163"/>
      <c r="B618" s="163"/>
      <c r="C618" s="164"/>
      <c r="D618" s="115" t="s">
        <v>656</v>
      </c>
      <c r="E618" s="122">
        <v>1</v>
      </c>
      <c r="F618" s="82">
        <v>221962</v>
      </c>
      <c r="G618" s="167"/>
      <c r="H618" s="167"/>
      <c r="I618" s="167"/>
      <c r="J618" s="167"/>
      <c r="K618" s="167">
        <f>54470+táj2!K618</f>
        <v>54470</v>
      </c>
      <c r="L618" s="167"/>
      <c r="M618" s="167"/>
      <c r="N618" s="167"/>
      <c r="O618" s="167"/>
      <c r="P618" s="167"/>
      <c r="Q618" s="158">
        <f>SUM(G618:P618)</f>
        <v>54470</v>
      </c>
    </row>
    <row r="619" spans="1:17" ht="17.100000000000001" customHeight="1" x14ac:dyDescent="0.2">
      <c r="A619" s="163"/>
      <c r="B619" s="163"/>
      <c r="C619" s="164"/>
      <c r="D619" s="116" t="s">
        <v>614</v>
      </c>
      <c r="E619" s="113"/>
      <c r="F619" s="113"/>
      <c r="G619" s="167"/>
      <c r="H619" s="167"/>
      <c r="I619" s="167"/>
      <c r="J619" s="167"/>
      <c r="K619" s="167"/>
      <c r="L619" s="167"/>
      <c r="M619" s="167"/>
      <c r="N619" s="167"/>
      <c r="O619" s="167"/>
      <c r="P619" s="167"/>
      <c r="Q619" s="82"/>
    </row>
    <row r="620" spans="1:17" ht="14.25" customHeight="1" x14ac:dyDescent="0.2">
      <c r="A620" s="163"/>
      <c r="B620" s="163"/>
      <c r="C620" s="164"/>
      <c r="D620" s="351" t="s">
        <v>961</v>
      </c>
      <c r="E620" s="82">
        <v>2</v>
      </c>
      <c r="F620" s="82">
        <v>191151</v>
      </c>
      <c r="G620" s="167"/>
      <c r="H620" s="167"/>
      <c r="I620" s="167"/>
      <c r="J620" s="167"/>
      <c r="K620" s="167">
        <f>120000+táj2!K620</f>
        <v>138500</v>
      </c>
      <c r="L620" s="167"/>
      <c r="M620" s="167"/>
      <c r="N620" s="167"/>
      <c r="O620" s="167"/>
      <c r="P620" s="167"/>
      <c r="Q620" s="82">
        <f>SUM(G620:P620)</f>
        <v>138500</v>
      </c>
    </row>
    <row r="621" spans="1:17" ht="15.95" customHeight="1" x14ac:dyDescent="0.2">
      <c r="A621" s="163"/>
      <c r="B621" s="163"/>
      <c r="C621" s="164"/>
      <c r="D621" s="116" t="s">
        <v>317</v>
      </c>
      <c r="E621" s="122"/>
      <c r="F621" s="130"/>
      <c r="G621" s="167"/>
      <c r="H621" s="167"/>
      <c r="I621" s="167"/>
      <c r="J621" s="167"/>
      <c r="K621" s="167"/>
      <c r="L621" s="167"/>
      <c r="M621" s="167"/>
      <c r="N621" s="167"/>
      <c r="O621" s="167"/>
      <c r="P621" s="167"/>
      <c r="Q621" s="158"/>
    </row>
    <row r="622" spans="1:17" ht="18.75" customHeight="1" x14ac:dyDescent="0.2">
      <c r="A622" s="163"/>
      <c r="B622" s="163"/>
      <c r="C622" s="164"/>
      <c r="D622" s="123" t="s">
        <v>635</v>
      </c>
      <c r="E622" s="122">
        <v>2</v>
      </c>
      <c r="F622" s="130">
        <v>221961</v>
      </c>
      <c r="G622" s="167"/>
      <c r="H622" s="167"/>
      <c r="I622" s="167">
        <f>16500+táj2!I622</f>
        <v>16500</v>
      </c>
      <c r="J622" s="167"/>
      <c r="K622" s="167"/>
      <c r="L622" s="167"/>
      <c r="M622" s="167"/>
      <c r="N622" s="167"/>
      <c r="O622" s="167"/>
      <c r="P622" s="167"/>
      <c r="Q622" s="158">
        <f t="shared" ref="Q622:Q625" si="46">SUM(G622:P622)</f>
        <v>16500</v>
      </c>
    </row>
    <row r="623" spans="1:17" ht="16.5" customHeight="1" x14ac:dyDescent="0.2">
      <c r="A623" s="163"/>
      <c r="B623" s="163"/>
      <c r="C623" s="164"/>
      <c r="D623" s="359" t="s">
        <v>759</v>
      </c>
      <c r="E623" s="355">
        <v>2</v>
      </c>
      <c r="F623" s="359">
        <v>121518</v>
      </c>
      <c r="G623" s="167"/>
      <c r="H623" s="167"/>
      <c r="I623" s="167"/>
      <c r="J623" s="167"/>
      <c r="K623" s="167">
        <f>2000+táj2!K623</f>
        <v>2000</v>
      </c>
      <c r="L623" s="167"/>
      <c r="M623" s="167"/>
      <c r="N623" s="167"/>
      <c r="O623" s="167"/>
      <c r="P623" s="167"/>
      <c r="Q623" s="158">
        <f t="shared" si="46"/>
        <v>2000</v>
      </c>
    </row>
    <row r="624" spans="1:17" ht="16.5" customHeight="1" x14ac:dyDescent="0.2">
      <c r="A624" s="469"/>
      <c r="B624" s="469"/>
      <c r="C624" s="470"/>
      <c r="D624" s="359" t="s">
        <v>962</v>
      </c>
      <c r="E624" s="355">
        <v>2</v>
      </c>
      <c r="F624" s="598">
        <v>221982</v>
      </c>
      <c r="G624" s="167">
        <f>3033+táj2!G624</f>
        <v>3033</v>
      </c>
      <c r="H624" s="167">
        <f>1062+táj2!H624</f>
        <v>1110</v>
      </c>
      <c r="I624" s="167">
        <f>1405+táj2!I624</f>
        <v>1357</v>
      </c>
      <c r="J624" s="471"/>
      <c r="K624" s="167"/>
      <c r="L624" s="471"/>
      <c r="M624" s="471"/>
      <c r="N624" s="471"/>
      <c r="O624" s="471"/>
      <c r="P624" s="471"/>
      <c r="Q624" s="158">
        <f t="shared" si="46"/>
        <v>5500</v>
      </c>
    </row>
    <row r="625" spans="1:17" ht="16.5" customHeight="1" x14ac:dyDescent="0.2">
      <c r="A625" s="469"/>
      <c r="B625" s="469"/>
      <c r="C625" s="470"/>
      <c r="D625" s="359" t="s">
        <v>836</v>
      </c>
      <c r="E625" s="355">
        <v>2</v>
      </c>
      <c r="F625" s="401">
        <v>221977</v>
      </c>
      <c r="G625" s="471"/>
      <c r="H625" s="471"/>
      <c r="I625" s="167"/>
      <c r="J625" s="471"/>
      <c r="K625" s="167">
        <f>19000+táj2!K625</f>
        <v>19000</v>
      </c>
      <c r="L625" s="471"/>
      <c r="M625" s="471"/>
      <c r="N625" s="471"/>
      <c r="O625" s="471"/>
      <c r="P625" s="471"/>
      <c r="Q625" s="158">
        <f t="shared" si="46"/>
        <v>19000</v>
      </c>
    </row>
    <row r="626" spans="1:17" ht="14.1" customHeight="1" x14ac:dyDescent="0.2">
      <c r="A626" s="124"/>
      <c r="B626" s="124"/>
      <c r="C626" s="272"/>
      <c r="D626" s="273" t="s">
        <v>615</v>
      </c>
      <c r="E626" s="274"/>
      <c r="F626" s="275"/>
      <c r="G626" s="169">
        <f t="shared" ref="G626:Q626" si="47">SUM(G592:G625)</f>
        <v>66535</v>
      </c>
      <c r="H626" s="169">
        <f t="shared" si="47"/>
        <v>23212</v>
      </c>
      <c r="I626" s="169">
        <f t="shared" si="47"/>
        <v>193244</v>
      </c>
      <c r="J626" s="169">
        <f t="shared" si="47"/>
        <v>0</v>
      </c>
      <c r="K626" s="169">
        <f t="shared" si="47"/>
        <v>453971</v>
      </c>
      <c r="L626" s="169">
        <f t="shared" si="47"/>
        <v>297</v>
      </c>
      <c r="M626" s="169">
        <f t="shared" si="47"/>
        <v>0</v>
      </c>
      <c r="N626" s="169">
        <f t="shared" si="47"/>
        <v>2950</v>
      </c>
      <c r="O626" s="169">
        <f t="shared" si="47"/>
        <v>0</v>
      </c>
      <c r="P626" s="169">
        <f t="shared" si="47"/>
        <v>0</v>
      </c>
      <c r="Q626" s="169">
        <f t="shared" si="47"/>
        <v>740209</v>
      </c>
    </row>
    <row r="627" spans="1:17" ht="14.1" customHeight="1" x14ac:dyDescent="0.2">
      <c r="A627" s="129"/>
      <c r="B627" s="129"/>
      <c r="C627" s="129"/>
      <c r="D627" s="276" t="s">
        <v>616</v>
      </c>
      <c r="E627" s="277"/>
      <c r="F627" s="278"/>
      <c r="G627" s="145"/>
      <c r="H627" s="145"/>
      <c r="I627" s="145"/>
      <c r="J627" s="145"/>
      <c r="K627" s="145"/>
      <c r="L627" s="145"/>
      <c r="M627" s="145"/>
      <c r="N627" s="145"/>
      <c r="O627" s="145"/>
      <c r="P627" s="145"/>
      <c r="Q627" s="145"/>
    </row>
    <row r="628" spans="1:17" ht="14.1" customHeight="1" x14ac:dyDescent="0.2">
      <c r="A628" s="360"/>
      <c r="B628" s="360"/>
      <c r="C628" s="363" t="s">
        <v>86</v>
      </c>
      <c r="D628" s="450" t="s">
        <v>963</v>
      </c>
      <c r="E628" s="638"/>
      <c r="F628" s="598">
        <v>222937</v>
      </c>
      <c r="G628" s="405"/>
      <c r="H628" s="405"/>
      <c r="I628" s="405"/>
      <c r="J628" s="405"/>
      <c r="K628" s="405"/>
      <c r="L628" s="405">
        <f>6000+táj2!L628</f>
        <v>6000</v>
      </c>
      <c r="M628" s="405"/>
      <c r="N628" s="405"/>
      <c r="O628" s="405"/>
      <c r="P628" s="405"/>
      <c r="Q628" s="405">
        <f>SUM(G628:P628)</f>
        <v>6000</v>
      </c>
    </row>
    <row r="629" spans="1:17" ht="24.75" customHeight="1" x14ac:dyDescent="0.2">
      <c r="A629" s="660"/>
      <c r="B629" s="660"/>
      <c r="C629" s="661" t="s">
        <v>85</v>
      </c>
      <c r="D629" s="730" t="s">
        <v>1040</v>
      </c>
      <c r="E629" s="723"/>
      <c r="F629" s="598">
        <v>222939</v>
      </c>
      <c r="G629" s="724"/>
      <c r="H629" s="724"/>
      <c r="I629" s="724"/>
      <c r="J629" s="724"/>
      <c r="K629" s="724"/>
      <c r="L629" s="405"/>
      <c r="M629" s="405"/>
      <c r="N629" s="405">
        <f>20000+táj2!N629</f>
        <v>17800</v>
      </c>
      <c r="O629" s="724"/>
      <c r="P629" s="724"/>
      <c r="Q629" s="405">
        <f>SUM(G629:P629)</f>
        <v>17800</v>
      </c>
    </row>
    <row r="630" spans="1:17" ht="14.25" customHeight="1" x14ac:dyDescent="0.2">
      <c r="A630" s="660"/>
      <c r="B630" s="660"/>
      <c r="C630" s="661" t="s">
        <v>87</v>
      </c>
      <c r="D630" s="730" t="s">
        <v>1106</v>
      </c>
      <c r="E630" s="723"/>
      <c r="F630" s="684">
        <v>222938</v>
      </c>
      <c r="G630" s="724"/>
      <c r="H630" s="724"/>
      <c r="I630" s="724"/>
      <c r="J630" s="724"/>
      <c r="K630" s="724"/>
      <c r="L630" s="724">
        <f>8000+táj2!L630</f>
        <v>10000</v>
      </c>
      <c r="M630" s="724"/>
      <c r="N630" s="724"/>
      <c r="O630" s="724"/>
      <c r="P630" s="724"/>
      <c r="Q630" s="405">
        <f>SUM(G630:P630)</f>
        <v>10000</v>
      </c>
    </row>
    <row r="631" spans="1:17" ht="14.25" customHeight="1" x14ac:dyDescent="0.2">
      <c r="A631" s="814"/>
      <c r="B631" s="814"/>
      <c r="C631" s="809" t="s">
        <v>88</v>
      </c>
      <c r="D631" s="861" t="s">
        <v>1193</v>
      </c>
      <c r="E631" s="862"/>
      <c r="F631" s="810">
        <v>221983</v>
      </c>
      <c r="G631" s="863"/>
      <c r="H631" s="863"/>
      <c r="I631" s="863"/>
      <c r="J631" s="863"/>
      <c r="K631" s="863"/>
      <c r="L631" s="863"/>
      <c r="M631" s="863"/>
      <c r="N631" s="863">
        <f>0+táj2!N631</f>
        <v>500</v>
      </c>
      <c r="O631" s="863"/>
      <c r="P631" s="863"/>
      <c r="Q631" s="405">
        <f>SUM(G631:P631)</f>
        <v>500</v>
      </c>
    </row>
    <row r="632" spans="1:17" ht="14.1" customHeight="1" x14ac:dyDescent="0.2">
      <c r="A632" s="360"/>
      <c r="B632" s="360"/>
      <c r="C632" s="361"/>
      <c r="D632" s="351" t="s">
        <v>868</v>
      </c>
      <c r="E632" s="638"/>
      <c r="F632" s="601"/>
      <c r="G632" s="405"/>
      <c r="H632" s="405"/>
      <c r="I632" s="405"/>
      <c r="J632" s="405"/>
      <c r="K632" s="405"/>
      <c r="L632" s="405"/>
      <c r="M632" s="405"/>
      <c r="N632" s="405"/>
      <c r="O632" s="405"/>
      <c r="P632" s="405"/>
      <c r="Q632" s="405"/>
    </row>
    <row r="633" spans="1:17" ht="14.1" customHeight="1" x14ac:dyDescent="0.2">
      <c r="A633" s="360"/>
      <c r="B633" s="360"/>
      <c r="C633" s="363" t="s">
        <v>294</v>
      </c>
      <c r="D633" s="375" t="s">
        <v>964</v>
      </c>
      <c r="E633" s="638"/>
      <c r="F633" s="598">
        <v>222935</v>
      </c>
      <c r="G633" s="405"/>
      <c r="H633" s="405"/>
      <c r="I633" s="405">
        <f>5612+táj2!I633</f>
        <v>5612</v>
      </c>
      <c r="J633" s="405"/>
      <c r="K633" s="405"/>
      <c r="L633" s="405"/>
      <c r="M633" s="405"/>
      <c r="N633" s="405"/>
      <c r="O633" s="405"/>
      <c r="P633" s="405"/>
      <c r="Q633" s="405">
        <f t="shared" ref="Q633" si="48">SUM(G633:P633)</f>
        <v>5612</v>
      </c>
    </row>
    <row r="634" spans="1:17" ht="18" customHeight="1" x14ac:dyDescent="0.2">
      <c r="A634" s="124"/>
      <c r="B634" s="124"/>
      <c r="C634" s="272"/>
      <c r="D634" s="282" t="s">
        <v>617</v>
      </c>
      <c r="E634" s="274"/>
      <c r="F634" s="275"/>
      <c r="G634" s="169">
        <f>SUM(G626:G633)</f>
        <v>66535</v>
      </c>
      <c r="H634" s="169">
        <f t="shared" ref="H634:Q634" si="49">SUM(H626:H633)</f>
        <v>23212</v>
      </c>
      <c r="I634" s="169">
        <f t="shared" si="49"/>
        <v>198856</v>
      </c>
      <c r="J634" s="169">
        <f t="shared" si="49"/>
        <v>0</v>
      </c>
      <c r="K634" s="169">
        <f t="shared" si="49"/>
        <v>453971</v>
      </c>
      <c r="L634" s="169">
        <f t="shared" si="49"/>
        <v>16297</v>
      </c>
      <c r="M634" s="169">
        <f t="shared" si="49"/>
        <v>0</v>
      </c>
      <c r="N634" s="169">
        <f t="shared" si="49"/>
        <v>21250</v>
      </c>
      <c r="O634" s="169">
        <f t="shared" si="49"/>
        <v>0</v>
      </c>
      <c r="P634" s="169">
        <f t="shared" si="49"/>
        <v>0</v>
      </c>
      <c r="Q634" s="169">
        <f t="shared" si="49"/>
        <v>780121</v>
      </c>
    </row>
    <row r="635" spans="1:17" ht="18" customHeight="1" x14ac:dyDescent="0.2">
      <c r="A635" s="129">
        <v>1</v>
      </c>
      <c r="B635" s="129">
        <v>30</v>
      </c>
      <c r="C635" s="283"/>
      <c r="D635" s="281" t="s">
        <v>618</v>
      </c>
      <c r="E635" s="280"/>
      <c r="F635" s="280"/>
      <c r="G635" s="82"/>
      <c r="H635" s="107"/>
      <c r="I635" s="107"/>
      <c r="J635" s="107"/>
      <c r="K635" s="107"/>
      <c r="L635" s="107"/>
      <c r="M635" s="82"/>
      <c r="N635" s="82"/>
      <c r="O635" s="82"/>
      <c r="P635" s="82"/>
      <c r="Q635" s="82"/>
    </row>
    <row r="636" spans="1:17" ht="15.6" customHeight="1" x14ac:dyDescent="0.2">
      <c r="A636" s="129"/>
      <c r="B636" s="129">
        <v>31</v>
      </c>
      <c r="C636" s="283"/>
      <c r="D636" s="284" t="s">
        <v>619</v>
      </c>
      <c r="E636" s="82">
        <v>1</v>
      </c>
      <c r="F636" s="280">
        <v>311901</v>
      </c>
      <c r="G636" s="122"/>
      <c r="H636" s="122"/>
      <c r="I636" s="122"/>
      <c r="J636" s="122"/>
      <c r="K636" s="122">
        <f>10000+táj2!K636</f>
        <v>10000</v>
      </c>
      <c r="L636" s="122"/>
      <c r="M636" s="122"/>
      <c r="N636" s="122"/>
      <c r="O636" s="122"/>
      <c r="P636" s="122"/>
      <c r="Q636" s="82">
        <f>SUM(K636:P636)</f>
        <v>10000</v>
      </c>
    </row>
    <row r="637" spans="1:17" ht="15" customHeight="1" x14ac:dyDescent="0.2">
      <c r="A637" s="102"/>
      <c r="B637" s="102">
        <v>32</v>
      </c>
      <c r="C637" s="279"/>
      <c r="D637" s="1021" t="s">
        <v>620</v>
      </c>
      <c r="E637" s="1022"/>
      <c r="F637" s="280"/>
      <c r="G637" s="122"/>
      <c r="H637" s="107"/>
      <c r="I637" s="107"/>
      <c r="J637" s="107"/>
      <c r="K637" s="122"/>
      <c r="L637" s="107"/>
      <c r="M637" s="122"/>
      <c r="N637" s="122"/>
      <c r="O637" s="82"/>
      <c r="P637" s="82"/>
      <c r="Q637" s="82"/>
    </row>
    <row r="638" spans="1:17" ht="18" customHeight="1" x14ac:dyDescent="0.2">
      <c r="A638" s="102"/>
      <c r="B638" s="102"/>
      <c r="C638" s="279"/>
      <c r="D638" s="351" t="s">
        <v>965</v>
      </c>
      <c r="E638" s="82">
        <v>1</v>
      </c>
      <c r="F638" s="82">
        <v>321907</v>
      </c>
      <c r="G638" s="122"/>
      <c r="H638" s="122"/>
      <c r="I638" s="122"/>
      <c r="J638" s="122"/>
      <c r="K638" s="122">
        <f>0+táj2!K638</f>
        <v>0</v>
      </c>
      <c r="L638" s="122"/>
      <c r="M638" s="122"/>
      <c r="N638" s="122"/>
      <c r="O638" s="122"/>
      <c r="P638" s="122"/>
      <c r="Q638" s="82">
        <f t="shared" ref="Q638:Q645" si="50">SUM(K638:P638)</f>
        <v>0</v>
      </c>
    </row>
    <row r="639" spans="1:17" ht="17.25" customHeight="1" x14ac:dyDescent="0.2">
      <c r="A639" s="258"/>
      <c r="B639" s="258"/>
      <c r="C639" s="258"/>
      <c r="D639" s="309" t="s">
        <v>621</v>
      </c>
      <c r="E639" s="170">
        <v>1</v>
      </c>
      <c r="F639" s="171">
        <v>321903</v>
      </c>
      <c r="G639" s="122"/>
      <c r="H639" s="122"/>
      <c r="I639" s="122"/>
      <c r="J639" s="122"/>
      <c r="K639" s="122">
        <f>77789+táj2!K639</f>
        <v>113732</v>
      </c>
      <c r="L639" s="122"/>
      <c r="M639" s="122"/>
      <c r="N639" s="122"/>
      <c r="O639" s="122"/>
      <c r="P639" s="122"/>
      <c r="Q639" s="82">
        <f t="shared" si="50"/>
        <v>113732</v>
      </c>
    </row>
    <row r="640" spans="1:17" ht="18" customHeight="1" x14ac:dyDescent="0.2">
      <c r="A640" s="102"/>
      <c r="B640" s="102"/>
      <c r="C640" s="279"/>
      <c r="D640" s="281" t="s">
        <v>622</v>
      </c>
      <c r="E640" s="113">
        <v>1</v>
      </c>
      <c r="F640" s="82">
        <v>321908</v>
      </c>
      <c r="G640" s="122"/>
      <c r="H640" s="122"/>
      <c r="I640" s="122"/>
      <c r="J640" s="122"/>
      <c r="K640" s="122">
        <f>71563+táj2!K640</f>
        <v>71563</v>
      </c>
      <c r="L640" s="122"/>
      <c r="M640" s="122"/>
      <c r="N640" s="122"/>
      <c r="O640" s="122"/>
      <c r="P640" s="122"/>
      <c r="Q640" s="82">
        <f t="shared" si="50"/>
        <v>71563</v>
      </c>
    </row>
    <row r="641" spans="1:17" ht="16.899999999999999" customHeight="1" x14ac:dyDescent="0.2">
      <c r="A641" s="102"/>
      <c r="B641" s="102"/>
      <c r="C641" s="279"/>
      <c r="D641" s="254" t="s">
        <v>623</v>
      </c>
      <c r="E641" s="138">
        <v>1</v>
      </c>
      <c r="F641" s="139">
        <v>321933</v>
      </c>
      <c r="G641" s="122"/>
      <c r="H641" s="122"/>
      <c r="I641" s="122"/>
      <c r="J641" s="122"/>
      <c r="K641" s="122">
        <f>66185+táj2!K641</f>
        <v>53500</v>
      </c>
      <c r="L641" s="122"/>
      <c r="M641" s="122"/>
      <c r="N641" s="122"/>
      <c r="O641" s="122"/>
      <c r="P641" s="122"/>
      <c r="Q641" s="82">
        <f t="shared" si="50"/>
        <v>53500</v>
      </c>
    </row>
    <row r="642" spans="1:17" ht="16.899999999999999" customHeight="1" x14ac:dyDescent="0.2">
      <c r="A642" s="341"/>
      <c r="B642" s="341"/>
      <c r="C642" s="363"/>
      <c r="D642" s="404" t="s">
        <v>760</v>
      </c>
      <c r="E642" s="406">
        <v>1</v>
      </c>
      <c r="F642" s="407">
        <v>321924</v>
      </c>
      <c r="G642" s="405"/>
      <c r="H642" s="405"/>
      <c r="I642" s="405"/>
      <c r="J642" s="405"/>
      <c r="K642" s="122">
        <f>50000+táj2!K642</f>
        <v>0</v>
      </c>
      <c r="L642" s="405"/>
      <c r="M642" s="405"/>
      <c r="N642" s="405"/>
      <c r="O642" s="405"/>
      <c r="P642" s="405"/>
      <c r="Q642" s="82">
        <f t="shared" si="50"/>
        <v>0</v>
      </c>
    </row>
    <row r="643" spans="1:17" ht="15.6" customHeight="1" x14ac:dyDescent="0.2">
      <c r="A643" s="102"/>
      <c r="B643" s="102"/>
      <c r="C643" s="118"/>
      <c r="D643" s="259" t="s">
        <v>624</v>
      </c>
      <c r="E643" s="138">
        <v>1</v>
      </c>
      <c r="F643" s="139">
        <v>321934</v>
      </c>
      <c r="G643" s="122"/>
      <c r="H643" s="122"/>
      <c r="I643" s="122"/>
      <c r="J643" s="122"/>
      <c r="K643" s="122">
        <f>1758+táj2!K643</f>
        <v>632</v>
      </c>
      <c r="L643" s="122"/>
      <c r="M643" s="122"/>
      <c r="N643" s="122"/>
      <c r="O643" s="122"/>
      <c r="P643" s="122"/>
      <c r="Q643" s="82">
        <f t="shared" si="50"/>
        <v>632</v>
      </c>
    </row>
    <row r="644" spans="1:17" ht="18" customHeight="1" x14ac:dyDescent="0.2">
      <c r="A644" s="102"/>
      <c r="B644" s="102"/>
      <c r="C644" s="118"/>
      <c r="D644" s="135" t="s">
        <v>625</v>
      </c>
      <c r="E644" s="138">
        <v>1</v>
      </c>
      <c r="F644" s="139">
        <v>321911</v>
      </c>
      <c r="G644" s="122"/>
      <c r="H644" s="122"/>
      <c r="I644" s="122"/>
      <c r="J644" s="122"/>
      <c r="K644" s="122">
        <f>40300+táj2!K644</f>
        <v>39809</v>
      </c>
      <c r="L644" s="122"/>
      <c r="M644" s="122"/>
      <c r="N644" s="122"/>
      <c r="O644" s="122"/>
      <c r="P644" s="122"/>
      <c r="Q644" s="82">
        <f t="shared" si="50"/>
        <v>39809</v>
      </c>
    </row>
    <row r="645" spans="1:17" ht="24" customHeight="1" x14ac:dyDescent="0.2">
      <c r="A645" s="679"/>
      <c r="B645" s="679"/>
      <c r="C645" s="661"/>
      <c r="D645" s="725" t="s">
        <v>1041</v>
      </c>
      <c r="E645" s="707">
        <v>1</v>
      </c>
      <c r="F645" s="678">
        <v>321928</v>
      </c>
      <c r="G645" s="724"/>
      <c r="H645" s="724"/>
      <c r="I645" s="724"/>
      <c r="J645" s="724"/>
      <c r="K645" s="122">
        <f>217496+táj2!K645</f>
        <v>190996</v>
      </c>
      <c r="L645" s="724"/>
      <c r="M645" s="724"/>
      <c r="N645" s="724"/>
      <c r="O645" s="724"/>
      <c r="P645" s="724"/>
      <c r="Q645" s="82">
        <f t="shared" si="50"/>
        <v>190996</v>
      </c>
    </row>
    <row r="646" spans="1:17" ht="16.899999999999999" customHeight="1" x14ac:dyDescent="0.2">
      <c r="A646" s="102"/>
      <c r="B646" s="102"/>
      <c r="C646" s="118"/>
      <c r="D646" s="143" t="s">
        <v>626</v>
      </c>
      <c r="E646" s="82"/>
      <c r="F646" s="82"/>
      <c r="G646" s="122"/>
      <c r="H646" s="107"/>
      <c r="I646" s="107"/>
      <c r="J646" s="107"/>
      <c r="K646" s="122"/>
      <c r="L646" s="107"/>
      <c r="M646" s="82"/>
      <c r="N646" s="82"/>
      <c r="O646" s="82"/>
      <c r="P646" s="82"/>
      <c r="Q646" s="82"/>
    </row>
    <row r="647" spans="1:17" ht="18" customHeight="1" x14ac:dyDescent="0.2">
      <c r="A647" s="102"/>
      <c r="B647" s="102"/>
      <c r="C647" s="118" t="s">
        <v>86</v>
      </c>
      <c r="D647" s="260" t="s">
        <v>627</v>
      </c>
      <c r="E647" s="82">
        <v>1</v>
      </c>
      <c r="F647" s="82">
        <v>324902</v>
      </c>
      <c r="G647" s="122"/>
      <c r="H647" s="122"/>
      <c r="I647" s="122"/>
      <c r="J647" s="122"/>
      <c r="K647" s="122"/>
      <c r="L647" s="122"/>
      <c r="M647" s="122">
        <f>5356+táj2!M647</f>
        <v>4153</v>
      </c>
      <c r="N647" s="122"/>
      <c r="O647" s="122"/>
      <c r="P647" s="122"/>
      <c r="Q647" s="82">
        <f>SUM(K647:P647)</f>
        <v>4153</v>
      </c>
    </row>
    <row r="648" spans="1:17" ht="18" customHeight="1" x14ac:dyDescent="0.2">
      <c r="A648" s="285"/>
      <c r="B648" s="285"/>
      <c r="C648" s="286" t="s">
        <v>85</v>
      </c>
      <c r="D648" s="261" t="s">
        <v>657</v>
      </c>
      <c r="E648" s="130">
        <v>1</v>
      </c>
      <c r="F648" s="130">
        <v>322906</v>
      </c>
      <c r="G648" s="288"/>
      <c r="H648" s="288"/>
      <c r="I648" s="288"/>
      <c r="J648" s="288"/>
      <c r="K648" s="122"/>
      <c r="L648" s="122">
        <f>5000+táj2!L648</f>
        <v>0</v>
      </c>
      <c r="M648" s="288"/>
      <c r="N648" s="288"/>
      <c r="O648" s="288"/>
      <c r="P648" s="288"/>
      <c r="Q648" s="82">
        <f t="shared" ref="Q648:Q649" si="51">SUM(K648:P648)</f>
        <v>0</v>
      </c>
    </row>
    <row r="649" spans="1:17" ht="18" customHeight="1" x14ac:dyDescent="0.2">
      <c r="A649" s="408"/>
      <c r="B649" s="408"/>
      <c r="C649" s="409" t="s">
        <v>87</v>
      </c>
      <c r="D649" s="411" t="s">
        <v>761</v>
      </c>
      <c r="E649" s="401">
        <v>1</v>
      </c>
      <c r="F649" s="401">
        <v>322909</v>
      </c>
      <c r="G649" s="410"/>
      <c r="H649" s="410"/>
      <c r="I649" s="410"/>
      <c r="J649" s="410"/>
      <c r="K649" s="122"/>
      <c r="L649" s="122">
        <f>754669+táj2!L649</f>
        <v>754669</v>
      </c>
      <c r="M649" s="410"/>
      <c r="N649" s="410"/>
      <c r="O649" s="410"/>
      <c r="P649" s="410"/>
      <c r="Q649" s="82">
        <f t="shared" si="51"/>
        <v>754669</v>
      </c>
    </row>
    <row r="650" spans="1:17" ht="15.95" customHeight="1" x14ac:dyDescent="0.2">
      <c r="A650" s="124"/>
      <c r="B650" s="124"/>
      <c r="C650" s="125"/>
      <c r="D650" s="126" t="s">
        <v>628</v>
      </c>
      <c r="E650" s="127"/>
      <c r="F650" s="172"/>
      <c r="G650" s="173">
        <f t="shared" ref="G650:Q650" si="52">SUM(G636:G649)</f>
        <v>0</v>
      </c>
      <c r="H650" s="173">
        <f t="shared" si="52"/>
        <v>0</v>
      </c>
      <c r="I650" s="173">
        <f t="shared" si="52"/>
        <v>0</v>
      </c>
      <c r="J650" s="173">
        <f t="shared" si="52"/>
        <v>0</v>
      </c>
      <c r="K650" s="173">
        <f t="shared" si="52"/>
        <v>480232</v>
      </c>
      <c r="L650" s="173">
        <f t="shared" si="52"/>
        <v>754669</v>
      </c>
      <c r="M650" s="173">
        <f t="shared" si="52"/>
        <v>4153</v>
      </c>
      <c r="N650" s="173">
        <f t="shared" si="52"/>
        <v>0</v>
      </c>
      <c r="O650" s="173">
        <f t="shared" si="52"/>
        <v>0</v>
      </c>
      <c r="P650" s="173">
        <f t="shared" si="52"/>
        <v>0</v>
      </c>
      <c r="Q650" s="173">
        <f t="shared" si="52"/>
        <v>1239054</v>
      </c>
    </row>
    <row r="651" spans="1:17" ht="21.75" customHeight="1" x14ac:dyDescent="0.2">
      <c r="A651" s="124"/>
      <c r="B651" s="124"/>
      <c r="C651" s="125"/>
      <c r="D651" s="262" t="s">
        <v>629</v>
      </c>
      <c r="E651" s="263"/>
      <c r="F651" s="264"/>
      <c r="G651" s="174">
        <f t="shared" ref="G651:Q651" si="53">SUM(G48+G212+G224+G382+G510+G528+G556+G589+G634+G650)</f>
        <v>563773</v>
      </c>
      <c r="H651" s="174">
        <f t="shared" si="53"/>
        <v>95624</v>
      </c>
      <c r="I651" s="174">
        <f t="shared" si="53"/>
        <v>6889527</v>
      </c>
      <c r="J651" s="174">
        <f t="shared" si="53"/>
        <v>109770</v>
      </c>
      <c r="K651" s="174">
        <f t="shared" si="53"/>
        <v>7480524</v>
      </c>
      <c r="L651" s="174">
        <f t="shared" si="53"/>
        <v>9990279</v>
      </c>
      <c r="M651" s="174">
        <f t="shared" si="53"/>
        <v>5356719</v>
      </c>
      <c r="N651" s="174">
        <f t="shared" si="53"/>
        <v>201721</v>
      </c>
      <c r="O651" s="174">
        <f t="shared" si="53"/>
        <v>117852</v>
      </c>
      <c r="P651" s="174">
        <f t="shared" si="53"/>
        <v>5577027</v>
      </c>
      <c r="Q651" s="174">
        <f t="shared" si="53"/>
        <v>36382816</v>
      </c>
    </row>
    <row r="652" spans="1:17" ht="15.95" customHeight="1" x14ac:dyDescent="0.2">
      <c r="A652" s="102">
        <v>2</v>
      </c>
      <c r="B652" s="102"/>
      <c r="C652" s="102"/>
      <c r="D652" s="104" t="s">
        <v>161</v>
      </c>
      <c r="E652" s="130"/>
      <c r="F652" s="175"/>
      <c r="G652" s="176">
        <f>7494235+táj4!D22</f>
        <v>7537318</v>
      </c>
      <c r="H652" s="176">
        <f>1071108+táj4!E22</f>
        <v>1053108</v>
      </c>
      <c r="I652" s="176">
        <f>4179272+táj4!F22</f>
        <v>4270803</v>
      </c>
      <c r="J652" s="176">
        <f>10915+táj4!G22</f>
        <v>10915</v>
      </c>
      <c r="K652" s="176">
        <f>27739+táj4!H22</f>
        <v>27799</v>
      </c>
      <c r="L652" s="176">
        <f>269108+táj4!I22</f>
        <v>285682</v>
      </c>
      <c r="M652" s="176">
        <f>90700+táj4!J22</f>
        <v>95310</v>
      </c>
      <c r="N652" s="176">
        <f>0+táj4!K22</f>
        <v>0</v>
      </c>
      <c r="O652" s="176"/>
      <c r="P652" s="176"/>
      <c r="Q652" s="176">
        <f>SUM(G652:P652)</f>
        <v>13280935</v>
      </c>
    </row>
    <row r="653" spans="1:17" ht="15.95" customHeight="1" x14ac:dyDescent="0.2">
      <c r="A653" s="124"/>
      <c r="B653" s="124"/>
      <c r="C653" s="125"/>
      <c r="D653" s="126" t="s">
        <v>151</v>
      </c>
      <c r="E653" s="151"/>
      <c r="F653" s="177"/>
      <c r="G653" s="24">
        <f>SUM(G651:G652)</f>
        <v>8101091</v>
      </c>
      <c r="H653" s="24">
        <f t="shared" ref="H653:P653" si="54">SUM(H651:H652)</f>
        <v>1148732</v>
      </c>
      <c r="I653" s="24">
        <f t="shared" si="54"/>
        <v>11160330</v>
      </c>
      <c r="J653" s="24">
        <f t="shared" si="54"/>
        <v>120685</v>
      </c>
      <c r="K653" s="24">
        <f t="shared" si="54"/>
        <v>7508323</v>
      </c>
      <c r="L653" s="24">
        <f t="shared" si="54"/>
        <v>10275961</v>
      </c>
      <c r="M653" s="24">
        <f t="shared" si="54"/>
        <v>5452029</v>
      </c>
      <c r="N653" s="24">
        <f t="shared" si="54"/>
        <v>201721</v>
      </c>
      <c r="O653" s="24">
        <f t="shared" si="54"/>
        <v>117852</v>
      </c>
      <c r="P653" s="24">
        <f t="shared" si="54"/>
        <v>5577027</v>
      </c>
      <c r="Q653" s="24">
        <f>SUM(Q651:Q652)</f>
        <v>49663751</v>
      </c>
    </row>
    <row r="654" spans="1:17" x14ac:dyDescent="0.2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65"/>
      <c r="N654" s="265"/>
      <c r="O654" s="23"/>
      <c r="P654" s="23"/>
      <c r="Q654" s="23"/>
    </row>
    <row r="655" spans="1:17" ht="12.75" hidden="1" customHeight="1" x14ac:dyDescent="0.2">
      <c r="M655" s="947"/>
      <c r="N655" s="35">
        <f>SUM(G653:N653)</f>
        <v>43968872</v>
      </c>
      <c r="O655" s="35"/>
      <c r="P655" s="35">
        <f>SUM(O653:P653)</f>
        <v>5694879</v>
      </c>
      <c r="Q655" s="35">
        <f>SUM(P655,N655)</f>
        <v>49663751</v>
      </c>
    </row>
  </sheetData>
  <sheetProtection selectLockedCells="1" selectUnlockedCells="1"/>
  <mergeCells count="11">
    <mergeCell ref="D637:E637"/>
    <mergeCell ref="A1:A2"/>
    <mergeCell ref="B1:B2"/>
    <mergeCell ref="C1:C2"/>
    <mergeCell ref="D1:D2"/>
    <mergeCell ref="E1:E2"/>
    <mergeCell ref="G1:N1"/>
    <mergeCell ref="O1:P1"/>
    <mergeCell ref="Q1:Q2"/>
    <mergeCell ref="F1:F2"/>
    <mergeCell ref="D382:E382"/>
  </mergeCells>
  <phoneticPr fontId="100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 2025.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workbookViewId="0">
      <pane ySplit="2" topLeftCell="A3" activePane="bottomLeft" state="frozen"/>
      <selection activeCell="G28" sqref="G28"/>
      <selection pane="bottomLeft" activeCell="J27" sqref="J27"/>
    </sheetView>
  </sheetViews>
  <sheetFormatPr defaultColWidth="9.33203125" defaultRowHeight="12.75" x14ac:dyDescent="0.2"/>
  <cols>
    <col min="1" max="1" width="3.1640625" style="50" customWidth="1"/>
    <col min="2" max="2" width="3.33203125" style="50" customWidth="1"/>
    <col min="3" max="3" width="48.83203125" style="50" bestFit="1" customWidth="1"/>
    <col min="4" max="4" width="14.1640625" style="50" customWidth="1"/>
    <col min="5" max="5" width="13.1640625" style="50" customWidth="1"/>
    <col min="6" max="6" width="12.83203125" style="50" customWidth="1"/>
    <col min="7" max="8" width="12.33203125" style="50" customWidth="1"/>
    <col min="9" max="9" width="11.6640625" style="50" customWidth="1"/>
    <col min="10" max="10" width="10.33203125" style="50" customWidth="1"/>
    <col min="11" max="11" width="12" style="50" customWidth="1"/>
    <col min="12" max="13" width="12.33203125" style="50" customWidth="1"/>
    <col min="14" max="14" width="12.83203125" style="50" customWidth="1"/>
    <col min="15" max="15" width="14.83203125" style="50" customWidth="1"/>
    <col min="16" max="16" width="12" style="50" customWidth="1"/>
    <col min="17" max="17" width="12.5" style="50" customWidth="1"/>
    <col min="18" max="16384" width="9.33203125" style="50"/>
  </cols>
  <sheetData>
    <row r="1" spans="1:17" ht="12.75" customHeight="1" x14ac:dyDescent="0.2">
      <c r="A1" s="1029" t="s">
        <v>731</v>
      </c>
      <c r="B1" s="1033" t="s">
        <v>17</v>
      </c>
      <c r="C1" s="1003" t="s">
        <v>115</v>
      </c>
      <c r="D1" s="1031" t="s">
        <v>1078</v>
      </c>
      <c r="E1" s="1031" t="s">
        <v>843</v>
      </c>
      <c r="F1" s="1031" t="s">
        <v>733</v>
      </c>
      <c r="G1" s="1034" t="s">
        <v>122</v>
      </c>
      <c r="H1" s="1034"/>
      <c r="I1" s="1034"/>
      <c r="J1" s="1034"/>
      <c r="K1" s="1034"/>
      <c r="L1" s="1034"/>
      <c r="M1" s="1034"/>
      <c r="N1" s="1034" t="s">
        <v>174</v>
      </c>
      <c r="O1" s="1034"/>
      <c r="P1" s="1034"/>
      <c r="Q1" s="1031" t="s">
        <v>844</v>
      </c>
    </row>
    <row r="2" spans="1:17" s="51" customFormat="1" ht="78" customHeight="1" x14ac:dyDescent="0.2">
      <c r="A2" s="1030"/>
      <c r="B2" s="1033"/>
      <c r="C2" s="1003"/>
      <c r="D2" s="1035"/>
      <c r="E2" s="1032"/>
      <c r="F2" s="1032"/>
      <c r="G2" s="54" t="s">
        <v>12</v>
      </c>
      <c r="H2" s="54" t="s">
        <v>13</v>
      </c>
      <c r="I2" s="44" t="s">
        <v>14</v>
      </c>
      <c r="J2" s="54" t="s">
        <v>170</v>
      </c>
      <c r="K2" s="44" t="s">
        <v>171</v>
      </c>
      <c r="L2" s="44" t="s">
        <v>172</v>
      </c>
      <c r="M2" s="44" t="s">
        <v>173</v>
      </c>
      <c r="N2" s="44" t="s">
        <v>124</v>
      </c>
      <c r="O2" s="44" t="s">
        <v>89</v>
      </c>
      <c r="P2" s="44" t="s">
        <v>126</v>
      </c>
      <c r="Q2" s="1032"/>
    </row>
    <row r="3" spans="1:17" s="51" customFormat="1" ht="15.75" customHeight="1" x14ac:dyDescent="0.2">
      <c r="A3" s="321">
        <v>2</v>
      </c>
      <c r="B3" s="313"/>
      <c r="C3" s="323" t="s">
        <v>161</v>
      </c>
      <c r="D3" s="751"/>
      <c r="E3" s="326"/>
      <c r="F3" s="326"/>
      <c r="G3" s="314"/>
      <c r="H3" s="314"/>
      <c r="I3" s="315"/>
      <c r="J3" s="314"/>
      <c r="K3" s="315"/>
      <c r="L3" s="315"/>
      <c r="M3" s="315"/>
      <c r="N3" s="315"/>
      <c r="O3" s="315"/>
      <c r="P3" s="315"/>
      <c r="Q3" s="316"/>
    </row>
    <row r="4" spans="1:17" ht="17.100000000000001" customHeight="1" x14ac:dyDescent="0.2">
      <c r="A4" s="311"/>
      <c r="B4" s="312">
        <v>1</v>
      </c>
      <c r="C4" s="55" t="s">
        <v>117</v>
      </c>
      <c r="D4" s="752">
        <v>2207865</v>
      </c>
      <c r="E4" s="327">
        <v>2396463</v>
      </c>
      <c r="F4" s="327">
        <f>13035+táj3!N4</f>
        <v>40028</v>
      </c>
      <c r="G4" s="56">
        <f>2848+táj3!D4</f>
        <v>6186</v>
      </c>
      <c r="H4" s="56">
        <f>0+táj3!E4</f>
        <v>0</v>
      </c>
      <c r="I4" s="56">
        <f>5000+táj3!F4</f>
        <v>5000</v>
      </c>
      <c r="J4" s="56">
        <f>31309+táj3!G4</f>
        <v>32551</v>
      </c>
      <c r="K4" s="56">
        <f>0+táj3!H4</f>
        <v>2413</v>
      </c>
      <c r="L4" s="56">
        <f>0+táj3!I4</f>
        <v>0</v>
      </c>
      <c r="M4" s="56">
        <f>0+táj3!J4</f>
        <v>0</v>
      </c>
      <c r="N4" s="56">
        <f>86407+táj3!K4</f>
        <v>86407</v>
      </c>
      <c r="O4" s="56">
        <f>2283934+táj3!L4</f>
        <v>2303934</v>
      </c>
      <c r="P4" s="56">
        <f>0+táj3!M4</f>
        <v>0</v>
      </c>
      <c r="Q4" s="56">
        <f t="shared" ref="Q4:Q21" si="0">SUM(G4:P4)</f>
        <v>2436491</v>
      </c>
    </row>
    <row r="5" spans="1:17" ht="17.100000000000001" customHeight="1" x14ac:dyDescent="0.2">
      <c r="A5" s="311"/>
      <c r="B5" s="312">
        <v>2</v>
      </c>
      <c r="C5" s="55" t="s">
        <v>113</v>
      </c>
      <c r="D5" s="752">
        <v>2190269</v>
      </c>
      <c r="E5" s="327">
        <v>2163205</v>
      </c>
      <c r="F5" s="327">
        <f>108705+táj3!N5</f>
        <v>90271</v>
      </c>
      <c r="G5" s="56">
        <f>237551+táj3!D5</f>
        <v>237551</v>
      </c>
      <c r="H5" s="56">
        <f>0+táj3!E5</f>
        <v>0</v>
      </c>
      <c r="I5" s="56">
        <f>0+táj3!F5</f>
        <v>0</v>
      </c>
      <c r="J5" s="56">
        <f>846571+táj3!G5</f>
        <v>846571</v>
      </c>
      <c r="K5" s="56">
        <f>0+táj3!H5</f>
        <v>0</v>
      </c>
      <c r="L5" s="56">
        <f>0+táj3!I5</f>
        <v>0</v>
      </c>
      <c r="M5" s="56">
        <f>0+táj3!J5</f>
        <v>0</v>
      </c>
      <c r="N5" s="56">
        <f>212430+táj3!K5</f>
        <v>212430</v>
      </c>
      <c r="O5" s="56">
        <f>975358+táj3!L5</f>
        <v>956924</v>
      </c>
      <c r="P5" s="56">
        <f>0+táj3!M5</f>
        <v>0</v>
      </c>
      <c r="Q5" s="56">
        <f t="shared" si="0"/>
        <v>2253476</v>
      </c>
    </row>
    <row r="6" spans="1:17" ht="17.100000000000001" customHeight="1" x14ac:dyDescent="0.2">
      <c r="A6" s="311"/>
      <c r="B6" s="312">
        <v>3</v>
      </c>
      <c r="C6" s="55" t="s">
        <v>141</v>
      </c>
      <c r="D6" s="752">
        <v>1254349</v>
      </c>
      <c r="E6" s="327">
        <v>1209248</v>
      </c>
      <c r="F6" s="327">
        <f>131634+táj3!N6</f>
        <v>135081</v>
      </c>
      <c r="G6" s="56">
        <f>0+táj3!D6</f>
        <v>0</v>
      </c>
      <c r="H6" s="56">
        <f>800+táj3!E6</f>
        <v>800</v>
      </c>
      <c r="I6" s="56">
        <f>0+táj3!F6</f>
        <v>0</v>
      </c>
      <c r="J6" s="56">
        <f>89067+táj3!G6</f>
        <v>89067</v>
      </c>
      <c r="K6" s="56">
        <f>0+táj3!H6</f>
        <v>0</v>
      </c>
      <c r="L6" s="56">
        <f>0+táj3!I6</f>
        <v>0</v>
      </c>
      <c r="M6" s="56">
        <f>0+táj3!J6</f>
        <v>0</v>
      </c>
      <c r="N6" s="56">
        <f>148808+táj3!K6</f>
        <v>148808</v>
      </c>
      <c r="O6" s="56">
        <f>1102207+táj3!L6</f>
        <v>1105654</v>
      </c>
      <c r="P6" s="56"/>
      <c r="Q6" s="56">
        <f t="shared" si="0"/>
        <v>1344329</v>
      </c>
    </row>
    <row r="7" spans="1:17" ht="24" customHeight="1" x14ac:dyDescent="0.2">
      <c r="A7" s="311"/>
      <c r="B7" s="312">
        <v>4</v>
      </c>
      <c r="C7" s="57" t="s">
        <v>163</v>
      </c>
      <c r="D7" s="832">
        <v>482328</v>
      </c>
      <c r="E7" s="833">
        <v>382822</v>
      </c>
      <c r="F7" s="327">
        <f>125596+táj3!N7</f>
        <v>144278</v>
      </c>
      <c r="G7" s="56">
        <f>0+táj3!D7</f>
        <v>0</v>
      </c>
      <c r="H7" s="56">
        <f>0+táj3!E7</f>
        <v>0</v>
      </c>
      <c r="I7" s="56">
        <f>0+táj3!F7</f>
        <v>0</v>
      </c>
      <c r="J7" s="56">
        <f>0+táj3!G7</f>
        <v>0</v>
      </c>
      <c r="K7" s="56">
        <f>0+táj3!H7</f>
        <v>0</v>
      </c>
      <c r="L7" s="56">
        <f>0+táj3!I7</f>
        <v>0</v>
      </c>
      <c r="M7" s="56">
        <f>0+táj3!J7</f>
        <v>0</v>
      </c>
      <c r="N7" s="56">
        <f>118514+táj3!K7</f>
        <v>118514</v>
      </c>
      <c r="O7" s="56">
        <f>389904+táj3!L7</f>
        <v>408586</v>
      </c>
      <c r="P7" s="56">
        <f>0+táj3!M7</f>
        <v>0</v>
      </c>
      <c r="Q7" s="56">
        <f t="shared" si="0"/>
        <v>527100</v>
      </c>
    </row>
    <row r="8" spans="1:17" ht="24" customHeight="1" x14ac:dyDescent="0.2">
      <c r="A8" s="311"/>
      <c r="B8" s="312">
        <v>5</v>
      </c>
      <c r="C8" s="58" t="s">
        <v>142</v>
      </c>
      <c r="D8" s="753">
        <v>634440</v>
      </c>
      <c r="E8" s="833">
        <v>727176</v>
      </c>
      <c r="F8" s="327">
        <f>13519+táj3!N8</f>
        <v>15149</v>
      </c>
      <c r="G8" s="56">
        <f>426+táj3!D8</f>
        <v>426</v>
      </c>
      <c r="H8" s="56">
        <f>144+táj3!E8</f>
        <v>144</v>
      </c>
      <c r="I8" s="56">
        <f>0+táj3!F8</f>
        <v>0</v>
      </c>
      <c r="J8" s="56">
        <f>18697+táj3!G8</f>
        <v>18697</v>
      </c>
      <c r="K8" s="56">
        <f>0+táj3!H8</f>
        <v>0</v>
      </c>
      <c r="L8" s="56">
        <f>0+táj3!I8</f>
        <v>0</v>
      </c>
      <c r="M8" s="56">
        <f>0+táj3!J8</f>
        <v>0</v>
      </c>
      <c r="N8" s="56">
        <f>45951+táj3!K8</f>
        <v>45951</v>
      </c>
      <c r="O8" s="56">
        <f>675477+táj3!L8</f>
        <v>677107</v>
      </c>
      <c r="P8" s="56">
        <f>0+táj3!M8</f>
        <v>0</v>
      </c>
      <c r="Q8" s="56">
        <f t="shared" si="0"/>
        <v>742325</v>
      </c>
    </row>
    <row r="9" spans="1:17" ht="17.100000000000001" customHeight="1" x14ac:dyDescent="0.2">
      <c r="A9" s="311"/>
      <c r="B9" s="312">
        <v>6</v>
      </c>
      <c r="C9" s="58" t="s">
        <v>143</v>
      </c>
      <c r="D9" s="753">
        <v>529445</v>
      </c>
      <c r="E9" s="328">
        <v>553787</v>
      </c>
      <c r="F9" s="327">
        <f>23114+táj3!N9</f>
        <v>27386</v>
      </c>
      <c r="G9" s="56">
        <f>370+táj3!D9</f>
        <v>370</v>
      </c>
      <c r="H9" s="56">
        <f>131+táj3!E9</f>
        <v>131</v>
      </c>
      <c r="I9" s="56">
        <f>0+táj3!F9</f>
        <v>0</v>
      </c>
      <c r="J9" s="56">
        <f>46706+táj3!G9</f>
        <v>46706</v>
      </c>
      <c r="K9" s="56">
        <f>0+táj3!H9</f>
        <v>0</v>
      </c>
      <c r="L9" s="56">
        <f>0+táj3!I9</f>
        <v>0</v>
      </c>
      <c r="M9" s="56">
        <f>0+táj3!J9</f>
        <v>0</v>
      </c>
      <c r="N9" s="56">
        <f>42903+táj3!K9</f>
        <v>42903</v>
      </c>
      <c r="O9" s="56">
        <f>486791+táj3!L9</f>
        <v>491063</v>
      </c>
      <c r="P9" s="56">
        <f>0+táj3!M9</f>
        <v>0</v>
      </c>
      <c r="Q9" s="56">
        <f t="shared" si="0"/>
        <v>581173</v>
      </c>
    </row>
    <row r="10" spans="1:17" ht="17.100000000000001" customHeight="1" x14ac:dyDescent="0.2">
      <c r="A10" s="311"/>
      <c r="B10" s="312">
        <v>7</v>
      </c>
      <c r="C10" s="58" t="s">
        <v>144</v>
      </c>
      <c r="D10" s="753">
        <v>585010</v>
      </c>
      <c r="E10" s="328">
        <v>645706</v>
      </c>
      <c r="F10" s="327">
        <f>5808+táj3!N10</f>
        <v>6374</v>
      </c>
      <c r="G10" s="56">
        <f>170+táj3!D10</f>
        <v>170</v>
      </c>
      <c r="H10" s="56">
        <f>0+táj3!E10</f>
        <v>0</v>
      </c>
      <c r="I10" s="56">
        <f>0+táj3!F10</f>
        <v>0</v>
      </c>
      <c r="J10" s="56">
        <f>30071+táj3!G10</f>
        <v>30071</v>
      </c>
      <c r="K10" s="56">
        <f>0+táj3!H10</f>
        <v>0</v>
      </c>
      <c r="L10" s="56">
        <f>0+táj3!I10</f>
        <v>0</v>
      </c>
      <c r="M10" s="56">
        <f>0+táj3!J10</f>
        <v>988</v>
      </c>
      <c r="N10" s="56">
        <f>31073+táj3!K10</f>
        <v>31073</v>
      </c>
      <c r="O10" s="56">
        <f>590200+táj3!L10</f>
        <v>589778</v>
      </c>
      <c r="P10" s="56">
        <f>0+táj3!M10</f>
        <v>0</v>
      </c>
      <c r="Q10" s="56">
        <f t="shared" si="0"/>
        <v>652080</v>
      </c>
    </row>
    <row r="11" spans="1:17" ht="17.100000000000001" customHeight="1" x14ac:dyDescent="0.2">
      <c r="A11" s="311"/>
      <c r="B11" s="312">
        <v>8</v>
      </c>
      <c r="C11" s="58" t="s">
        <v>145</v>
      </c>
      <c r="D11" s="753">
        <v>515065</v>
      </c>
      <c r="E11" s="328">
        <v>556909</v>
      </c>
      <c r="F11" s="327">
        <f>25849+táj3!N11</f>
        <v>27004</v>
      </c>
      <c r="G11" s="56">
        <f>170+táj3!D11</f>
        <v>170</v>
      </c>
      <c r="H11" s="56">
        <f>0+táj3!E11</f>
        <v>0</v>
      </c>
      <c r="I11" s="56">
        <f>0+táj3!F11</f>
        <v>0</v>
      </c>
      <c r="J11" s="56">
        <f>30736+táj3!G11</f>
        <v>30736</v>
      </c>
      <c r="K11" s="56">
        <f>0+táj3!H11</f>
        <v>0</v>
      </c>
      <c r="L11" s="56">
        <f>0+táj3!I11</f>
        <v>0</v>
      </c>
      <c r="M11" s="56">
        <f>0+táj3!J11</f>
        <v>0</v>
      </c>
      <c r="N11" s="56">
        <f>24443+táj3!K11</f>
        <v>24443</v>
      </c>
      <c r="O11" s="56">
        <f>527409+táj3!L11</f>
        <v>528564</v>
      </c>
      <c r="P11" s="56">
        <f>0+táj3!M11</f>
        <v>0</v>
      </c>
      <c r="Q11" s="56">
        <f t="shared" si="0"/>
        <v>583913</v>
      </c>
    </row>
    <row r="12" spans="1:17" ht="17.100000000000001" customHeight="1" x14ac:dyDescent="0.2">
      <c r="A12" s="311"/>
      <c r="B12" s="312">
        <v>9</v>
      </c>
      <c r="C12" s="58" t="s">
        <v>164</v>
      </c>
      <c r="D12" s="753">
        <v>92322</v>
      </c>
      <c r="E12" s="328">
        <v>102618</v>
      </c>
      <c r="F12" s="327">
        <f>5179+táj3!N12</f>
        <v>5683</v>
      </c>
      <c r="G12" s="56">
        <f>400+táj3!D12</f>
        <v>400</v>
      </c>
      <c r="H12" s="56">
        <f>0+táj3!E12</f>
        <v>0</v>
      </c>
      <c r="I12" s="56">
        <f>0+táj3!F12</f>
        <v>0</v>
      </c>
      <c r="J12" s="56">
        <f>13+táj3!G12</f>
        <v>17</v>
      </c>
      <c r="K12" s="56">
        <f>0+táj3!H12</f>
        <v>0</v>
      </c>
      <c r="L12" s="56">
        <f>0+táj3!I12</f>
        <v>0</v>
      </c>
      <c r="M12" s="56">
        <f>0+táj3!J12</f>
        <v>0</v>
      </c>
      <c r="N12" s="56">
        <f>2273+táj3!K12</f>
        <v>2273</v>
      </c>
      <c r="O12" s="56">
        <f>105111+táj3!L12</f>
        <v>105611</v>
      </c>
      <c r="P12" s="56">
        <f>0+táj3!M12</f>
        <v>0</v>
      </c>
      <c r="Q12" s="56">
        <f t="shared" si="0"/>
        <v>108301</v>
      </c>
    </row>
    <row r="13" spans="1:17" ht="18" customHeight="1" x14ac:dyDescent="0.2">
      <c r="A13" s="311"/>
      <c r="B13" s="312">
        <v>10</v>
      </c>
      <c r="C13" s="59" t="s">
        <v>139</v>
      </c>
      <c r="D13" s="834">
        <v>674544</v>
      </c>
      <c r="E13" s="328">
        <v>579040</v>
      </c>
      <c r="F13" s="327">
        <f>30521+táj3!N13</f>
        <v>68384</v>
      </c>
      <c r="G13" s="56">
        <f>29994+táj3!D13</f>
        <v>32539</v>
      </c>
      <c r="H13" s="56">
        <f>850+táj3!E13</f>
        <v>850</v>
      </c>
      <c r="I13" s="56">
        <f>0+táj3!F13</f>
        <v>0</v>
      </c>
      <c r="J13" s="56">
        <f>168767+táj3!G13</f>
        <v>192280</v>
      </c>
      <c r="K13" s="56">
        <f>0+táj3!H13</f>
        <v>0</v>
      </c>
      <c r="L13" s="56">
        <f>0+táj3!I13</f>
        <v>1200</v>
      </c>
      <c r="M13" s="56">
        <f>0+táj3!J13</f>
        <v>0</v>
      </c>
      <c r="N13" s="56">
        <f>11450+táj3!K13</f>
        <v>11450</v>
      </c>
      <c r="O13" s="56">
        <f>398500+táj3!L13</f>
        <v>409105</v>
      </c>
      <c r="P13" s="56">
        <f>0+táj3!M13</f>
        <v>0</v>
      </c>
      <c r="Q13" s="56">
        <f t="shared" si="0"/>
        <v>647424</v>
      </c>
    </row>
    <row r="14" spans="1:17" ht="17.100000000000001" customHeight="1" x14ac:dyDescent="0.2">
      <c r="A14" s="311"/>
      <c r="B14" s="312">
        <v>11</v>
      </c>
      <c r="C14" s="57" t="s">
        <v>146</v>
      </c>
      <c r="D14" s="832">
        <v>37202</v>
      </c>
      <c r="E14" s="835">
        <v>31295</v>
      </c>
      <c r="F14" s="327">
        <f>4593+táj3!N14</f>
        <v>7507</v>
      </c>
      <c r="G14" s="56">
        <f>3500+táj3!D14</f>
        <v>3500</v>
      </c>
      <c r="H14" s="56">
        <f>0+táj3!E14</f>
        <v>260</v>
      </c>
      <c r="I14" s="56">
        <f>0+táj3!F14</f>
        <v>0</v>
      </c>
      <c r="J14" s="56">
        <f>1780+táj3!G14</f>
        <v>3030</v>
      </c>
      <c r="K14" s="56">
        <f>0+táj3!H14</f>
        <v>0</v>
      </c>
      <c r="L14" s="56">
        <f>0+táj3!I14</f>
        <v>0</v>
      </c>
      <c r="M14" s="56">
        <f>0+táj3!J14</f>
        <v>0</v>
      </c>
      <c r="N14" s="56">
        <f>1589+táj3!K14</f>
        <v>1589</v>
      </c>
      <c r="O14" s="56">
        <f>29019+táj3!L14</f>
        <v>30423</v>
      </c>
      <c r="P14" s="56">
        <f>0+táj3!M14</f>
        <v>0</v>
      </c>
      <c r="Q14" s="56">
        <f t="shared" si="0"/>
        <v>38802</v>
      </c>
    </row>
    <row r="15" spans="1:17" ht="29.45" customHeight="1" x14ac:dyDescent="0.2">
      <c r="A15" s="311"/>
      <c r="B15" s="312">
        <v>12</v>
      </c>
      <c r="C15" s="58" t="s">
        <v>140</v>
      </c>
      <c r="D15" s="753">
        <v>563480</v>
      </c>
      <c r="E15" s="833">
        <v>539587</v>
      </c>
      <c r="F15" s="327">
        <f>29789+táj3!N15</f>
        <v>27921</v>
      </c>
      <c r="G15" s="56">
        <f>15832+táj3!D15</f>
        <v>17660</v>
      </c>
      <c r="H15" s="56">
        <f>80+táj3!E15</f>
        <v>80</v>
      </c>
      <c r="I15" s="56">
        <f>0+táj3!F15</f>
        <v>0</v>
      </c>
      <c r="J15" s="56">
        <f>28000+táj3!G15</f>
        <v>24093</v>
      </c>
      <c r="K15" s="56">
        <f>0+táj3!H15</f>
        <v>0</v>
      </c>
      <c r="L15" s="56">
        <f>591+táj3!I15</f>
        <v>591</v>
      </c>
      <c r="M15" s="56">
        <f>0+táj3!J15</f>
        <v>0</v>
      </c>
      <c r="N15" s="56">
        <f>15380+táj3!K15</f>
        <v>15380</v>
      </c>
      <c r="O15" s="56">
        <f>509493+táj3!L15</f>
        <v>509704</v>
      </c>
      <c r="P15" s="56">
        <f>0+táj3!M15</f>
        <v>0</v>
      </c>
      <c r="Q15" s="56">
        <f t="shared" si="0"/>
        <v>567508</v>
      </c>
    </row>
    <row r="16" spans="1:17" ht="17.100000000000001" customHeight="1" x14ac:dyDescent="0.2">
      <c r="A16" s="311"/>
      <c r="B16" s="312">
        <v>13</v>
      </c>
      <c r="C16" s="58" t="s">
        <v>773</v>
      </c>
      <c r="D16" s="753">
        <v>659280</v>
      </c>
      <c r="E16" s="328">
        <v>631507</v>
      </c>
      <c r="F16" s="327">
        <f>93002+táj3!N16</f>
        <v>119386</v>
      </c>
      <c r="G16" s="56">
        <f>201500+táj3!D16</f>
        <v>213069</v>
      </c>
      <c r="H16" s="56">
        <f>2550+táj3!E16</f>
        <v>3150</v>
      </c>
      <c r="I16" s="56">
        <f>0+táj3!F16</f>
        <v>0</v>
      </c>
      <c r="J16" s="56">
        <f>102370+táj3!G16</f>
        <v>117331</v>
      </c>
      <c r="K16" s="56">
        <f>0+táj3!H16</f>
        <v>0</v>
      </c>
      <c r="L16" s="56">
        <f>1250+táj3!I16</f>
        <v>270</v>
      </c>
      <c r="M16" s="56">
        <f>0+táj3!J16</f>
        <v>0</v>
      </c>
      <c r="N16" s="56">
        <f>64507+táj3!K16</f>
        <v>64507</v>
      </c>
      <c r="O16" s="56">
        <f>352332+táj3!L16</f>
        <v>352566</v>
      </c>
      <c r="P16" s="56">
        <f>0+táj3!M16</f>
        <v>0</v>
      </c>
      <c r="Q16" s="56">
        <f t="shared" si="0"/>
        <v>750893</v>
      </c>
    </row>
    <row r="17" spans="1:17" ht="17.100000000000001" customHeight="1" x14ac:dyDescent="0.2">
      <c r="A17" s="311"/>
      <c r="B17" s="312">
        <v>14</v>
      </c>
      <c r="C17" s="58" t="s">
        <v>147</v>
      </c>
      <c r="D17" s="753">
        <v>1411235</v>
      </c>
      <c r="E17" s="328">
        <v>1118724</v>
      </c>
      <c r="F17" s="327">
        <f>107288+táj3!N17</f>
        <v>128328</v>
      </c>
      <c r="G17" s="56">
        <f>357325+táj3!D17</f>
        <v>363325</v>
      </c>
      <c r="H17" s="56">
        <f>10450+táj3!E17</f>
        <v>10450</v>
      </c>
      <c r="I17" s="56">
        <f>0+táj3!F17</f>
        <v>0</v>
      </c>
      <c r="J17" s="56">
        <f>322885+táj3!G17</f>
        <v>337925</v>
      </c>
      <c r="K17" s="56">
        <f>0+táj3!H17</f>
        <v>0</v>
      </c>
      <c r="L17" s="56">
        <f>0+táj3!I17</f>
        <v>0</v>
      </c>
      <c r="M17" s="56">
        <f>0+táj3!J17</f>
        <v>0</v>
      </c>
      <c r="N17" s="56">
        <f>87548+táj3!K17</f>
        <v>87548</v>
      </c>
      <c r="O17" s="56">
        <f>447804+táj3!L17</f>
        <v>447804</v>
      </c>
      <c r="P17" s="56">
        <f>0+táj3!M17</f>
        <v>0</v>
      </c>
      <c r="Q17" s="56">
        <f t="shared" si="0"/>
        <v>1247052</v>
      </c>
    </row>
    <row r="18" spans="1:17" ht="17.100000000000001" customHeight="1" x14ac:dyDescent="0.2">
      <c r="A18" s="311"/>
      <c r="B18" s="312">
        <v>15</v>
      </c>
      <c r="C18" s="58" t="s">
        <v>148</v>
      </c>
      <c r="D18" s="753">
        <v>266026</v>
      </c>
      <c r="E18" s="328">
        <v>206530</v>
      </c>
      <c r="F18" s="327">
        <f>20379+táj3!N18</f>
        <v>26929</v>
      </c>
      <c r="G18" s="56">
        <f>83000+táj3!D18</f>
        <v>89550</v>
      </c>
      <c r="H18" s="56">
        <f>0+táj3!E18</f>
        <v>0</v>
      </c>
      <c r="I18" s="56">
        <f>0+táj3!F18</f>
        <v>0</v>
      </c>
      <c r="J18" s="56">
        <f>42665+táj3!G18</f>
        <v>42665</v>
      </c>
      <c r="K18" s="56">
        <f>0+táj3!H18</f>
        <v>0</v>
      </c>
      <c r="L18" s="56">
        <f>0+táj3!I18</f>
        <v>0</v>
      </c>
      <c r="M18" s="56">
        <f>0+táj3!J18</f>
        <v>0</v>
      </c>
      <c r="N18" s="56">
        <f>23879+táj3!K18</f>
        <v>23879</v>
      </c>
      <c r="O18" s="56">
        <f>77365+táj3!L18</f>
        <v>77365</v>
      </c>
      <c r="P18" s="56">
        <f>0+táj3!M18</f>
        <v>0</v>
      </c>
      <c r="Q18" s="56">
        <f t="shared" si="0"/>
        <v>233459</v>
      </c>
    </row>
    <row r="19" spans="1:17" ht="17.100000000000001" customHeight="1" x14ac:dyDescent="0.2">
      <c r="A19" s="311"/>
      <c r="B19" s="312">
        <v>16</v>
      </c>
      <c r="C19" s="58" t="s">
        <v>165</v>
      </c>
      <c r="D19" s="753">
        <v>273325</v>
      </c>
      <c r="E19" s="328">
        <v>268284</v>
      </c>
      <c r="F19" s="327">
        <f>25138+táj3!N19</f>
        <v>28338</v>
      </c>
      <c r="G19" s="56">
        <f>0+táj3!D19</f>
        <v>0</v>
      </c>
      <c r="H19" s="56">
        <f>0+táj3!E19</f>
        <v>0</v>
      </c>
      <c r="I19" s="56">
        <f>0+táj3!F19</f>
        <v>0</v>
      </c>
      <c r="J19" s="56">
        <f>114374+táj3!G19</f>
        <v>114374</v>
      </c>
      <c r="K19" s="56">
        <f>0+táj3!H19</f>
        <v>0</v>
      </c>
      <c r="L19" s="56">
        <f>0+táj3!I19</f>
        <v>0</v>
      </c>
      <c r="M19" s="56">
        <f>0+táj3!J19</f>
        <v>0</v>
      </c>
      <c r="N19" s="56">
        <f>37964+táj3!K19</f>
        <v>37964</v>
      </c>
      <c r="O19" s="56">
        <f>141084+táj3!L19</f>
        <v>144284</v>
      </c>
      <c r="P19" s="56">
        <f>0+táj3!M19</f>
        <v>0</v>
      </c>
      <c r="Q19" s="56">
        <f t="shared" si="0"/>
        <v>296622</v>
      </c>
    </row>
    <row r="20" spans="1:17" ht="17.100000000000001" customHeight="1" x14ac:dyDescent="0.2">
      <c r="A20" s="311"/>
      <c r="B20" s="312">
        <v>17</v>
      </c>
      <c r="C20" s="58" t="s">
        <v>168</v>
      </c>
      <c r="D20" s="753">
        <v>156250</v>
      </c>
      <c r="E20" s="328">
        <v>160746</v>
      </c>
      <c r="F20" s="327">
        <f>50+táj3!N20</f>
        <v>380</v>
      </c>
      <c r="G20" s="56">
        <f>485+táj3!D20</f>
        <v>535</v>
      </c>
      <c r="H20" s="56">
        <f>0+táj3!E20</f>
        <v>0</v>
      </c>
      <c r="I20" s="56">
        <f>0+táj3!F20</f>
        <v>0</v>
      </c>
      <c r="J20" s="56">
        <f>132582+táj3!G20</f>
        <v>132862</v>
      </c>
      <c r="K20" s="56">
        <f>0+táj3!H20</f>
        <v>0</v>
      </c>
      <c r="L20" s="56">
        <f>0+táj3!I20</f>
        <v>0</v>
      </c>
      <c r="M20" s="56">
        <f>0+táj3!J20</f>
        <v>0</v>
      </c>
      <c r="N20" s="56">
        <f>21144+táj3!K20</f>
        <v>21144</v>
      </c>
      <c r="O20" s="56">
        <f>6585+táj3!L20</f>
        <v>6585</v>
      </c>
      <c r="P20" s="56">
        <f>0+táj3!M20</f>
        <v>0</v>
      </c>
      <c r="Q20" s="56">
        <f t="shared" si="0"/>
        <v>161126</v>
      </c>
    </row>
    <row r="21" spans="1:17" ht="17.100000000000001" customHeight="1" x14ac:dyDescent="0.2">
      <c r="A21" s="311"/>
      <c r="B21" s="312">
        <v>18</v>
      </c>
      <c r="C21" s="58" t="s">
        <v>774</v>
      </c>
      <c r="D21" s="753">
        <v>83387</v>
      </c>
      <c r="E21" s="328">
        <v>82936</v>
      </c>
      <c r="F21" s="327">
        <f>23295+táj3!N21</f>
        <v>25925</v>
      </c>
      <c r="G21" s="56">
        <f>150+táj3!D21</f>
        <v>1650</v>
      </c>
      <c r="H21" s="56">
        <f>0+táj3!E21</f>
        <v>0</v>
      </c>
      <c r="I21" s="56">
        <f>0+táj3!F21</f>
        <v>0</v>
      </c>
      <c r="J21" s="56">
        <f>42893+táj3!G21</f>
        <v>44023</v>
      </c>
      <c r="K21" s="56">
        <f>0+táj3!H21</f>
        <v>0</v>
      </c>
      <c r="L21" s="56">
        <f>0+táj3!I21</f>
        <v>0</v>
      </c>
      <c r="M21" s="56">
        <f>0+táj3!J21</f>
        <v>0</v>
      </c>
      <c r="N21" s="56">
        <f>13709+táj3!K21</f>
        <v>13709</v>
      </c>
      <c r="O21" s="56">
        <f>49479+táj3!L21</f>
        <v>49479</v>
      </c>
      <c r="P21" s="56">
        <f>0+táj3!M21</f>
        <v>0</v>
      </c>
      <c r="Q21" s="56">
        <f t="shared" si="0"/>
        <v>108861</v>
      </c>
    </row>
    <row r="22" spans="1:17" ht="14.25" customHeight="1" x14ac:dyDescent="0.2">
      <c r="A22" s="317"/>
      <c r="B22" s="310"/>
      <c r="C22" s="60" t="s">
        <v>11</v>
      </c>
      <c r="D22" s="754">
        <f>SUM(D4:D21)</f>
        <v>12615822</v>
      </c>
      <c r="E22" s="61">
        <f t="shared" ref="E22:Q22" si="1">SUM(E4:E21)</f>
        <v>12356583</v>
      </c>
      <c r="F22" s="61">
        <f t="shared" si="1"/>
        <v>924352</v>
      </c>
      <c r="G22" s="61">
        <f t="shared" si="1"/>
        <v>967101</v>
      </c>
      <c r="H22" s="61">
        <f t="shared" si="1"/>
        <v>15865</v>
      </c>
      <c r="I22" s="61">
        <f t="shared" si="1"/>
        <v>5000</v>
      </c>
      <c r="J22" s="61">
        <f t="shared" si="1"/>
        <v>2102999</v>
      </c>
      <c r="K22" s="61">
        <f t="shared" si="1"/>
        <v>2413</v>
      </c>
      <c r="L22" s="61">
        <f t="shared" si="1"/>
        <v>2061</v>
      </c>
      <c r="M22" s="61">
        <f t="shared" si="1"/>
        <v>988</v>
      </c>
      <c r="N22" s="61">
        <f t="shared" si="1"/>
        <v>989972</v>
      </c>
      <c r="O22" s="61">
        <f t="shared" si="1"/>
        <v>9194536</v>
      </c>
      <c r="P22" s="61">
        <f t="shared" si="1"/>
        <v>0</v>
      </c>
      <c r="Q22" s="61">
        <f t="shared" si="1"/>
        <v>13280935</v>
      </c>
    </row>
    <row r="23" spans="1:17" ht="14.1" customHeight="1" x14ac:dyDescent="0.2">
      <c r="G23" s="52"/>
      <c r="H23" s="52"/>
      <c r="I23" s="52"/>
      <c r="J23" s="52"/>
      <c r="K23" s="52"/>
      <c r="L23" s="52"/>
      <c r="M23" s="52"/>
      <c r="N23" s="52"/>
      <c r="O23" s="52"/>
    </row>
    <row r="24" spans="1:17" ht="14.1" customHeight="1" x14ac:dyDescent="0.2"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</row>
    <row r="25" spans="1:17" ht="14.1" customHeight="1" x14ac:dyDescent="0.2">
      <c r="G25" s="52"/>
      <c r="H25" s="52"/>
      <c r="I25" s="52"/>
      <c r="J25" s="52"/>
      <c r="K25" s="52"/>
      <c r="L25" s="52"/>
      <c r="M25" s="52"/>
      <c r="N25" s="52"/>
      <c r="O25" s="62"/>
    </row>
    <row r="26" spans="1:17" ht="14.1" customHeight="1" x14ac:dyDescent="0.2">
      <c r="G26" s="52"/>
      <c r="H26" s="52"/>
      <c r="I26" s="52"/>
      <c r="J26" s="52"/>
      <c r="K26" s="52"/>
      <c r="L26" s="52"/>
      <c r="M26" s="52"/>
      <c r="N26" s="52"/>
      <c r="O26" s="62"/>
    </row>
    <row r="27" spans="1:17" ht="14.1" customHeight="1" x14ac:dyDescent="0.2">
      <c r="G27" s="52"/>
      <c r="H27" s="52"/>
      <c r="I27" s="52"/>
      <c r="J27" s="52"/>
      <c r="K27" s="52"/>
      <c r="L27" s="52"/>
      <c r="M27" s="52"/>
      <c r="N27" s="52"/>
      <c r="O27" s="52"/>
    </row>
    <row r="28" spans="1:17" ht="14.1" customHeight="1" x14ac:dyDescent="0.2"/>
    <row r="29" spans="1:17" ht="14.1" customHeight="1" x14ac:dyDescent="0.2"/>
    <row r="30" spans="1:17" ht="14.1" customHeight="1" x14ac:dyDescent="0.2"/>
  </sheetData>
  <mergeCells count="9">
    <mergeCell ref="A1:A2"/>
    <mergeCell ref="Q1:Q2"/>
    <mergeCell ref="B1:B2"/>
    <mergeCell ref="C1:C2"/>
    <mergeCell ref="G1:M1"/>
    <mergeCell ref="N1:P1"/>
    <mergeCell ref="E1:E2"/>
    <mergeCell ref="F1:F2"/>
    <mergeCell ref="D1:D2"/>
  </mergeCells>
  <phoneticPr fontId="0" type="noConversion"/>
  <printOptions horizontalCentered="1"/>
  <pageMargins left="0.19685039370078741" right="0.59055118110236227" top="1.6141732283464567" bottom="0.98425196850393704" header="0.86614173228346458" footer="0.51181102362204722"/>
  <pageSetup paperSize="9" scale="67" orientation="landscape" r:id="rId1"/>
  <headerFooter alignWithMargins="0">
    <oddHeader>&amp;C&amp;"Times New Roman,Félkövér dőlt"ZALAEGERSZEG  MEGYEI JOGÚ VÁROS ÖNKORMÁNYZATA ÁLTAL IRÁNYÍTOTT KÖLTSÉGVETÉSI SZERVEK
  2025.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zoomScale="110" workbookViewId="0">
      <pane ySplit="2" topLeftCell="A3" activePane="bottomLeft" state="frozen"/>
      <selection activeCell="G28" sqref="G28"/>
      <selection pane="bottomLeft" activeCell="F4" sqref="F4"/>
    </sheetView>
  </sheetViews>
  <sheetFormatPr defaultColWidth="9.33203125" defaultRowHeight="12" x14ac:dyDescent="0.2"/>
  <cols>
    <col min="1" max="1" width="3" style="11" customWidth="1"/>
    <col min="2" max="2" width="3.83203125" style="11" customWidth="1"/>
    <col min="3" max="3" width="38.33203125" style="11" customWidth="1"/>
    <col min="4" max="4" width="12.33203125" style="11" customWidth="1"/>
    <col min="5" max="5" width="11.6640625" style="11" customWidth="1"/>
    <col min="6" max="6" width="11.83203125" style="11" customWidth="1"/>
    <col min="7" max="7" width="10" style="11" customWidth="1"/>
    <col min="8" max="8" width="11.83203125" style="11" customWidth="1"/>
    <col min="9" max="9" width="9.83203125" style="11" customWidth="1"/>
    <col min="10" max="11" width="10.5" style="11" customWidth="1"/>
    <col min="12" max="12" width="11.1640625" style="11" customWidth="1"/>
    <col min="13" max="13" width="11.83203125" style="11" customWidth="1"/>
    <col min="14" max="14" width="9.5" style="11" customWidth="1"/>
    <col min="15" max="15" width="8.1640625" style="11" customWidth="1"/>
    <col min="16" max="16" width="10.83203125" style="11" customWidth="1"/>
    <col min="17" max="16384" width="9.33203125" style="11"/>
  </cols>
  <sheetData>
    <row r="1" spans="1:16" ht="12.75" customHeight="1" x14ac:dyDescent="0.2">
      <c r="A1" s="1011" t="s">
        <v>83</v>
      </c>
      <c r="B1" s="1037" t="s">
        <v>17</v>
      </c>
      <c r="C1" s="1011" t="s">
        <v>115</v>
      </c>
      <c r="D1" s="1031" t="s">
        <v>1078</v>
      </c>
      <c r="E1" s="1031" t="s">
        <v>843</v>
      </c>
      <c r="F1" s="1031" t="s">
        <v>733</v>
      </c>
      <c r="G1" s="1010" t="s">
        <v>121</v>
      </c>
      <c r="H1" s="1010"/>
      <c r="I1" s="1010"/>
      <c r="J1" s="1010"/>
      <c r="K1" s="1010"/>
      <c r="L1" s="1010"/>
      <c r="M1" s="1010"/>
      <c r="N1" s="1010"/>
      <c r="O1" s="1011" t="s">
        <v>120</v>
      </c>
      <c r="P1" s="1031" t="s">
        <v>844</v>
      </c>
    </row>
    <row r="2" spans="1:16" s="18" customFormat="1" ht="60" customHeight="1" x14ac:dyDescent="0.2">
      <c r="A2" s="1011"/>
      <c r="B2" s="1038"/>
      <c r="C2" s="1011"/>
      <c r="D2" s="1035"/>
      <c r="E2" s="1032"/>
      <c r="F2" s="1032"/>
      <c r="G2" s="43" t="s">
        <v>105</v>
      </c>
      <c r="H2" s="43" t="s">
        <v>175</v>
      </c>
      <c r="I2" s="43" t="s">
        <v>169</v>
      </c>
      <c r="J2" s="43" t="s">
        <v>15</v>
      </c>
      <c r="K2" s="43" t="s">
        <v>22</v>
      </c>
      <c r="L2" s="43" t="s">
        <v>20</v>
      </c>
      <c r="M2" s="43" t="s">
        <v>19</v>
      </c>
      <c r="N2" s="43" t="s">
        <v>16</v>
      </c>
      <c r="O2" s="1036"/>
      <c r="P2" s="1032"/>
    </row>
    <row r="3" spans="1:16" s="18" customFormat="1" ht="17.25" customHeight="1" x14ac:dyDescent="0.2">
      <c r="A3" s="322">
        <v>2</v>
      </c>
      <c r="B3" s="319"/>
      <c r="C3" s="323" t="s">
        <v>161</v>
      </c>
      <c r="D3" s="751"/>
      <c r="E3" s="326"/>
      <c r="F3" s="326"/>
      <c r="G3" s="319"/>
      <c r="H3" s="319"/>
      <c r="I3" s="319"/>
      <c r="J3" s="319"/>
      <c r="K3" s="319"/>
      <c r="L3" s="319"/>
      <c r="M3" s="319"/>
      <c r="N3" s="319"/>
      <c r="O3" s="320"/>
      <c r="P3" s="319"/>
    </row>
    <row r="4" spans="1:16" s="18" customFormat="1" ht="15" customHeight="1" x14ac:dyDescent="0.2">
      <c r="A4" s="63"/>
      <c r="B4" s="312">
        <v>1</v>
      </c>
      <c r="C4" s="64" t="s">
        <v>117</v>
      </c>
      <c r="D4" s="752">
        <v>2121458</v>
      </c>
      <c r="E4" s="327">
        <v>2396463</v>
      </c>
      <c r="F4" s="329">
        <f>13035+táj4!M4</f>
        <v>40028</v>
      </c>
      <c r="G4" s="65">
        <f>1840816+táj4!D4</f>
        <v>1844413</v>
      </c>
      <c r="H4" s="65">
        <f>269594+táj4!E4</f>
        <v>270062</v>
      </c>
      <c r="I4" s="65">
        <f>252815+táj4!F4</f>
        <v>273330</v>
      </c>
      <c r="J4" s="65">
        <f>0+táj4!G4</f>
        <v>0</v>
      </c>
      <c r="K4" s="65">
        <f>0+táj4!H4</f>
        <v>0</v>
      </c>
      <c r="L4" s="65">
        <f>46273+táj4!I4</f>
        <v>48686</v>
      </c>
      <c r="M4" s="65">
        <f>0+táj4!J4</f>
        <v>0</v>
      </c>
      <c r="N4" s="65">
        <f>0+táj4!K4</f>
        <v>0</v>
      </c>
      <c r="O4" s="65">
        <f>0+táj4!L4</f>
        <v>0</v>
      </c>
      <c r="P4" s="65">
        <f t="shared" ref="P4:P21" si="0">SUM(G4:O4)</f>
        <v>2436491</v>
      </c>
    </row>
    <row r="5" spans="1:16" s="18" customFormat="1" ht="15" customHeight="1" x14ac:dyDescent="0.2">
      <c r="A5" s="63"/>
      <c r="B5" s="312">
        <v>2</v>
      </c>
      <c r="C5" s="64" t="s">
        <v>113</v>
      </c>
      <c r="D5" s="752">
        <v>1977839</v>
      </c>
      <c r="E5" s="327">
        <v>2163205</v>
      </c>
      <c r="F5" s="329">
        <f>108705+táj4!M5</f>
        <v>90271</v>
      </c>
      <c r="G5" s="65">
        <f>390656+táj4!D5</f>
        <v>390656</v>
      </c>
      <c r="H5" s="65">
        <f>58281+táj4!E5</f>
        <v>58281</v>
      </c>
      <c r="I5" s="65">
        <f>1771035+táj4!F5</f>
        <v>1751821</v>
      </c>
      <c r="J5" s="65">
        <f>0+táj4!G5</f>
        <v>0</v>
      </c>
      <c r="K5" s="65">
        <f>0+táj4!H5</f>
        <v>0</v>
      </c>
      <c r="L5" s="65">
        <f>21459+táj4!I5</f>
        <v>21239</v>
      </c>
      <c r="M5" s="65">
        <f>30479+táj4!J5</f>
        <v>31479</v>
      </c>
      <c r="N5" s="65">
        <f>0+táj4!K5</f>
        <v>0</v>
      </c>
      <c r="O5" s="65">
        <f>0+táj4!L5</f>
        <v>0</v>
      </c>
      <c r="P5" s="65">
        <f t="shared" si="0"/>
        <v>2253476</v>
      </c>
    </row>
    <row r="6" spans="1:16" s="18" customFormat="1" ht="15" customHeight="1" x14ac:dyDescent="0.2">
      <c r="A6" s="63"/>
      <c r="B6" s="312">
        <v>3</v>
      </c>
      <c r="C6" s="64" t="s">
        <v>141</v>
      </c>
      <c r="D6" s="752">
        <v>1105541</v>
      </c>
      <c r="E6" s="327">
        <v>1209248</v>
      </c>
      <c r="F6" s="329">
        <f>131634+táj4!M6</f>
        <v>135081</v>
      </c>
      <c r="G6" s="65">
        <f>904010+táj4!D6</f>
        <v>907373</v>
      </c>
      <c r="H6" s="65">
        <f>133684+táj4!E6</f>
        <v>134122</v>
      </c>
      <c r="I6" s="65">
        <f>233502+táj4!F6</f>
        <v>233648</v>
      </c>
      <c r="J6" s="65">
        <f>0+táj4!G6</f>
        <v>0</v>
      </c>
      <c r="K6" s="65">
        <f>1454+táj4!H6</f>
        <v>1454</v>
      </c>
      <c r="L6" s="65">
        <f>34944+táj4!I6</f>
        <v>33694</v>
      </c>
      <c r="M6" s="65">
        <f>33288+táj4!J6</f>
        <v>34038</v>
      </c>
      <c r="N6" s="65">
        <f>0+táj4!K6</f>
        <v>0</v>
      </c>
      <c r="O6" s="65">
        <f>0+táj4!L6</f>
        <v>0</v>
      </c>
      <c r="P6" s="65">
        <f t="shared" si="0"/>
        <v>1344329</v>
      </c>
    </row>
    <row r="7" spans="1:16" s="18" customFormat="1" ht="23.25" customHeight="1" x14ac:dyDescent="0.2">
      <c r="A7" s="63"/>
      <c r="B7" s="312">
        <v>4</v>
      </c>
      <c r="C7" s="57" t="s">
        <v>163</v>
      </c>
      <c r="D7" s="832">
        <v>363814</v>
      </c>
      <c r="E7" s="833">
        <v>382822</v>
      </c>
      <c r="F7" s="329">
        <f>125596+táj4!M7</f>
        <v>144278</v>
      </c>
      <c r="G7" s="65">
        <f>368697+táj4!D7</f>
        <v>385403</v>
      </c>
      <c r="H7" s="65">
        <f>56965+táj4!E7</f>
        <v>58941</v>
      </c>
      <c r="I7" s="65">
        <f>60101+táj4!F7</f>
        <v>59101</v>
      </c>
      <c r="J7" s="65">
        <f>10915+táj4!G7</f>
        <v>10915</v>
      </c>
      <c r="K7" s="65">
        <f>240+táj4!H7</f>
        <v>240</v>
      </c>
      <c r="L7" s="65">
        <f>11500+táj4!I7</f>
        <v>12500</v>
      </c>
      <c r="M7" s="65">
        <f>0+táj4!J7</f>
        <v>0</v>
      </c>
      <c r="N7" s="65">
        <f>0+táj4!K7</f>
        <v>0</v>
      </c>
      <c r="O7" s="65">
        <f>0+táj4!L7</f>
        <v>0</v>
      </c>
      <c r="P7" s="65">
        <f t="shared" si="0"/>
        <v>527100</v>
      </c>
    </row>
    <row r="8" spans="1:16" s="18" customFormat="1" ht="26.25" customHeight="1" x14ac:dyDescent="0.2">
      <c r="A8" s="63"/>
      <c r="B8" s="312">
        <v>5</v>
      </c>
      <c r="C8" s="58" t="s">
        <v>142</v>
      </c>
      <c r="D8" s="753">
        <v>588489</v>
      </c>
      <c r="E8" s="833">
        <v>727176</v>
      </c>
      <c r="F8" s="329">
        <f>13519+táj4!M8</f>
        <v>15149</v>
      </c>
      <c r="G8" s="65">
        <f>538848+táj4!D8</f>
        <v>538826</v>
      </c>
      <c r="H8" s="65">
        <f>80433+táj4!E8</f>
        <v>80430</v>
      </c>
      <c r="I8" s="65">
        <f>100438+táj4!F8</f>
        <v>101593</v>
      </c>
      <c r="J8" s="65">
        <f>0+táj4!G8</f>
        <v>0</v>
      </c>
      <c r="K8" s="65">
        <f>0+táj4!H8</f>
        <v>0</v>
      </c>
      <c r="L8" s="65">
        <f>7282+táj4!I8</f>
        <v>7782</v>
      </c>
      <c r="M8" s="65">
        <f>13694+táj4!J8</f>
        <v>13694</v>
      </c>
      <c r="N8" s="65">
        <f>0+táj4!K8</f>
        <v>0</v>
      </c>
      <c r="O8" s="65">
        <f>0+táj4!L8</f>
        <v>0</v>
      </c>
      <c r="P8" s="65">
        <f t="shared" si="0"/>
        <v>742325</v>
      </c>
    </row>
    <row r="9" spans="1:16" s="18" customFormat="1" ht="15" customHeight="1" x14ac:dyDescent="0.2">
      <c r="A9" s="63"/>
      <c r="B9" s="312">
        <v>6</v>
      </c>
      <c r="C9" s="58" t="s">
        <v>143</v>
      </c>
      <c r="D9" s="753">
        <v>486542</v>
      </c>
      <c r="E9" s="328">
        <v>553787</v>
      </c>
      <c r="F9" s="329">
        <f>23114+táj4!M9</f>
        <v>27386</v>
      </c>
      <c r="G9" s="65">
        <f>365990+táj4!D9</f>
        <v>370188</v>
      </c>
      <c r="H9" s="65">
        <f>53832+táj4!E9</f>
        <v>54378</v>
      </c>
      <c r="I9" s="65">
        <f>145993+táj4!F9</f>
        <v>145271</v>
      </c>
      <c r="J9" s="65">
        <f>0+táj4!G9</f>
        <v>0</v>
      </c>
      <c r="K9" s="65">
        <f>0+táj4!H9</f>
        <v>0</v>
      </c>
      <c r="L9" s="65">
        <f>7982+táj4!I9</f>
        <v>7982</v>
      </c>
      <c r="M9" s="65">
        <f>3104+táj4!J9</f>
        <v>3354</v>
      </c>
      <c r="N9" s="65">
        <f>0+táj4!K9</f>
        <v>0</v>
      </c>
      <c r="O9" s="65">
        <f>0+táj4!L9</f>
        <v>0</v>
      </c>
      <c r="P9" s="65">
        <f t="shared" si="0"/>
        <v>581173</v>
      </c>
    </row>
    <row r="10" spans="1:16" s="18" customFormat="1" ht="15" customHeight="1" x14ac:dyDescent="0.2">
      <c r="A10" s="63"/>
      <c r="B10" s="312">
        <v>7</v>
      </c>
      <c r="C10" s="58" t="s">
        <v>144</v>
      </c>
      <c r="D10" s="753">
        <v>553937</v>
      </c>
      <c r="E10" s="328">
        <v>645706</v>
      </c>
      <c r="F10" s="329">
        <f>5808+táj4!M10</f>
        <v>6374</v>
      </c>
      <c r="G10" s="65">
        <f>412686+táj4!D10</f>
        <v>412664</v>
      </c>
      <c r="H10" s="65">
        <f>62316+táj4!E10</f>
        <v>62313</v>
      </c>
      <c r="I10" s="65">
        <f>170412+táj4!F10</f>
        <v>170015</v>
      </c>
      <c r="J10" s="65">
        <f>0+táj4!G10</f>
        <v>0</v>
      </c>
      <c r="K10" s="65">
        <f>0+táj4!H10</f>
        <v>0</v>
      </c>
      <c r="L10" s="65">
        <f>6100+táj4!I10</f>
        <v>6488</v>
      </c>
      <c r="M10" s="65">
        <f>0+táj4!J10</f>
        <v>600</v>
      </c>
      <c r="N10" s="65">
        <f>0+táj4!K10</f>
        <v>0</v>
      </c>
      <c r="O10" s="65">
        <f>0+táj4!L10</f>
        <v>0</v>
      </c>
      <c r="P10" s="65">
        <f t="shared" si="0"/>
        <v>652080</v>
      </c>
    </row>
    <row r="11" spans="1:16" s="19" customFormat="1" ht="15" customHeight="1" x14ac:dyDescent="0.2">
      <c r="A11" s="63"/>
      <c r="B11" s="312">
        <v>8</v>
      </c>
      <c r="C11" s="58" t="s">
        <v>145</v>
      </c>
      <c r="D11" s="753">
        <v>490622</v>
      </c>
      <c r="E11" s="328">
        <v>556909</v>
      </c>
      <c r="F11" s="329">
        <f>25849+táj4!M11</f>
        <v>27004</v>
      </c>
      <c r="G11" s="5">
        <f>405867+táj4!D11</f>
        <v>405845</v>
      </c>
      <c r="H11" s="5">
        <f>60401+táj4!E11</f>
        <v>60398</v>
      </c>
      <c r="I11" s="5">
        <f>104276+táj4!F11</f>
        <v>104956</v>
      </c>
      <c r="J11" s="5">
        <f>0+táj4!G11</f>
        <v>0</v>
      </c>
      <c r="K11" s="5">
        <f>0+táj4!H11</f>
        <v>0</v>
      </c>
      <c r="L11" s="5">
        <f>11477+táj4!I11</f>
        <v>11977</v>
      </c>
      <c r="M11" s="5">
        <f>737+táj4!J11</f>
        <v>737</v>
      </c>
      <c r="N11" s="5">
        <f>0+táj4!K11</f>
        <v>0</v>
      </c>
      <c r="O11" s="5">
        <f>0+táj4!L11</f>
        <v>0</v>
      </c>
      <c r="P11" s="65">
        <f t="shared" si="0"/>
        <v>583913</v>
      </c>
    </row>
    <row r="12" spans="1:16" s="19" customFormat="1" ht="17.25" customHeight="1" x14ac:dyDescent="0.2">
      <c r="A12" s="63"/>
      <c r="B12" s="312">
        <v>9</v>
      </c>
      <c r="C12" s="58" t="s">
        <v>164</v>
      </c>
      <c r="D12" s="753">
        <v>90049</v>
      </c>
      <c r="E12" s="328">
        <v>102618</v>
      </c>
      <c r="F12" s="329">
        <f>5179+táj4!M12</f>
        <v>5683</v>
      </c>
      <c r="G12" s="5">
        <f>90288+táj4!D12</f>
        <v>90043</v>
      </c>
      <c r="H12" s="5">
        <f>11986+táj4!E12</f>
        <v>12231</v>
      </c>
      <c r="I12" s="5">
        <f>4323+táj4!F12</f>
        <v>4577</v>
      </c>
      <c r="J12" s="5">
        <f>0+táj4!G12</f>
        <v>0</v>
      </c>
      <c r="K12" s="5">
        <f>0+táj4!H12</f>
        <v>0</v>
      </c>
      <c r="L12" s="5">
        <f>1200+táj4!I12</f>
        <v>1450</v>
      </c>
      <c r="M12" s="5">
        <f>0+táj4!J12</f>
        <v>0</v>
      </c>
      <c r="N12" s="5">
        <f>0+táj4!K12</f>
        <v>0</v>
      </c>
      <c r="O12" s="5">
        <f>0+táj4!L12</f>
        <v>0</v>
      </c>
      <c r="P12" s="65">
        <f t="shared" si="0"/>
        <v>108301</v>
      </c>
    </row>
    <row r="13" spans="1:16" s="19" customFormat="1" ht="18.75" customHeight="1" x14ac:dyDescent="0.2">
      <c r="A13" s="63"/>
      <c r="B13" s="312">
        <v>10</v>
      </c>
      <c r="C13" s="59" t="s">
        <v>139</v>
      </c>
      <c r="D13" s="834">
        <v>663094</v>
      </c>
      <c r="E13" s="328">
        <v>579040</v>
      </c>
      <c r="F13" s="329">
        <f>30521+táj4!M13</f>
        <v>68384</v>
      </c>
      <c r="G13" s="5">
        <f>330802+táj4!D13</f>
        <v>326802</v>
      </c>
      <c r="H13" s="5">
        <f>43180+táj4!E13</f>
        <v>43180</v>
      </c>
      <c r="I13" s="5">
        <f>224629+táj4!F13</f>
        <v>262779</v>
      </c>
      <c r="J13" s="5">
        <f>0+táj4!G13</f>
        <v>0</v>
      </c>
      <c r="K13" s="5">
        <f>0+táj4!H13</f>
        <v>0</v>
      </c>
      <c r="L13" s="5">
        <f>4450+táj4!I13</f>
        <v>4963</v>
      </c>
      <c r="M13" s="5">
        <f>6500+táj4!J13</f>
        <v>9700</v>
      </c>
      <c r="N13" s="5">
        <f>0+táj4!K13</f>
        <v>0</v>
      </c>
      <c r="O13" s="5">
        <f>0+táj4!L13</f>
        <v>0</v>
      </c>
      <c r="P13" s="65">
        <f t="shared" si="0"/>
        <v>647424</v>
      </c>
    </row>
    <row r="14" spans="1:16" s="19" customFormat="1" ht="24.75" customHeight="1" x14ac:dyDescent="0.2">
      <c r="A14" s="63"/>
      <c r="B14" s="312">
        <v>11</v>
      </c>
      <c r="C14" s="57" t="s">
        <v>146</v>
      </c>
      <c r="D14" s="832">
        <v>35613</v>
      </c>
      <c r="E14" s="835">
        <v>31295</v>
      </c>
      <c r="F14" s="329">
        <f>4593+táj4!M14</f>
        <v>7507</v>
      </c>
      <c r="G14" s="5">
        <f>25861+táj4!D14</f>
        <v>26851</v>
      </c>
      <c r="H14" s="5">
        <f>3403+táj4!E14</f>
        <v>3607</v>
      </c>
      <c r="I14" s="5">
        <f>6400+táj4!F14</f>
        <v>7790</v>
      </c>
      <c r="J14" s="5">
        <f>0+táj4!G14</f>
        <v>0</v>
      </c>
      <c r="K14" s="5">
        <f>0+táj4!H14</f>
        <v>0</v>
      </c>
      <c r="L14" s="5">
        <f>224+táj4!I14</f>
        <v>554</v>
      </c>
      <c r="M14" s="5">
        <f>0+táj4!J14</f>
        <v>0</v>
      </c>
      <c r="N14" s="5">
        <f>0+táj4!K14</f>
        <v>0</v>
      </c>
      <c r="O14" s="5">
        <f>0+táj4!L14</f>
        <v>0</v>
      </c>
      <c r="P14" s="65">
        <f t="shared" si="0"/>
        <v>38802</v>
      </c>
    </row>
    <row r="15" spans="1:16" s="19" customFormat="1" ht="24.75" customHeight="1" x14ac:dyDescent="0.2">
      <c r="A15" s="63"/>
      <c r="B15" s="312">
        <v>12</v>
      </c>
      <c r="C15" s="58" t="s">
        <v>140</v>
      </c>
      <c r="D15" s="753">
        <v>548100</v>
      </c>
      <c r="E15" s="833">
        <v>539587</v>
      </c>
      <c r="F15" s="329">
        <f>29789+táj4!M15</f>
        <v>27921</v>
      </c>
      <c r="G15" s="5">
        <f>306511+táj4!D15</f>
        <v>303771</v>
      </c>
      <c r="H15" s="5">
        <f>39453+táj4!E15</f>
        <v>39103</v>
      </c>
      <c r="I15" s="5">
        <f>190712+táj4!F15</f>
        <v>188854</v>
      </c>
      <c r="J15" s="5">
        <f>0+táj4!G15</f>
        <v>0</v>
      </c>
      <c r="K15" s="5">
        <f>11000+táj4!H15</f>
        <v>11000</v>
      </c>
      <c r="L15" s="5">
        <f>20430+táj4!I15</f>
        <v>24780</v>
      </c>
      <c r="M15" s="5">
        <f>1270+táj4!J15</f>
        <v>0</v>
      </c>
      <c r="N15" s="5">
        <f>0+táj4!K15</f>
        <v>0</v>
      </c>
      <c r="O15" s="5">
        <f>0+táj4!L15</f>
        <v>0</v>
      </c>
      <c r="P15" s="65">
        <f t="shared" si="0"/>
        <v>567508</v>
      </c>
    </row>
    <row r="16" spans="1:16" s="19" customFormat="1" ht="14.1" customHeight="1" x14ac:dyDescent="0.2">
      <c r="A16" s="63"/>
      <c r="B16" s="312">
        <v>13</v>
      </c>
      <c r="C16" s="58" t="s">
        <v>773</v>
      </c>
      <c r="D16" s="753">
        <v>594773</v>
      </c>
      <c r="E16" s="328">
        <v>631507</v>
      </c>
      <c r="F16" s="329">
        <f>93002+táj4!M16</f>
        <v>119386</v>
      </c>
      <c r="G16" s="5">
        <f>393146+táj4!D16</f>
        <v>389556</v>
      </c>
      <c r="H16" s="5">
        <f>51340+táj4!E16</f>
        <v>51012</v>
      </c>
      <c r="I16" s="5">
        <f>237549+táj4!F16</f>
        <v>267191</v>
      </c>
      <c r="J16" s="5">
        <f>0+táj4!G16</f>
        <v>0</v>
      </c>
      <c r="K16" s="5">
        <f>15045+táj4!H16</f>
        <v>15105</v>
      </c>
      <c r="L16" s="5">
        <f>26429+táj4!I16</f>
        <v>27029</v>
      </c>
      <c r="M16" s="5">
        <f>1000+táj4!J16</f>
        <v>1000</v>
      </c>
      <c r="N16" s="5">
        <f>0+táj4!K16</f>
        <v>0</v>
      </c>
      <c r="O16" s="5">
        <f>0+táj4!L16</f>
        <v>0</v>
      </c>
      <c r="P16" s="65">
        <f t="shared" si="0"/>
        <v>750893</v>
      </c>
    </row>
    <row r="17" spans="1:16" s="19" customFormat="1" ht="14.1" customHeight="1" x14ac:dyDescent="0.2">
      <c r="A17" s="63"/>
      <c r="B17" s="312">
        <v>14</v>
      </c>
      <c r="C17" s="58" t="s">
        <v>147</v>
      </c>
      <c r="D17" s="753">
        <v>1323687</v>
      </c>
      <c r="E17" s="328">
        <v>1118724</v>
      </c>
      <c r="F17" s="329">
        <f>107288+táj4!M17</f>
        <v>128328</v>
      </c>
      <c r="G17" s="5">
        <f>744734+táj4!D17</f>
        <v>766734</v>
      </c>
      <c r="H17" s="5">
        <f>95602+táj4!E17</f>
        <v>75602</v>
      </c>
      <c r="I17" s="5">
        <f>339629+táj4!F17</f>
        <v>358669</v>
      </c>
      <c r="J17" s="5">
        <f>0+táj4!G17</f>
        <v>0</v>
      </c>
      <c r="K17" s="5">
        <f>0+táj4!H17</f>
        <v>0</v>
      </c>
      <c r="L17" s="5">
        <f>46047+táj4!I17</f>
        <v>46047</v>
      </c>
      <c r="M17" s="5">
        <f>0+táj4!J17</f>
        <v>0</v>
      </c>
      <c r="N17" s="5">
        <f>0+táj4!K17</f>
        <v>0</v>
      </c>
      <c r="O17" s="5">
        <f>0+táj4!L17</f>
        <v>0</v>
      </c>
      <c r="P17" s="65">
        <f t="shared" si="0"/>
        <v>1247052</v>
      </c>
    </row>
    <row r="18" spans="1:16" s="19" customFormat="1" ht="12.95" customHeight="1" x14ac:dyDescent="0.2">
      <c r="A18" s="63"/>
      <c r="B18" s="312">
        <v>15</v>
      </c>
      <c r="C18" s="58" t="s">
        <v>148</v>
      </c>
      <c r="D18" s="753">
        <v>242147</v>
      </c>
      <c r="E18" s="328">
        <v>206530</v>
      </c>
      <c r="F18" s="329">
        <f>20379+táj4!M18</f>
        <v>26929</v>
      </c>
      <c r="G18" s="5">
        <f>130255+táj4!D18</f>
        <v>132255</v>
      </c>
      <c r="H18" s="5">
        <f>16170+táj4!E18</f>
        <v>14170</v>
      </c>
      <c r="I18" s="5">
        <f>78484+táj4!F18</f>
        <v>85034</v>
      </c>
      <c r="J18" s="5">
        <f>0+táj4!G18</f>
        <v>0</v>
      </c>
      <c r="K18" s="5">
        <f>0+táj4!H18</f>
        <v>0</v>
      </c>
      <c r="L18" s="5">
        <f>2000+táj4!I18</f>
        <v>2000</v>
      </c>
      <c r="M18" s="5">
        <f>0+táj4!J18</f>
        <v>0</v>
      </c>
      <c r="N18" s="5">
        <f>0+táj4!K18</f>
        <v>0</v>
      </c>
      <c r="O18" s="5">
        <f>0+táj4!L18</f>
        <v>0</v>
      </c>
      <c r="P18" s="65">
        <f t="shared" si="0"/>
        <v>233459</v>
      </c>
    </row>
    <row r="19" spans="1:16" s="19" customFormat="1" ht="12.95" customHeight="1" x14ac:dyDescent="0.2">
      <c r="A19" s="63"/>
      <c r="B19" s="312">
        <v>16</v>
      </c>
      <c r="C19" s="58" t="s">
        <v>165</v>
      </c>
      <c r="D19" s="753">
        <v>235361</v>
      </c>
      <c r="E19" s="328">
        <v>268284</v>
      </c>
      <c r="F19" s="329">
        <f>25138+táj4!M19</f>
        <v>28338</v>
      </c>
      <c r="G19" s="5">
        <f>131847+táj4!D19</f>
        <v>131847</v>
      </c>
      <c r="H19" s="5">
        <f>18378+táj4!E19</f>
        <v>18378</v>
      </c>
      <c r="I19" s="5">
        <f>127759+táj4!F19</f>
        <v>123759</v>
      </c>
      <c r="J19" s="5">
        <f>0+táj4!G19</f>
        <v>0</v>
      </c>
      <c r="K19" s="5">
        <f>0+táj4!H19</f>
        <v>0</v>
      </c>
      <c r="L19" s="5">
        <f>15438+táj4!I19</f>
        <v>22638</v>
      </c>
      <c r="M19" s="5">
        <f>0+táj4!J19</f>
        <v>0</v>
      </c>
      <c r="N19" s="5">
        <f>0+táj4!K19</f>
        <v>0</v>
      </c>
      <c r="O19" s="5">
        <f>0+táj4!L19</f>
        <v>0</v>
      </c>
      <c r="P19" s="65">
        <f t="shared" si="0"/>
        <v>296622</v>
      </c>
    </row>
    <row r="20" spans="1:16" s="19" customFormat="1" ht="15.75" customHeight="1" x14ac:dyDescent="0.2">
      <c r="A20" s="63"/>
      <c r="B20" s="312">
        <v>17</v>
      </c>
      <c r="C20" s="58" t="s">
        <v>168</v>
      </c>
      <c r="D20" s="753">
        <v>135106</v>
      </c>
      <c r="E20" s="328">
        <v>160746</v>
      </c>
      <c r="F20" s="329">
        <f>50+táj4!M20</f>
        <v>380</v>
      </c>
      <c r="G20" s="5">
        <f>73066+táj4!D20</f>
        <v>72716</v>
      </c>
      <c r="H20" s="5">
        <f>10602+táj4!E20</f>
        <v>11232</v>
      </c>
      <c r="I20" s="5">
        <f>74588+táj4!F20</f>
        <v>74638</v>
      </c>
      <c r="J20" s="5">
        <f>0+táj4!G20</f>
        <v>0</v>
      </c>
      <c r="K20" s="5">
        <f>0+táj4!H20</f>
        <v>0</v>
      </c>
      <c r="L20" s="5">
        <f>2540+táj4!I20</f>
        <v>2540</v>
      </c>
      <c r="M20" s="5">
        <f>0+táj4!J20</f>
        <v>0</v>
      </c>
      <c r="N20" s="5">
        <f>0+táj4!K20</f>
        <v>0</v>
      </c>
      <c r="O20" s="5">
        <f>0+táj4!L20</f>
        <v>0</v>
      </c>
      <c r="P20" s="65">
        <f t="shared" si="0"/>
        <v>161126</v>
      </c>
    </row>
    <row r="21" spans="1:16" s="1" customFormat="1" ht="24" x14ac:dyDescent="0.2">
      <c r="A21" s="63"/>
      <c r="B21" s="312">
        <v>18</v>
      </c>
      <c r="C21" s="57" t="s">
        <v>774</v>
      </c>
      <c r="D21" s="753">
        <v>69678</v>
      </c>
      <c r="E21" s="328">
        <v>82936</v>
      </c>
      <c r="F21" s="329">
        <f>23295+táj4!M21</f>
        <v>25925</v>
      </c>
      <c r="G21" s="9">
        <f>40155+táj4!D21</f>
        <v>41375</v>
      </c>
      <c r="H21" s="9">
        <f>5488+táj4!E21</f>
        <v>5668</v>
      </c>
      <c r="I21" s="9">
        <f>56627+táj4!F21</f>
        <v>57777</v>
      </c>
      <c r="J21" s="9">
        <f>0+táj4!G21</f>
        <v>0</v>
      </c>
      <c r="K21" s="9">
        <f>0+táj4!H21</f>
        <v>0</v>
      </c>
      <c r="L21" s="9">
        <f>3333+táj4!I21</f>
        <v>3333</v>
      </c>
      <c r="M21" s="9">
        <f>628+táj4!J21</f>
        <v>708</v>
      </c>
      <c r="N21" s="9">
        <f>0+táj4!K21</f>
        <v>0</v>
      </c>
      <c r="O21" s="9">
        <f>0+táj4!L21</f>
        <v>0</v>
      </c>
      <c r="P21" s="65">
        <f t="shared" si="0"/>
        <v>108861</v>
      </c>
    </row>
    <row r="22" spans="1:16" s="1" customFormat="1" x14ac:dyDescent="0.2">
      <c r="A22" s="66"/>
      <c r="B22" s="318"/>
      <c r="C22" s="67" t="s">
        <v>11</v>
      </c>
      <c r="D22" s="755">
        <f>SUM(D4:D21)</f>
        <v>11625850</v>
      </c>
      <c r="E22" s="39">
        <f t="shared" ref="E22:P22" si="1">SUM(E4:E21)</f>
        <v>12356583</v>
      </c>
      <c r="F22" s="39">
        <f t="shared" si="1"/>
        <v>924352</v>
      </c>
      <c r="G22" s="39">
        <f t="shared" si="1"/>
        <v>7537318</v>
      </c>
      <c r="H22" s="39">
        <f t="shared" si="1"/>
        <v>1053108</v>
      </c>
      <c r="I22" s="39">
        <f t="shared" si="1"/>
        <v>4270803</v>
      </c>
      <c r="J22" s="39">
        <f t="shared" si="1"/>
        <v>10915</v>
      </c>
      <c r="K22" s="39">
        <f t="shared" si="1"/>
        <v>27799</v>
      </c>
      <c r="L22" s="39">
        <f t="shared" si="1"/>
        <v>285682</v>
      </c>
      <c r="M22" s="39">
        <f t="shared" si="1"/>
        <v>95310</v>
      </c>
      <c r="N22" s="39">
        <f t="shared" si="1"/>
        <v>0</v>
      </c>
      <c r="O22" s="39">
        <f t="shared" si="1"/>
        <v>0</v>
      </c>
      <c r="P22" s="39">
        <f t="shared" si="1"/>
        <v>13280935</v>
      </c>
    </row>
    <row r="23" spans="1:16" s="1" customFormat="1" x14ac:dyDescent="0.2"/>
    <row r="24" spans="1:16" s="1" customFormat="1" x14ac:dyDescent="0.2"/>
    <row r="25" spans="1:16" s="1" customFormat="1" x14ac:dyDescent="0.2"/>
    <row r="26" spans="1:16" s="1" customFormat="1" x14ac:dyDescent="0.2"/>
    <row r="27" spans="1:16" s="1" customFormat="1" x14ac:dyDescent="0.2"/>
  </sheetData>
  <dataConsolidate/>
  <mergeCells count="9">
    <mergeCell ref="P1:P2"/>
    <mergeCell ref="A1:A2"/>
    <mergeCell ref="C1:C2"/>
    <mergeCell ref="G1:N1"/>
    <mergeCell ref="O1:O2"/>
    <mergeCell ref="B1:B2"/>
    <mergeCell ref="E1:E2"/>
    <mergeCell ref="F1:F2"/>
    <mergeCell ref="D1:D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85" orientation="landscape" r:id="rId1"/>
  <headerFooter alignWithMargins="0">
    <oddHeader>&amp;C&amp;"Times New Roman CE,Félkövér dőlt"ZALAEGERSZEG MEGYEI JOGÚ VÁROS ÖNKORMÁNYZATA ÁLTAL IRÁNYÍTOTT KÖLTSÉGVETÉSI SZERVEK 
2025.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I23"/>
  <sheetViews>
    <sheetView zoomScale="84" zoomScaleNormal="84" workbookViewId="0">
      <pane ySplit="1" topLeftCell="A2" activePane="bottomLeft" state="frozen"/>
      <selection pane="bottomLeft" activeCell="O1" sqref="O1:O2"/>
    </sheetView>
  </sheetViews>
  <sheetFormatPr defaultRowHeight="15" x14ac:dyDescent="0.25"/>
  <cols>
    <col min="1" max="2" width="6.1640625" style="950" customWidth="1"/>
    <col min="3" max="3" width="46.1640625" style="950" customWidth="1"/>
    <col min="4" max="4" width="14.6640625" style="950" customWidth="1"/>
    <col min="5" max="6" width="11.6640625" style="950" customWidth="1"/>
    <col min="7" max="7" width="13.83203125" style="950" customWidth="1"/>
    <col min="8" max="10" width="16.1640625" style="950" customWidth="1"/>
    <col min="11" max="11" width="15" style="950" customWidth="1"/>
    <col min="12" max="12" width="14.83203125" style="950" customWidth="1"/>
    <col min="13" max="13" width="13.6640625" style="950" customWidth="1"/>
    <col min="14" max="14" width="17.83203125" style="950" customWidth="1"/>
    <col min="15" max="15" width="12.1640625" style="950" customWidth="1"/>
    <col min="16" max="16" width="9.33203125" style="950"/>
    <col min="17" max="17" width="21.83203125" style="950" customWidth="1"/>
    <col min="18" max="18" width="9.33203125" style="950"/>
    <col min="19" max="19" width="13" style="950" customWidth="1"/>
    <col min="20" max="16384" width="9.33203125" style="950"/>
  </cols>
  <sheetData>
    <row r="1" spans="1:997" ht="48" customHeight="1" thickBot="1" x14ac:dyDescent="0.3">
      <c r="A1" s="1041" t="s">
        <v>1205</v>
      </c>
      <c r="B1" s="1043" t="s">
        <v>17</v>
      </c>
      <c r="C1" s="1045" t="s">
        <v>115</v>
      </c>
      <c r="D1" s="1045" t="s">
        <v>1237</v>
      </c>
      <c r="E1" s="1047" t="s">
        <v>1238</v>
      </c>
      <c r="F1" s="1047" t="s">
        <v>1239</v>
      </c>
      <c r="G1" s="948" t="s">
        <v>1206</v>
      </c>
      <c r="H1" s="948" t="s">
        <v>1207</v>
      </c>
      <c r="I1" s="948" t="s">
        <v>1240</v>
      </c>
      <c r="J1" s="948" t="s">
        <v>1208</v>
      </c>
      <c r="K1" s="949" t="s">
        <v>1209</v>
      </c>
      <c r="L1" s="948" t="s">
        <v>1210</v>
      </c>
      <c r="M1" s="948" t="s">
        <v>1211</v>
      </c>
      <c r="N1" s="949" t="s">
        <v>1212</v>
      </c>
      <c r="O1" s="1039" t="s">
        <v>1241</v>
      </c>
    </row>
    <row r="2" spans="1:997" s="953" customFormat="1" ht="129.75" customHeight="1" thickBot="1" x14ac:dyDescent="0.3">
      <c r="A2" s="1042"/>
      <c r="B2" s="1044"/>
      <c r="C2" s="1046"/>
      <c r="D2" s="1046"/>
      <c r="E2" s="1048"/>
      <c r="F2" s="1048"/>
      <c r="G2" s="951" t="s">
        <v>1242</v>
      </c>
      <c r="H2" s="951" t="s">
        <v>1243</v>
      </c>
      <c r="I2" s="951" t="s">
        <v>1244</v>
      </c>
      <c r="J2" s="951" t="s">
        <v>1245</v>
      </c>
      <c r="K2" s="951" t="s">
        <v>1246</v>
      </c>
      <c r="L2" s="951" t="s">
        <v>1247</v>
      </c>
      <c r="M2" s="951" t="s">
        <v>1247</v>
      </c>
      <c r="N2" s="951" t="s">
        <v>1248</v>
      </c>
      <c r="O2" s="1040"/>
      <c r="P2" s="952"/>
      <c r="Q2" s="952"/>
      <c r="R2" s="952"/>
      <c r="S2" s="952"/>
      <c r="T2" s="952"/>
      <c r="U2" s="952"/>
      <c r="V2" s="952"/>
      <c r="W2" s="952"/>
      <c r="X2" s="952"/>
      <c r="Y2" s="952"/>
      <c r="Z2" s="952"/>
      <c r="AA2" s="952"/>
      <c r="AB2" s="952"/>
      <c r="AC2" s="952"/>
      <c r="AD2" s="952"/>
      <c r="AE2" s="952"/>
      <c r="AF2" s="952"/>
      <c r="AG2" s="952"/>
      <c r="AH2" s="952"/>
      <c r="AI2" s="952"/>
      <c r="AJ2" s="952"/>
      <c r="AK2" s="952"/>
      <c r="AL2" s="952"/>
      <c r="AM2" s="952"/>
      <c r="AN2" s="952"/>
      <c r="AO2" s="952"/>
      <c r="AP2" s="952"/>
      <c r="AQ2" s="952"/>
      <c r="AR2" s="952"/>
      <c r="AS2" s="952"/>
      <c r="AT2" s="952"/>
      <c r="AU2" s="952"/>
      <c r="AV2" s="952"/>
      <c r="AW2" s="952"/>
      <c r="AX2" s="952"/>
      <c r="AY2" s="952"/>
      <c r="AZ2" s="952"/>
      <c r="BA2" s="952"/>
      <c r="BB2" s="952"/>
      <c r="BC2" s="952"/>
      <c r="BD2" s="952"/>
      <c r="BE2" s="952"/>
      <c r="BF2" s="952"/>
      <c r="BG2" s="952"/>
      <c r="BH2" s="952"/>
      <c r="BI2" s="952"/>
      <c r="BJ2" s="952"/>
      <c r="BK2" s="952"/>
      <c r="BL2" s="952"/>
      <c r="BM2" s="952"/>
      <c r="BN2" s="952"/>
      <c r="BO2" s="952"/>
      <c r="BP2" s="952"/>
      <c r="BQ2" s="952"/>
      <c r="BR2" s="952"/>
      <c r="BS2" s="952"/>
      <c r="BT2" s="952"/>
      <c r="BU2" s="952"/>
      <c r="BV2" s="952"/>
      <c r="BW2" s="952"/>
      <c r="BX2" s="952"/>
      <c r="BY2" s="952"/>
      <c r="BZ2" s="952"/>
      <c r="CA2" s="952"/>
      <c r="CB2" s="952"/>
      <c r="CC2" s="952"/>
      <c r="CD2" s="952"/>
      <c r="CE2" s="952"/>
      <c r="CF2" s="952"/>
      <c r="CG2" s="952"/>
      <c r="CH2" s="952"/>
      <c r="CI2" s="952"/>
      <c r="CJ2" s="952"/>
      <c r="CK2" s="952"/>
      <c r="CL2" s="952"/>
      <c r="CM2" s="952"/>
      <c r="CN2" s="952"/>
      <c r="CO2" s="952"/>
      <c r="CP2" s="952"/>
      <c r="CQ2" s="952"/>
      <c r="CR2" s="952"/>
      <c r="CS2" s="952"/>
      <c r="CT2" s="952"/>
      <c r="CU2" s="952"/>
      <c r="CV2" s="952"/>
      <c r="CW2" s="952"/>
      <c r="CX2" s="952"/>
      <c r="CY2" s="952"/>
      <c r="CZ2" s="952"/>
      <c r="DA2" s="952"/>
      <c r="DB2" s="952"/>
      <c r="DC2" s="952"/>
      <c r="DD2" s="952"/>
      <c r="DE2" s="952"/>
      <c r="DF2" s="952"/>
      <c r="DG2" s="952"/>
      <c r="DH2" s="952"/>
      <c r="DI2" s="952"/>
      <c r="DJ2" s="952"/>
      <c r="DK2" s="952"/>
      <c r="DL2" s="952"/>
      <c r="DM2" s="952"/>
      <c r="DN2" s="952"/>
      <c r="DO2" s="952"/>
      <c r="DP2" s="952"/>
      <c r="DQ2" s="952"/>
      <c r="DR2" s="952"/>
      <c r="DS2" s="952"/>
      <c r="DT2" s="952"/>
      <c r="DU2" s="952"/>
      <c r="DV2" s="952"/>
      <c r="DW2" s="952"/>
      <c r="DX2" s="952"/>
      <c r="DY2" s="952"/>
      <c r="DZ2" s="952"/>
      <c r="EA2" s="952"/>
      <c r="EB2" s="952"/>
      <c r="EC2" s="952"/>
      <c r="ED2" s="952"/>
      <c r="EE2" s="952"/>
      <c r="EF2" s="952"/>
      <c r="EG2" s="952"/>
      <c r="EH2" s="952"/>
      <c r="EI2" s="952"/>
      <c r="EJ2" s="952"/>
      <c r="EK2" s="952"/>
      <c r="EL2" s="952"/>
      <c r="EM2" s="952"/>
      <c r="EN2" s="952"/>
      <c r="EO2" s="952"/>
      <c r="EP2" s="952"/>
      <c r="EQ2" s="952"/>
      <c r="ER2" s="952"/>
      <c r="ES2" s="952"/>
      <c r="ET2" s="952"/>
      <c r="EU2" s="952"/>
      <c r="EV2" s="952"/>
      <c r="EW2" s="952"/>
      <c r="EX2" s="952"/>
      <c r="EY2" s="952"/>
      <c r="EZ2" s="952"/>
      <c r="FA2" s="952"/>
      <c r="FB2" s="952"/>
      <c r="FC2" s="952"/>
      <c r="FD2" s="952"/>
      <c r="FE2" s="952"/>
      <c r="FF2" s="952"/>
      <c r="FG2" s="952"/>
      <c r="FH2" s="952"/>
      <c r="FI2" s="952"/>
      <c r="FJ2" s="952"/>
      <c r="FK2" s="952"/>
      <c r="FL2" s="952"/>
      <c r="FM2" s="952"/>
      <c r="FN2" s="952"/>
      <c r="FO2" s="952"/>
      <c r="FP2" s="952"/>
      <c r="FQ2" s="952"/>
      <c r="FR2" s="952"/>
      <c r="FS2" s="952"/>
      <c r="FT2" s="952"/>
      <c r="FU2" s="952"/>
      <c r="FV2" s="952"/>
      <c r="FW2" s="952"/>
      <c r="FX2" s="952"/>
      <c r="FY2" s="952"/>
      <c r="FZ2" s="952"/>
      <c r="GA2" s="952"/>
      <c r="GB2" s="952"/>
      <c r="GC2" s="952"/>
      <c r="GD2" s="952"/>
      <c r="GE2" s="952"/>
      <c r="GF2" s="952"/>
      <c r="GG2" s="952"/>
      <c r="GH2" s="952"/>
      <c r="GI2" s="952"/>
      <c r="GJ2" s="952"/>
      <c r="GK2" s="952"/>
      <c r="GL2" s="952"/>
      <c r="GM2" s="952"/>
      <c r="GN2" s="952"/>
      <c r="GO2" s="952"/>
      <c r="GP2" s="952"/>
      <c r="GQ2" s="952"/>
      <c r="GR2" s="952"/>
      <c r="GS2" s="952"/>
      <c r="GT2" s="952"/>
      <c r="GU2" s="952"/>
      <c r="GV2" s="952"/>
      <c r="GW2" s="952"/>
      <c r="GX2" s="952"/>
      <c r="GY2" s="952"/>
      <c r="GZ2" s="952"/>
      <c r="HA2" s="952"/>
      <c r="HB2" s="952"/>
      <c r="HC2" s="952"/>
      <c r="HD2" s="952"/>
      <c r="HE2" s="952"/>
      <c r="HF2" s="952"/>
      <c r="HG2" s="952"/>
      <c r="HH2" s="952"/>
      <c r="HI2" s="952"/>
      <c r="HJ2" s="952"/>
      <c r="HK2" s="952"/>
      <c r="HL2" s="952"/>
      <c r="HM2" s="952"/>
      <c r="HN2" s="952"/>
      <c r="HO2" s="952"/>
      <c r="HP2" s="952"/>
      <c r="HQ2" s="952"/>
      <c r="HR2" s="952"/>
      <c r="HS2" s="952"/>
      <c r="HT2" s="952"/>
      <c r="HU2" s="952"/>
      <c r="HV2" s="952"/>
      <c r="HW2" s="952"/>
      <c r="HX2" s="952"/>
      <c r="HY2" s="952"/>
      <c r="HZ2" s="952"/>
      <c r="IA2" s="952"/>
      <c r="IB2" s="952"/>
      <c r="IC2" s="952"/>
      <c r="ID2" s="952"/>
      <c r="IE2" s="952"/>
      <c r="IF2" s="952"/>
      <c r="IG2" s="952"/>
      <c r="IH2" s="952"/>
      <c r="II2" s="952"/>
      <c r="IJ2" s="952"/>
      <c r="IK2" s="952"/>
      <c r="IL2" s="952"/>
      <c r="IM2" s="952"/>
      <c r="IN2" s="952"/>
      <c r="IO2" s="952"/>
      <c r="IP2" s="952"/>
      <c r="IQ2" s="952"/>
      <c r="IR2" s="952"/>
      <c r="IS2" s="952"/>
      <c r="IT2" s="952"/>
      <c r="IU2" s="952"/>
      <c r="IV2" s="952"/>
      <c r="IW2" s="952"/>
      <c r="IX2" s="952"/>
      <c r="IY2" s="952"/>
      <c r="IZ2" s="952"/>
      <c r="JA2" s="952"/>
      <c r="JB2" s="952"/>
      <c r="JC2" s="952"/>
      <c r="JD2" s="952"/>
      <c r="JE2" s="952"/>
      <c r="JF2" s="952"/>
      <c r="JG2" s="952"/>
      <c r="JH2" s="952"/>
      <c r="JI2" s="952"/>
      <c r="JJ2" s="952"/>
      <c r="JK2" s="952"/>
      <c r="JL2" s="952"/>
      <c r="JM2" s="952"/>
      <c r="JN2" s="952"/>
      <c r="JO2" s="952"/>
      <c r="JP2" s="952"/>
      <c r="JQ2" s="952"/>
      <c r="JR2" s="952"/>
      <c r="JS2" s="952"/>
      <c r="JT2" s="952"/>
      <c r="JU2" s="952"/>
      <c r="JV2" s="952"/>
      <c r="JW2" s="952"/>
      <c r="JX2" s="952"/>
      <c r="JY2" s="952"/>
      <c r="JZ2" s="952"/>
      <c r="KA2" s="952"/>
      <c r="KB2" s="952"/>
      <c r="KC2" s="952"/>
      <c r="KD2" s="952"/>
      <c r="KE2" s="952"/>
      <c r="KF2" s="952"/>
      <c r="KG2" s="952"/>
      <c r="KH2" s="952"/>
      <c r="KI2" s="952"/>
      <c r="KJ2" s="952"/>
      <c r="KK2" s="952"/>
      <c r="KL2" s="952"/>
      <c r="KM2" s="952"/>
      <c r="KN2" s="952"/>
      <c r="KO2" s="952"/>
      <c r="KP2" s="952"/>
      <c r="KQ2" s="952"/>
      <c r="KR2" s="952"/>
      <c r="KS2" s="952"/>
      <c r="KT2" s="952"/>
      <c r="KU2" s="952"/>
      <c r="KV2" s="952"/>
      <c r="KW2" s="952"/>
      <c r="KX2" s="952"/>
      <c r="KY2" s="952"/>
      <c r="KZ2" s="952"/>
      <c r="LA2" s="952"/>
      <c r="LB2" s="952"/>
      <c r="LC2" s="952"/>
      <c r="LD2" s="952"/>
      <c r="LE2" s="952"/>
      <c r="LF2" s="952"/>
      <c r="LG2" s="952"/>
      <c r="LH2" s="952"/>
      <c r="LI2" s="952"/>
      <c r="LJ2" s="952"/>
      <c r="LK2" s="952"/>
      <c r="LL2" s="952"/>
      <c r="LM2" s="952"/>
      <c r="LN2" s="952"/>
      <c r="LO2" s="952"/>
      <c r="LP2" s="952"/>
      <c r="LQ2" s="952"/>
      <c r="LR2" s="952"/>
      <c r="LS2" s="952"/>
      <c r="LT2" s="952"/>
      <c r="LU2" s="952"/>
      <c r="LV2" s="952"/>
      <c r="LW2" s="952"/>
      <c r="LX2" s="952"/>
      <c r="LY2" s="952"/>
      <c r="LZ2" s="952"/>
      <c r="MA2" s="952"/>
      <c r="MB2" s="952"/>
      <c r="MC2" s="952"/>
      <c r="MD2" s="952"/>
      <c r="ME2" s="952"/>
      <c r="MF2" s="952"/>
      <c r="MG2" s="952"/>
      <c r="MH2" s="952"/>
      <c r="MI2" s="952"/>
      <c r="MJ2" s="952"/>
      <c r="MK2" s="952"/>
      <c r="ML2" s="952"/>
      <c r="MM2" s="952"/>
      <c r="MN2" s="952"/>
      <c r="MO2" s="952"/>
      <c r="MP2" s="952"/>
      <c r="MQ2" s="952"/>
      <c r="MR2" s="952"/>
      <c r="MS2" s="952"/>
      <c r="MT2" s="952"/>
      <c r="MU2" s="952"/>
      <c r="MV2" s="952"/>
      <c r="MW2" s="952"/>
      <c r="MX2" s="952"/>
      <c r="MY2" s="952"/>
      <c r="MZ2" s="952"/>
      <c r="NA2" s="952"/>
      <c r="NB2" s="952"/>
      <c r="NC2" s="952"/>
      <c r="ND2" s="952"/>
      <c r="NE2" s="952"/>
      <c r="NF2" s="952"/>
      <c r="NG2" s="952"/>
      <c r="NH2" s="952"/>
      <c r="NI2" s="952"/>
      <c r="NJ2" s="952"/>
      <c r="NK2" s="952"/>
      <c r="NL2" s="952"/>
      <c r="NM2" s="952"/>
      <c r="NN2" s="952"/>
      <c r="NO2" s="952"/>
      <c r="NP2" s="952"/>
      <c r="NQ2" s="952"/>
      <c r="NR2" s="952"/>
      <c r="NS2" s="952"/>
      <c r="NT2" s="952"/>
      <c r="NU2" s="952"/>
      <c r="NV2" s="952"/>
      <c r="NW2" s="952"/>
      <c r="NX2" s="952"/>
      <c r="NY2" s="952"/>
      <c r="NZ2" s="952"/>
      <c r="OA2" s="952"/>
      <c r="OB2" s="952"/>
      <c r="OC2" s="952"/>
      <c r="OD2" s="952"/>
      <c r="OE2" s="952"/>
      <c r="OF2" s="952"/>
      <c r="OG2" s="952"/>
      <c r="OH2" s="952"/>
      <c r="OI2" s="952"/>
      <c r="OJ2" s="952"/>
      <c r="OK2" s="952"/>
      <c r="OL2" s="952"/>
      <c r="OM2" s="952"/>
      <c r="ON2" s="952"/>
      <c r="OO2" s="952"/>
      <c r="OP2" s="952"/>
      <c r="OQ2" s="952"/>
      <c r="OR2" s="952"/>
      <c r="OS2" s="952"/>
      <c r="OT2" s="952"/>
      <c r="OU2" s="952"/>
      <c r="OV2" s="952"/>
      <c r="OW2" s="952"/>
      <c r="OX2" s="952"/>
      <c r="OY2" s="952"/>
      <c r="OZ2" s="952"/>
      <c r="PA2" s="952"/>
      <c r="PB2" s="952"/>
      <c r="PC2" s="952"/>
      <c r="PD2" s="952"/>
      <c r="PE2" s="952"/>
      <c r="PF2" s="952"/>
      <c r="PG2" s="952"/>
      <c r="PH2" s="952"/>
      <c r="PI2" s="952"/>
      <c r="PJ2" s="952"/>
      <c r="PK2" s="952"/>
      <c r="PL2" s="952"/>
      <c r="PM2" s="952"/>
      <c r="PN2" s="952"/>
      <c r="PO2" s="952"/>
      <c r="PP2" s="952"/>
      <c r="PQ2" s="952"/>
      <c r="PR2" s="952"/>
      <c r="PS2" s="952"/>
      <c r="PT2" s="952"/>
      <c r="PU2" s="952"/>
      <c r="PV2" s="952"/>
      <c r="PW2" s="952"/>
      <c r="PX2" s="952"/>
      <c r="PY2" s="952"/>
      <c r="PZ2" s="952"/>
      <c r="QA2" s="952"/>
      <c r="QB2" s="952"/>
      <c r="QC2" s="952"/>
      <c r="QD2" s="952"/>
      <c r="QE2" s="952"/>
      <c r="QF2" s="952"/>
      <c r="QG2" s="952"/>
      <c r="QH2" s="952"/>
      <c r="QI2" s="952"/>
      <c r="QJ2" s="952"/>
      <c r="QK2" s="952"/>
      <c r="QL2" s="952"/>
      <c r="QM2" s="952"/>
      <c r="QN2" s="952"/>
      <c r="QO2" s="952"/>
      <c r="QP2" s="952"/>
      <c r="QQ2" s="952"/>
      <c r="QR2" s="952"/>
      <c r="QS2" s="952"/>
      <c r="QT2" s="952"/>
      <c r="QU2" s="952"/>
      <c r="QV2" s="952"/>
      <c r="QW2" s="952"/>
      <c r="QX2" s="952"/>
      <c r="QY2" s="952"/>
      <c r="QZ2" s="952"/>
      <c r="RA2" s="952"/>
      <c r="RB2" s="952"/>
      <c r="RC2" s="952"/>
      <c r="RD2" s="952"/>
      <c r="RE2" s="952"/>
      <c r="RF2" s="952"/>
      <c r="RG2" s="952"/>
      <c r="RH2" s="952"/>
      <c r="RI2" s="952"/>
      <c r="RJ2" s="952"/>
      <c r="RK2" s="952"/>
      <c r="RL2" s="952"/>
      <c r="RM2" s="952"/>
      <c r="RN2" s="952"/>
      <c r="RO2" s="952"/>
      <c r="RP2" s="952"/>
      <c r="RQ2" s="952"/>
      <c r="RR2" s="952"/>
      <c r="RS2" s="952"/>
      <c r="RT2" s="952"/>
      <c r="RU2" s="952"/>
      <c r="RV2" s="952"/>
      <c r="RW2" s="952"/>
      <c r="RX2" s="952"/>
      <c r="RY2" s="952"/>
      <c r="RZ2" s="952"/>
      <c r="SA2" s="952"/>
      <c r="SB2" s="952"/>
      <c r="SC2" s="952"/>
      <c r="SD2" s="952"/>
      <c r="SE2" s="952"/>
      <c r="SF2" s="952"/>
      <c r="SG2" s="952"/>
      <c r="SH2" s="952"/>
      <c r="SI2" s="952"/>
      <c r="SJ2" s="952"/>
      <c r="SK2" s="952"/>
      <c r="SL2" s="952"/>
      <c r="SM2" s="952"/>
      <c r="SN2" s="952"/>
      <c r="SO2" s="952"/>
      <c r="SP2" s="952"/>
      <c r="SQ2" s="952"/>
      <c r="SR2" s="952"/>
      <c r="SS2" s="952"/>
      <c r="ST2" s="952"/>
      <c r="SU2" s="952"/>
      <c r="SV2" s="952"/>
      <c r="SW2" s="952"/>
      <c r="SX2" s="952"/>
      <c r="SY2" s="952"/>
      <c r="SZ2" s="952"/>
      <c r="TA2" s="952"/>
      <c r="TB2" s="952"/>
      <c r="TC2" s="952"/>
      <c r="TD2" s="952"/>
      <c r="TE2" s="952"/>
      <c r="TF2" s="952"/>
      <c r="TG2" s="952"/>
      <c r="TH2" s="952"/>
      <c r="TI2" s="952"/>
      <c r="TJ2" s="952"/>
      <c r="TK2" s="952"/>
      <c r="TL2" s="952"/>
      <c r="TM2" s="952"/>
      <c r="TN2" s="952"/>
      <c r="TO2" s="952"/>
      <c r="TP2" s="952"/>
      <c r="TQ2" s="952"/>
      <c r="TR2" s="952"/>
      <c r="TS2" s="952"/>
      <c r="TT2" s="952"/>
      <c r="TU2" s="952"/>
      <c r="TV2" s="952"/>
      <c r="TW2" s="952"/>
      <c r="TX2" s="952"/>
      <c r="TY2" s="952"/>
      <c r="TZ2" s="952"/>
      <c r="UA2" s="952"/>
      <c r="UB2" s="952"/>
      <c r="UC2" s="952"/>
      <c r="UD2" s="952"/>
      <c r="UE2" s="952"/>
      <c r="UF2" s="952"/>
      <c r="UG2" s="952"/>
      <c r="UH2" s="952"/>
      <c r="UI2" s="952"/>
      <c r="UJ2" s="952"/>
      <c r="UK2" s="952"/>
      <c r="UL2" s="952"/>
      <c r="UM2" s="952"/>
      <c r="UN2" s="952"/>
      <c r="UO2" s="952"/>
      <c r="UP2" s="952"/>
      <c r="UQ2" s="952"/>
      <c r="UR2" s="952"/>
      <c r="US2" s="952"/>
      <c r="UT2" s="952"/>
      <c r="UU2" s="952"/>
      <c r="UV2" s="952"/>
      <c r="UW2" s="952"/>
      <c r="UX2" s="952"/>
      <c r="UY2" s="952"/>
      <c r="UZ2" s="952"/>
      <c r="VA2" s="952"/>
      <c r="VB2" s="952"/>
      <c r="VC2" s="952"/>
      <c r="VD2" s="952"/>
      <c r="VE2" s="952"/>
      <c r="VF2" s="952"/>
      <c r="VG2" s="952"/>
      <c r="VH2" s="952"/>
      <c r="VI2" s="952"/>
      <c r="VJ2" s="952"/>
      <c r="VK2" s="952"/>
      <c r="VL2" s="952"/>
      <c r="VM2" s="952"/>
      <c r="VN2" s="952"/>
      <c r="VO2" s="952"/>
      <c r="VP2" s="952"/>
      <c r="VQ2" s="952"/>
      <c r="VR2" s="952"/>
      <c r="VS2" s="952"/>
      <c r="VT2" s="952"/>
      <c r="VU2" s="952"/>
      <c r="VV2" s="952"/>
      <c r="VW2" s="952"/>
      <c r="VX2" s="952"/>
      <c r="VY2" s="952"/>
      <c r="VZ2" s="952"/>
      <c r="WA2" s="952"/>
      <c r="WB2" s="952"/>
      <c r="WC2" s="952"/>
      <c r="WD2" s="952"/>
      <c r="WE2" s="952"/>
      <c r="WF2" s="952"/>
      <c r="WG2" s="952"/>
      <c r="WH2" s="952"/>
      <c r="WI2" s="952"/>
      <c r="WJ2" s="952"/>
      <c r="WK2" s="952"/>
      <c r="WL2" s="952"/>
      <c r="WM2" s="952"/>
      <c r="WN2" s="952"/>
      <c r="WO2" s="952"/>
      <c r="WP2" s="952"/>
      <c r="WQ2" s="952"/>
      <c r="WR2" s="952"/>
      <c r="WS2" s="952"/>
      <c r="WT2" s="952"/>
      <c r="WU2" s="952"/>
      <c r="WV2" s="952"/>
      <c r="WW2" s="952"/>
      <c r="WX2" s="952"/>
      <c r="WY2" s="952"/>
      <c r="WZ2" s="952"/>
      <c r="XA2" s="952"/>
      <c r="XB2" s="952"/>
      <c r="XC2" s="952"/>
      <c r="XD2" s="952"/>
      <c r="XE2" s="952"/>
      <c r="XF2" s="952"/>
      <c r="XG2" s="952"/>
      <c r="XH2" s="952"/>
      <c r="XI2" s="952"/>
      <c r="XJ2" s="952"/>
      <c r="XK2" s="952"/>
      <c r="XL2" s="952"/>
      <c r="XM2" s="952"/>
      <c r="XN2" s="952"/>
      <c r="XO2" s="952"/>
      <c r="XP2" s="952"/>
      <c r="XQ2" s="952"/>
      <c r="XR2" s="952"/>
      <c r="XS2" s="952"/>
      <c r="XT2" s="952"/>
      <c r="XU2" s="952"/>
      <c r="XV2" s="952"/>
      <c r="XW2" s="952"/>
      <c r="XX2" s="952"/>
      <c r="XY2" s="952"/>
      <c r="XZ2" s="952"/>
      <c r="YA2" s="952"/>
      <c r="YB2" s="952"/>
      <c r="YC2" s="952"/>
      <c r="YD2" s="952"/>
      <c r="YE2" s="952"/>
      <c r="YF2" s="952"/>
      <c r="YG2" s="952"/>
      <c r="YH2" s="952"/>
      <c r="YI2" s="952"/>
      <c r="YJ2" s="952"/>
      <c r="YK2" s="952"/>
      <c r="YL2" s="952"/>
      <c r="YM2" s="952"/>
      <c r="YN2" s="952"/>
      <c r="YO2" s="952"/>
      <c r="YP2" s="952"/>
      <c r="YQ2" s="952"/>
      <c r="YR2" s="952"/>
      <c r="YS2" s="952"/>
      <c r="YT2" s="952"/>
      <c r="YU2" s="952"/>
      <c r="YV2" s="952"/>
      <c r="YW2" s="952"/>
      <c r="YX2" s="952"/>
      <c r="YY2" s="952"/>
      <c r="YZ2" s="952"/>
      <c r="ZA2" s="952"/>
      <c r="ZB2" s="952"/>
      <c r="ZC2" s="952"/>
      <c r="ZD2" s="952"/>
      <c r="ZE2" s="952"/>
      <c r="ZF2" s="952"/>
      <c r="ZG2" s="952"/>
      <c r="ZH2" s="952"/>
      <c r="ZI2" s="952"/>
      <c r="ZJ2" s="952"/>
      <c r="ZK2" s="952"/>
      <c r="ZL2" s="952"/>
      <c r="ZM2" s="952"/>
      <c r="ZN2" s="952"/>
      <c r="ZO2" s="952"/>
      <c r="ZP2" s="952"/>
      <c r="ZQ2" s="952"/>
      <c r="ZR2" s="952"/>
      <c r="ZS2" s="952"/>
      <c r="ZT2" s="952"/>
      <c r="ZU2" s="952"/>
      <c r="ZV2" s="952"/>
      <c r="ZW2" s="952"/>
      <c r="ZX2" s="952"/>
      <c r="ZY2" s="952"/>
      <c r="ZZ2" s="952"/>
      <c r="AAA2" s="952"/>
      <c r="AAB2" s="952"/>
      <c r="AAC2" s="952"/>
      <c r="AAD2" s="952"/>
      <c r="AAE2" s="952"/>
      <c r="AAF2" s="952"/>
      <c r="AAG2" s="952"/>
      <c r="AAH2" s="952"/>
      <c r="AAI2" s="952"/>
      <c r="AAJ2" s="952"/>
      <c r="AAK2" s="952"/>
      <c r="AAL2" s="952"/>
      <c r="AAM2" s="952"/>
      <c r="AAN2" s="952"/>
      <c r="AAO2" s="952"/>
      <c r="AAP2" s="952"/>
      <c r="AAQ2" s="952"/>
      <c r="AAR2" s="952"/>
      <c r="AAS2" s="952"/>
      <c r="AAT2" s="952"/>
      <c r="AAU2" s="952"/>
      <c r="AAV2" s="952"/>
      <c r="AAW2" s="952"/>
      <c r="AAX2" s="952"/>
      <c r="AAY2" s="952"/>
      <c r="AAZ2" s="952"/>
      <c r="ABA2" s="952"/>
      <c r="ABB2" s="952"/>
      <c r="ABC2" s="952"/>
      <c r="ABD2" s="952"/>
      <c r="ABE2" s="952"/>
      <c r="ABF2" s="952"/>
      <c r="ABG2" s="952"/>
      <c r="ABH2" s="952"/>
      <c r="ABI2" s="952"/>
      <c r="ABJ2" s="952"/>
      <c r="ABK2" s="952"/>
      <c r="ABL2" s="952"/>
      <c r="ABM2" s="952"/>
      <c r="ABN2" s="952"/>
      <c r="ABO2" s="952"/>
      <c r="ABP2" s="952"/>
      <c r="ABQ2" s="952"/>
      <c r="ABR2" s="952"/>
      <c r="ABS2" s="952"/>
      <c r="ABT2" s="952"/>
      <c r="ABU2" s="952"/>
      <c r="ABV2" s="952"/>
      <c r="ABW2" s="952"/>
      <c r="ABX2" s="952"/>
      <c r="ABY2" s="952"/>
      <c r="ABZ2" s="952"/>
      <c r="ACA2" s="952"/>
      <c r="ACB2" s="952"/>
      <c r="ACC2" s="952"/>
      <c r="ACD2" s="952"/>
      <c r="ACE2" s="952"/>
      <c r="ACF2" s="952"/>
      <c r="ACG2" s="952"/>
      <c r="ACH2" s="952"/>
      <c r="ACI2" s="952"/>
      <c r="ACJ2" s="952"/>
      <c r="ACK2" s="952"/>
      <c r="ACL2" s="952"/>
      <c r="ACM2" s="952"/>
      <c r="ACN2" s="952"/>
      <c r="ACO2" s="952"/>
      <c r="ACP2" s="952"/>
      <c r="ACQ2" s="952"/>
      <c r="ACR2" s="952"/>
      <c r="ACS2" s="952"/>
      <c r="ACT2" s="952"/>
      <c r="ACU2" s="952"/>
      <c r="ACV2" s="952"/>
      <c r="ACW2" s="952"/>
      <c r="ACX2" s="952"/>
      <c r="ACY2" s="952"/>
      <c r="ACZ2" s="952"/>
      <c r="ADA2" s="952"/>
      <c r="ADB2" s="952"/>
      <c r="ADC2" s="952"/>
      <c r="ADD2" s="952"/>
      <c r="ADE2" s="952"/>
      <c r="ADF2" s="952"/>
      <c r="ADG2" s="952"/>
      <c r="ADH2" s="952"/>
      <c r="ADI2" s="952"/>
      <c r="ADJ2" s="952"/>
      <c r="ADK2" s="952"/>
      <c r="ADL2" s="952"/>
      <c r="ADM2" s="952"/>
      <c r="ADN2" s="952"/>
      <c r="ADO2" s="952"/>
      <c r="ADP2" s="952"/>
      <c r="ADQ2" s="952"/>
      <c r="ADR2" s="952"/>
      <c r="ADS2" s="952"/>
      <c r="ADT2" s="952"/>
      <c r="ADU2" s="952"/>
      <c r="ADV2" s="952"/>
      <c r="ADW2" s="952"/>
      <c r="ADX2" s="952"/>
      <c r="ADY2" s="952"/>
      <c r="ADZ2" s="952"/>
      <c r="AEA2" s="952"/>
      <c r="AEB2" s="952"/>
      <c r="AEC2" s="952"/>
      <c r="AED2" s="952"/>
      <c r="AEE2" s="952"/>
      <c r="AEF2" s="952"/>
      <c r="AEG2" s="952"/>
      <c r="AEH2" s="952"/>
      <c r="AEI2" s="952"/>
      <c r="AEJ2" s="952"/>
      <c r="AEK2" s="952"/>
      <c r="AEL2" s="952"/>
      <c r="AEM2" s="952"/>
      <c r="AEN2" s="952"/>
      <c r="AEO2" s="952"/>
      <c r="AEP2" s="952"/>
      <c r="AEQ2" s="952"/>
      <c r="AER2" s="952"/>
      <c r="AES2" s="952"/>
      <c r="AET2" s="952"/>
      <c r="AEU2" s="952"/>
      <c r="AEV2" s="952"/>
      <c r="AEW2" s="952"/>
      <c r="AEX2" s="952"/>
      <c r="AEY2" s="952"/>
      <c r="AEZ2" s="952"/>
      <c r="AFA2" s="952"/>
      <c r="AFB2" s="952"/>
      <c r="AFC2" s="952"/>
      <c r="AFD2" s="952"/>
      <c r="AFE2" s="952"/>
      <c r="AFF2" s="952"/>
      <c r="AFG2" s="952"/>
      <c r="AFH2" s="952"/>
      <c r="AFI2" s="952"/>
      <c r="AFJ2" s="952"/>
      <c r="AFK2" s="952"/>
      <c r="AFL2" s="952"/>
      <c r="AFM2" s="952"/>
      <c r="AFN2" s="952"/>
      <c r="AFO2" s="952"/>
      <c r="AFP2" s="952"/>
      <c r="AFQ2" s="952"/>
      <c r="AFR2" s="952"/>
      <c r="AFS2" s="952"/>
      <c r="AFT2" s="952"/>
      <c r="AFU2" s="952"/>
      <c r="AFV2" s="952"/>
      <c r="AFW2" s="952"/>
      <c r="AFX2" s="952"/>
      <c r="AFY2" s="952"/>
      <c r="AFZ2" s="952"/>
      <c r="AGA2" s="952"/>
      <c r="AGB2" s="952"/>
      <c r="AGC2" s="952"/>
      <c r="AGD2" s="952"/>
      <c r="AGE2" s="952"/>
      <c r="AGF2" s="952"/>
      <c r="AGG2" s="952"/>
      <c r="AGH2" s="952"/>
      <c r="AGI2" s="952"/>
      <c r="AGJ2" s="952"/>
      <c r="AGK2" s="952"/>
      <c r="AGL2" s="952"/>
      <c r="AGM2" s="952"/>
      <c r="AGN2" s="952"/>
      <c r="AGO2" s="952"/>
      <c r="AGP2" s="952"/>
      <c r="AGQ2" s="952"/>
      <c r="AGR2" s="952"/>
      <c r="AGS2" s="952"/>
      <c r="AGT2" s="952"/>
      <c r="AGU2" s="952"/>
      <c r="AGV2" s="952"/>
      <c r="AGW2" s="952"/>
      <c r="AGX2" s="952"/>
      <c r="AGY2" s="952"/>
      <c r="AGZ2" s="952"/>
      <c r="AHA2" s="952"/>
      <c r="AHB2" s="952"/>
      <c r="AHC2" s="952"/>
      <c r="AHD2" s="952"/>
      <c r="AHE2" s="952"/>
      <c r="AHF2" s="952"/>
      <c r="AHG2" s="952"/>
      <c r="AHH2" s="952"/>
      <c r="AHI2" s="952"/>
      <c r="AHJ2" s="952"/>
      <c r="AHK2" s="952"/>
      <c r="AHL2" s="952"/>
      <c r="AHM2" s="952"/>
      <c r="AHN2" s="952"/>
      <c r="AHO2" s="952"/>
      <c r="AHP2" s="952"/>
      <c r="AHQ2" s="952"/>
      <c r="AHR2" s="952"/>
      <c r="AHS2" s="952"/>
      <c r="AHT2" s="952"/>
      <c r="AHU2" s="952"/>
      <c r="AHV2" s="952"/>
      <c r="AHW2" s="952"/>
      <c r="AHX2" s="952"/>
      <c r="AHY2" s="952"/>
      <c r="AHZ2" s="952"/>
      <c r="AIA2" s="952"/>
      <c r="AIB2" s="952"/>
      <c r="AIC2" s="952"/>
      <c r="AID2" s="952"/>
      <c r="AIE2" s="952"/>
      <c r="AIF2" s="952"/>
      <c r="AIG2" s="952"/>
      <c r="AIH2" s="952"/>
      <c r="AII2" s="952"/>
      <c r="AIJ2" s="952"/>
      <c r="AIK2" s="952"/>
      <c r="AIL2" s="952"/>
      <c r="AIM2" s="952"/>
      <c r="AIN2" s="952"/>
      <c r="AIO2" s="952"/>
      <c r="AIP2" s="952"/>
      <c r="AIQ2" s="952"/>
      <c r="AIR2" s="952"/>
      <c r="AIS2" s="952"/>
      <c r="AIT2" s="952"/>
      <c r="AIU2" s="952"/>
      <c r="AIV2" s="952"/>
      <c r="AIW2" s="952"/>
      <c r="AIX2" s="952"/>
      <c r="AIY2" s="952"/>
      <c r="AIZ2" s="952"/>
      <c r="AJA2" s="952"/>
      <c r="AJB2" s="952"/>
      <c r="AJC2" s="952"/>
      <c r="AJD2" s="952"/>
      <c r="AJE2" s="952"/>
      <c r="AJF2" s="952"/>
      <c r="AJG2" s="952"/>
      <c r="AJH2" s="952"/>
      <c r="AJI2" s="952"/>
      <c r="AJJ2" s="952"/>
      <c r="AJK2" s="952"/>
      <c r="AJL2" s="952"/>
      <c r="AJM2" s="952"/>
      <c r="AJN2" s="952"/>
      <c r="AJO2" s="952"/>
      <c r="AJP2" s="952"/>
      <c r="AJQ2" s="952"/>
      <c r="AJR2" s="952"/>
      <c r="AJS2" s="952"/>
      <c r="AJT2" s="952"/>
      <c r="AJU2" s="952"/>
      <c r="AJV2" s="952"/>
      <c r="AJW2" s="952"/>
      <c r="AJX2" s="952"/>
      <c r="AJY2" s="952"/>
      <c r="AJZ2" s="952"/>
      <c r="AKA2" s="952"/>
      <c r="AKB2" s="952"/>
      <c r="AKC2" s="952"/>
      <c r="AKD2" s="952"/>
      <c r="AKE2" s="952"/>
      <c r="AKF2" s="952"/>
      <c r="AKG2" s="952"/>
      <c r="AKH2" s="952"/>
      <c r="AKI2" s="952"/>
      <c r="AKJ2" s="952"/>
      <c r="AKK2" s="952"/>
      <c r="AKL2" s="952"/>
      <c r="AKM2" s="952"/>
      <c r="AKN2" s="952"/>
      <c r="AKO2" s="952"/>
      <c r="AKP2" s="952"/>
      <c r="AKQ2" s="952"/>
      <c r="AKR2" s="952"/>
      <c r="AKS2" s="952"/>
      <c r="AKT2" s="952"/>
      <c r="AKU2" s="952"/>
      <c r="AKV2" s="952"/>
      <c r="AKW2" s="952"/>
      <c r="AKX2" s="952"/>
      <c r="AKY2" s="952"/>
      <c r="AKZ2" s="952"/>
      <c r="ALA2" s="952"/>
      <c r="ALB2" s="952"/>
      <c r="ALC2" s="952"/>
      <c r="ALD2" s="952"/>
      <c r="ALE2" s="952"/>
      <c r="ALF2" s="952"/>
      <c r="ALG2" s="952"/>
      <c r="ALH2" s="952"/>
      <c r="ALI2" s="952"/>
    </row>
    <row r="3" spans="1:997" ht="18" customHeight="1" x14ac:dyDescent="0.25">
      <c r="A3" s="954">
        <v>1</v>
      </c>
      <c r="B3" s="955"/>
      <c r="C3" s="956" t="s">
        <v>160</v>
      </c>
      <c r="D3" s="957">
        <v>6</v>
      </c>
      <c r="E3" s="957">
        <v>11</v>
      </c>
      <c r="F3" s="957"/>
      <c r="G3" s="957">
        <v>4</v>
      </c>
      <c r="H3" s="957">
        <v>2</v>
      </c>
      <c r="I3" s="957"/>
      <c r="J3" s="957"/>
      <c r="K3" s="957"/>
      <c r="L3" s="957">
        <v>5</v>
      </c>
      <c r="M3" s="957"/>
      <c r="N3" s="958"/>
      <c r="O3" s="959">
        <f>SUM(G3:N3)</f>
        <v>11</v>
      </c>
    </row>
    <row r="4" spans="1:997" ht="18" customHeight="1" x14ac:dyDescent="0.25">
      <c r="A4" s="960">
        <v>2</v>
      </c>
      <c r="B4" s="961">
        <v>1</v>
      </c>
      <c r="C4" s="962" t="s">
        <v>1213</v>
      </c>
      <c r="D4" s="963">
        <v>191</v>
      </c>
      <c r="E4" s="963">
        <v>196</v>
      </c>
      <c r="F4" s="963"/>
      <c r="G4" s="963">
        <v>184</v>
      </c>
      <c r="H4" s="964"/>
      <c r="I4" s="964"/>
      <c r="J4" s="964"/>
      <c r="K4" s="963">
        <v>7</v>
      </c>
      <c r="L4" s="963">
        <v>5</v>
      </c>
      <c r="M4" s="964"/>
      <c r="N4" s="965"/>
      <c r="O4" s="966">
        <f t="shared" ref="O4:O21" si="0">SUM(G4:N4)</f>
        <v>196</v>
      </c>
    </row>
    <row r="5" spans="1:997" ht="18" customHeight="1" x14ac:dyDescent="0.25">
      <c r="A5" s="960"/>
      <c r="B5" s="961">
        <v>2</v>
      </c>
      <c r="C5" s="962" t="s">
        <v>1214</v>
      </c>
      <c r="D5" s="963">
        <v>52</v>
      </c>
      <c r="E5" s="963">
        <v>52</v>
      </c>
      <c r="F5" s="963"/>
      <c r="G5" s="967"/>
      <c r="H5" s="968">
        <v>35</v>
      </c>
      <c r="I5" s="968"/>
      <c r="J5" s="968">
        <v>15.5</v>
      </c>
      <c r="K5" s="969"/>
      <c r="L5" s="968">
        <v>1.5</v>
      </c>
      <c r="M5" s="967"/>
      <c r="N5" s="967"/>
      <c r="O5" s="966">
        <f t="shared" si="0"/>
        <v>52</v>
      </c>
    </row>
    <row r="6" spans="1:997" ht="18" customHeight="1" x14ac:dyDescent="0.25">
      <c r="A6" s="960"/>
      <c r="B6" s="961">
        <v>3</v>
      </c>
      <c r="C6" s="970" t="s">
        <v>141</v>
      </c>
      <c r="D6" s="963">
        <v>127.5</v>
      </c>
      <c r="E6" s="963">
        <v>132.6</v>
      </c>
      <c r="F6" s="963"/>
      <c r="G6" s="964"/>
      <c r="H6" s="963">
        <v>127.5</v>
      </c>
      <c r="I6" s="964"/>
      <c r="J6" s="964"/>
      <c r="K6" s="971">
        <v>5.0999999999999996</v>
      </c>
      <c r="L6" s="972"/>
      <c r="M6" s="964"/>
      <c r="N6" s="972"/>
      <c r="O6" s="966">
        <f t="shared" si="0"/>
        <v>132.6</v>
      </c>
    </row>
    <row r="7" spans="1:997" ht="18" customHeight="1" x14ac:dyDescent="0.25">
      <c r="A7" s="960"/>
      <c r="B7" s="961">
        <v>4</v>
      </c>
      <c r="C7" s="973" t="s">
        <v>163</v>
      </c>
      <c r="D7" s="963">
        <v>63.5</v>
      </c>
      <c r="E7" s="963">
        <v>66.3</v>
      </c>
      <c r="F7" s="963"/>
      <c r="G7" s="964"/>
      <c r="H7" s="963">
        <v>63.5</v>
      </c>
      <c r="I7" s="963"/>
      <c r="J7" s="963"/>
      <c r="K7" s="971"/>
      <c r="L7" s="971">
        <v>2.8</v>
      </c>
      <c r="M7" s="964"/>
      <c r="N7" s="972"/>
      <c r="O7" s="966">
        <f t="shared" si="0"/>
        <v>66.3</v>
      </c>
    </row>
    <row r="8" spans="1:997" ht="18" customHeight="1" x14ac:dyDescent="0.25">
      <c r="A8" s="960"/>
      <c r="B8" s="961">
        <v>5</v>
      </c>
      <c r="C8" s="970" t="s">
        <v>1215</v>
      </c>
      <c r="D8" s="963">
        <v>71</v>
      </c>
      <c r="E8" s="963">
        <v>71</v>
      </c>
      <c r="F8" s="963"/>
      <c r="G8" s="964"/>
      <c r="H8" s="964"/>
      <c r="I8" s="963">
        <v>71</v>
      </c>
      <c r="J8" s="964"/>
      <c r="K8" s="974"/>
      <c r="L8" s="975"/>
      <c r="M8" s="964"/>
      <c r="N8" s="972"/>
      <c r="O8" s="966">
        <f t="shared" si="0"/>
        <v>71</v>
      </c>
    </row>
    <row r="9" spans="1:997" ht="18" customHeight="1" x14ac:dyDescent="0.25">
      <c r="A9" s="960"/>
      <c r="B9" s="961">
        <v>6</v>
      </c>
      <c r="C9" s="970" t="s">
        <v>1216</v>
      </c>
      <c r="D9" s="963">
        <v>51</v>
      </c>
      <c r="E9" s="963">
        <v>56.3</v>
      </c>
      <c r="F9" s="963">
        <v>1</v>
      </c>
      <c r="G9" s="964"/>
      <c r="H9" s="964"/>
      <c r="I9" s="963">
        <v>52</v>
      </c>
      <c r="J9" s="964"/>
      <c r="K9" s="971">
        <v>5.3</v>
      </c>
      <c r="L9" s="964"/>
      <c r="M9" s="964"/>
      <c r="N9" s="972"/>
      <c r="O9" s="966">
        <f t="shared" si="0"/>
        <v>57.3</v>
      </c>
    </row>
    <row r="10" spans="1:997" ht="18" customHeight="1" x14ac:dyDescent="0.25">
      <c r="A10" s="960"/>
      <c r="B10" s="961">
        <v>7</v>
      </c>
      <c r="C10" s="970" t="s">
        <v>144</v>
      </c>
      <c r="D10" s="963">
        <v>59</v>
      </c>
      <c r="E10" s="963">
        <v>59</v>
      </c>
      <c r="F10" s="963"/>
      <c r="G10" s="964"/>
      <c r="H10" s="964"/>
      <c r="I10" s="963">
        <v>59</v>
      </c>
      <c r="J10" s="964"/>
      <c r="K10" s="974"/>
      <c r="L10" s="964"/>
      <c r="M10" s="964"/>
      <c r="N10" s="972"/>
      <c r="O10" s="966">
        <f t="shared" si="0"/>
        <v>59</v>
      </c>
    </row>
    <row r="11" spans="1:997" ht="18" customHeight="1" x14ac:dyDescent="0.25">
      <c r="A11" s="960"/>
      <c r="B11" s="961">
        <v>8</v>
      </c>
      <c r="C11" s="970" t="s">
        <v>145</v>
      </c>
      <c r="D11" s="963">
        <v>57</v>
      </c>
      <c r="E11" s="963">
        <v>60</v>
      </c>
      <c r="F11" s="963"/>
      <c r="G11" s="964"/>
      <c r="H11" s="964"/>
      <c r="I11" s="963">
        <v>57</v>
      </c>
      <c r="J11" s="964"/>
      <c r="K11" s="971">
        <v>3</v>
      </c>
      <c r="L11" s="964"/>
      <c r="M11" s="964"/>
      <c r="N11" s="972"/>
      <c r="O11" s="966">
        <f t="shared" si="0"/>
        <v>60</v>
      </c>
    </row>
    <row r="12" spans="1:997" ht="18" customHeight="1" x14ac:dyDescent="0.25">
      <c r="A12" s="960"/>
      <c r="B12" s="961">
        <v>9</v>
      </c>
      <c r="C12" s="973" t="s">
        <v>164</v>
      </c>
      <c r="D12" s="963">
        <v>14</v>
      </c>
      <c r="E12" s="963">
        <v>14</v>
      </c>
      <c r="F12" s="963"/>
      <c r="G12" s="964"/>
      <c r="H12" s="976">
        <v>14</v>
      </c>
      <c r="I12" s="977"/>
      <c r="J12" s="977"/>
      <c r="K12" s="978"/>
      <c r="L12" s="977"/>
      <c r="M12" s="977"/>
      <c r="N12" s="977"/>
      <c r="O12" s="966">
        <f t="shared" si="0"/>
        <v>14</v>
      </c>
    </row>
    <row r="13" spans="1:997" ht="18" customHeight="1" x14ac:dyDescent="0.25">
      <c r="A13" s="960"/>
      <c r="B13" s="961">
        <v>10</v>
      </c>
      <c r="C13" s="979" t="s">
        <v>1217</v>
      </c>
      <c r="D13" s="963">
        <v>60.5</v>
      </c>
      <c r="E13" s="963">
        <v>60.5</v>
      </c>
      <c r="F13" s="963"/>
      <c r="G13" s="964"/>
      <c r="H13" s="977"/>
      <c r="I13" s="977"/>
      <c r="J13" s="977"/>
      <c r="K13" s="976">
        <v>60.5</v>
      </c>
      <c r="L13" s="977"/>
      <c r="M13" s="977"/>
      <c r="N13" s="977"/>
      <c r="O13" s="966">
        <f t="shared" si="0"/>
        <v>60.5</v>
      </c>
    </row>
    <row r="14" spans="1:997" ht="24" customHeight="1" x14ac:dyDescent="0.25">
      <c r="A14" s="960"/>
      <c r="B14" s="961">
        <v>11</v>
      </c>
      <c r="C14" s="973" t="s">
        <v>1218</v>
      </c>
      <c r="D14" s="963">
        <v>4</v>
      </c>
      <c r="E14" s="963">
        <v>4</v>
      </c>
      <c r="F14" s="963"/>
      <c r="G14" s="964"/>
      <c r="H14" s="976">
        <v>4</v>
      </c>
      <c r="I14" s="977"/>
      <c r="J14" s="977"/>
      <c r="K14" s="978"/>
      <c r="L14" s="978"/>
      <c r="M14" s="977"/>
      <c r="N14" s="980"/>
      <c r="O14" s="966">
        <f t="shared" si="0"/>
        <v>4</v>
      </c>
    </row>
    <row r="15" spans="1:997" ht="18" customHeight="1" x14ac:dyDescent="0.25">
      <c r="A15" s="960"/>
      <c r="B15" s="961">
        <v>12</v>
      </c>
      <c r="C15" s="970" t="s">
        <v>140</v>
      </c>
      <c r="D15" s="963">
        <v>54</v>
      </c>
      <c r="E15" s="963">
        <v>54</v>
      </c>
      <c r="F15" s="963"/>
      <c r="G15" s="964"/>
      <c r="H15" s="977"/>
      <c r="I15" s="977"/>
      <c r="J15" s="977"/>
      <c r="K15" s="981">
        <v>54</v>
      </c>
      <c r="L15" s="978"/>
      <c r="M15" s="977"/>
      <c r="N15" s="980"/>
      <c r="O15" s="966">
        <f t="shared" si="0"/>
        <v>54</v>
      </c>
    </row>
    <row r="16" spans="1:997" ht="18" customHeight="1" x14ac:dyDescent="0.25">
      <c r="A16" s="960"/>
      <c r="B16" s="961">
        <v>13</v>
      </c>
      <c r="C16" s="970" t="s">
        <v>773</v>
      </c>
      <c r="D16" s="963">
        <v>75</v>
      </c>
      <c r="E16" s="963">
        <v>79</v>
      </c>
      <c r="F16" s="963"/>
      <c r="G16" s="964"/>
      <c r="H16" s="977"/>
      <c r="I16" s="977"/>
      <c r="J16" s="977"/>
      <c r="K16" s="981">
        <v>75</v>
      </c>
      <c r="L16" s="981">
        <v>4</v>
      </c>
      <c r="M16" s="982"/>
      <c r="N16" s="980"/>
      <c r="O16" s="966">
        <f t="shared" si="0"/>
        <v>79</v>
      </c>
    </row>
    <row r="17" spans="1:15" ht="18" customHeight="1" x14ac:dyDescent="0.25">
      <c r="A17" s="960"/>
      <c r="B17" s="961">
        <v>14</v>
      </c>
      <c r="C17" s="970" t="s">
        <v>1219</v>
      </c>
      <c r="D17" s="963">
        <v>127</v>
      </c>
      <c r="E17" s="963">
        <v>136.5</v>
      </c>
      <c r="F17" s="963"/>
      <c r="G17" s="964"/>
      <c r="H17" s="977"/>
      <c r="I17" s="977"/>
      <c r="J17" s="977"/>
      <c r="K17" s="981">
        <v>127</v>
      </c>
      <c r="L17" s="981">
        <v>9.5</v>
      </c>
      <c r="M17" s="982"/>
      <c r="N17" s="980"/>
      <c r="O17" s="966">
        <f t="shared" si="0"/>
        <v>136.5</v>
      </c>
    </row>
    <row r="18" spans="1:15" ht="18" customHeight="1" x14ac:dyDescent="0.25">
      <c r="A18" s="960"/>
      <c r="B18" s="961">
        <v>15</v>
      </c>
      <c r="C18" s="970" t="s">
        <v>148</v>
      </c>
      <c r="D18" s="963">
        <v>20</v>
      </c>
      <c r="E18" s="963">
        <v>27</v>
      </c>
      <c r="F18" s="963"/>
      <c r="G18" s="964"/>
      <c r="H18" s="977"/>
      <c r="I18" s="977"/>
      <c r="J18" s="977"/>
      <c r="K18" s="981">
        <v>20</v>
      </c>
      <c r="L18" s="981">
        <v>7</v>
      </c>
      <c r="M18" s="982"/>
      <c r="N18" s="980"/>
      <c r="O18" s="966">
        <f t="shared" si="0"/>
        <v>27</v>
      </c>
    </row>
    <row r="19" spans="1:15" ht="18" customHeight="1" x14ac:dyDescent="0.25">
      <c r="A19" s="960"/>
      <c r="B19" s="961">
        <v>16</v>
      </c>
      <c r="C19" s="973" t="s">
        <v>1220</v>
      </c>
      <c r="D19" s="963">
        <v>23</v>
      </c>
      <c r="E19" s="963">
        <v>23</v>
      </c>
      <c r="F19" s="963"/>
      <c r="G19" s="964"/>
      <c r="H19" s="976">
        <v>23</v>
      </c>
      <c r="I19" s="977"/>
      <c r="J19" s="977"/>
      <c r="K19" s="978"/>
      <c r="L19" s="978"/>
      <c r="M19" s="982"/>
      <c r="N19" s="980"/>
      <c r="O19" s="966">
        <f t="shared" si="0"/>
        <v>23</v>
      </c>
    </row>
    <row r="20" spans="1:15" ht="18" customHeight="1" x14ac:dyDescent="0.25">
      <c r="A20" s="960"/>
      <c r="B20" s="961">
        <v>17</v>
      </c>
      <c r="C20" s="970" t="s">
        <v>168</v>
      </c>
      <c r="D20" s="963">
        <v>11</v>
      </c>
      <c r="E20" s="963">
        <v>9</v>
      </c>
      <c r="F20" s="963"/>
      <c r="G20" s="964"/>
      <c r="H20" s="976">
        <v>9</v>
      </c>
      <c r="I20" s="977"/>
      <c r="J20" s="977"/>
      <c r="K20" s="978"/>
      <c r="L20" s="978"/>
      <c r="M20" s="982"/>
      <c r="N20" s="980"/>
      <c r="O20" s="966">
        <f t="shared" si="0"/>
        <v>9</v>
      </c>
    </row>
    <row r="21" spans="1:15" ht="28.15" customHeight="1" x14ac:dyDescent="0.25">
      <c r="A21" s="960"/>
      <c r="B21" s="961">
        <v>18</v>
      </c>
      <c r="C21" s="973" t="s">
        <v>1249</v>
      </c>
      <c r="D21" s="963">
        <v>6</v>
      </c>
      <c r="E21" s="963">
        <v>6</v>
      </c>
      <c r="F21" s="963"/>
      <c r="G21" s="964"/>
      <c r="H21" s="983">
        <v>6</v>
      </c>
      <c r="I21" s="977"/>
      <c r="J21" s="977"/>
      <c r="K21" s="978"/>
      <c r="L21" s="978"/>
      <c r="M21" s="982"/>
      <c r="N21" s="980"/>
      <c r="O21" s="966">
        <f t="shared" si="0"/>
        <v>6</v>
      </c>
    </row>
    <row r="22" spans="1:15" ht="18" customHeight="1" x14ac:dyDescent="0.25">
      <c r="A22" s="984"/>
      <c r="B22" s="985"/>
      <c r="C22" s="986" t="s">
        <v>1221</v>
      </c>
      <c r="D22" s="987">
        <f t="shared" ref="D22:O22" si="1">SUM(D4:D21)</f>
        <v>1066.5</v>
      </c>
      <c r="E22" s="987">
        <f t="shared" si="1"/>
        <v>1106.2</v>
      </c>
      <c r="F22" s="987">
        <f t="shared" si="1"/>
        <v>1</v>
      </c>
      <c r="G22" s="987">
        <f t="shared" si="1"/>
        <v>184</v>
      </c>
      <c r="H22" s="987">
        <f t="shared" si="1"/>
        <v>282</v>
      </c>
      <c r="I22" s="987">
        <f t="shared" si="1"/>
        <v>239</v>
      </c>
      <c r="J22" s="987">
        <f t="shared" si="1"/>
        <v>15.5</v>
      </c>
      <c r="K22" s="987">
        <f t="shared" si="1"/>
        <v>356.9</v>
      </c>
      <c r="L22" s="987">
        <f t="shared" si="1"/>
        <v>29.8</v>
      </c>
      <c r="M22" s="987">
        <f t="shared" si="1"/>
        <v>0</v>
      </c>
      <c r="N22" s="987">
        <f t="shared" si="1"/>
        <v>0</v>
      </c>
      <c r="O22" s="988">
        <f t="shared" si="1"/>
        <v>1107.2</v>
      </c>
    </row>
    <row r="23" spans="1:15" ht="18" customHeight="1" thickBot="1" x14ac:dyDescent="0.3">
      <c r="A23" s="989"/>
      <c r="B23" s="990"/>
      <c r="C23" s="991" t="s">
        <v>1222</v>
      </c>
      <c r="D23" s="992">
        <f t="shared" ref="D23:O23" si="2">D22+D3</f>
        <v>1072.5</v>
      </c>
      <c r="E23" s="992">
        <f t="shared" si="2"/>
        <v>1117.2</v>
      </c>
      <c r="F23" s="992">
        <f t="shared" si="2"/>
        <v>1</v>
      </c>
      <c r="G23" s="992">
        <f t="shared" si="2"/>
        <v>188</v>
      </c>
      <c r="H23" s="992">
        <f t="shared" si="2"/>
        <v>284</v>
      </c>
      <c r="I23" s="992">
        <f t="shared" si="2"/>
        <v>239</v>
      </c>
      <c r="J23" s="992">
        <f t="shared" si="2"/>
        <v>15.5</v>
      </c>
      <c r="K23" s="992">
        <f t="shared" si="2"/>
        <v>356.9</v>
      </c>
      <c r="L23" s="992">
        <f t="shared" si="2"/>
        <v>34.799999999999997</v>
      </c>
      <c r="M23" s="992">
        <f t="shared" si="2"/>
        <v>0</v>
      </c>
      <c r="N23" s="992">
        <f t="shared" si="2"/>
        <v>0</v>
      </c>
      <c r="O23" s="993">
        <f t="shared" si="2"/>
        <v>1118.2</v>
      </c>
    </row>
  </sheetData>
  <mergeCells count="7">
    <mergeCell ref="O1:O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  <headerFooter>
    <oddHeader>&amp;C&amp;"-,Félkövér dőlt"&amp;12ZMJV Önkormányzata és az általa irányított költségvetési szervek 2025. évben tervezett létszámadatai jogviszonyonként&amp;R&amp;"-,Félkövér dőlt"11. melléklet
Adatok: főben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9"/>
  <sheetViews>
    <sheetView zoomScale="96" zoomScaleNormal="96" workbookViewId="0">
      <pane ySplit="2" topLeftCell="A138" activePane="bottomLeft" state="frozen"/>
      <selection activeCell="G28" sqref="G28"/>
      <selection pane="bottomLeft" activeCell="M196" sqref="M196"/>
    </sheetView>
  </sheetViews>
  <sheetFormatPr defaultRowHeight="12.75" x14ac:dyDescent="0.2"/>
  <cols>
    <col min="1" max="1" width="5.33203125" style="70" customWidth="1"/>
    <col min="2" max="2" width="5.5" style="70" customWidth="1"/>
    <col min="3" max="3" width="40.83203125" style="70" customWidth="1"/>
    <col min="4" max="4" width="10.83203125" style="183" customWidth="1"/>
    <col min="5" max="5" width="13" style="70" customWidth="1"/>
    <col min="6" max="6" width="13.1640625" style="70" customWidth="1"/>
    <col min="7" max="7" width="12.33203125" style="70" customWidth="1"/>
    <col min="8" max="8" width="11.33203125" style="70" customWidth="1"/>
    <col min="9" max="9" width="11.83203125" style="70" customWidth="1"/>
    <col min="10" max="10" width="10.83203125" style="70" customWidth="1"/>
    <col min="11" max="11" width="13.1640625" style="70" customWidth="1"/>
    <col min="12" max="12" width="11.5" style="70" customWidth="1"/>
    <col min="13" max="14" width="12.33203125" style="70" customWidth="1"/>
    <col min="15" max="15" width="13.1640625" style="70" customWidth="1"/>
    <col min="16" max="16" width="12.33203125" style="70" customWidth="1"/>
    <col min="17" max="255" width="8.83203125" style="70"/>
    <col min="256" max="256" width="5.33203125" style="70" customWidth="1"/>
    <col min="257" max="257" width="5.5" style="70" customWidth="1"/>
    <col min="258" max="258" width="40.83203125" style="70" customWidth="1"/>
    <col min="259" max="259" width="9.83203125" style="70" customWidth="1"/>
    <col min="260" max="260" width="13" style="70" customWidth="1"/>
    <col min="261" max="261" width="13.1640625" style="70" customWidth="1"/>
    <col min="262" max="262" width="12.33203125" style="70" customWidth="1"/>
    <col min="263" max="263" width="11.33203125" style="70" customWidth="1"/>
    <col min="264" max="264" width="11.83203125" style="70" customWidth="1"/>
    <col min="265" max="265" width="10.83203125" style="70" customWidth="1"/>
    <col min="266" max="266" width="13.1640625" style="70" customWidth="1"/>
    <col min="267" max="267" width="11.5" style="70" customWidth="1"/>
    <col min="268" max="269" width="12.33203125" style="70" customWidth="1"/>
    <col min="270" max="270" width="13.1640625" style="70" customWidth="1"/>
    <col min="271" max="271" width="18.5" style="70" customWidth="1"/>
    <col min="272" max="272" width="7.33203125" style="70" customWidth="1"/>
    <col min="273" max="511" width="8.83203125" style="70"/>
    <col min="512" max="512" width="5.33203125" style="70" customWidth="1"/>
    <col min="513" max="513" width="5.5" style="70" customWidth="1"/>
    <col min="514" max="514" width="40.83203125" style="70" customWidth="1"/>
    <col min="515" max="515" width="9.83203125" style="70" customWidth="1"/>
    <col min="516" max="516" width="13" style="70" customWidth="1"/>
    <col min="517" max="517" width="13.1640625" style="70" customWidth="1"/>
    <col min="518" max="518" width="12.33203125" style="70" customWidth="1"/>
    <col min="519" max="519" width="11.33203125" style="70" customWidth="1"/>
    <col min="520" max="520" width="11.83203125" style="70" customWidth="1"/>
    <col min="521" max="521" width="10.83203125" style="70" customWidth="1"/>
    <col min="522" max="522" width="13.1640625" style="70" customWidth="1"/>
    <col min="523" max="523" width="11.5" style="70" customWidth="1"/>
    <col min="524" max="525" width="12.33203125" style="70" customWidth="1"/>
    <col min="526" max="526" width="13.1640625" style="70" customWidth="1"/>
    <col min="527" max="527" width="18.5" style="70" customWidth="1"/>
    <col min="528" max="528" width="7.33203125" style="70" customWidth="1"/>
    <col min="529" max="767" width="8.83203125" style="70"/>
    <col min="768" max="768" width="5.33203125" style="70" customWidth="1"/>
    <col min="769" max="769" width="5.5" style="70" customWidth="1"/>
    <col min="770" max="770" width="40.83203125" style="70" customWidth="1"/>
    <col min="771" max="771" width="9.83203125" style="70" customWidth="1"/>
    <col min="772" max="772" width="13" style="70" customWidth="1"/>
    <col min="773" max="773" width="13.1640625" style="70" customWidth="1"/>
    <col min="774" max="774" width="12.33203125" style="70" customWidth="1"/>
    <col min="775" max="775" width="11.33203125" style="70" customWidth="1"/>
    <col min="776" max="776" width="11.83203125" style="70" customWidth="1"/>
    <col min="777" max="777" width="10.83203125" style="70" customWidth="1"/>
    <col min="778" max="778" width="13.1640625" style="70" customWidth="1"/>
    <col min="779" max="779" width="11.5" style="70" customWidth="1"/>
    <col min="780" max="781" width="12.33203125" style="70" customWidth="1"/>
    <col min="782" max="782" width="13.1640625" style="70" customWidth="1"/>
    <col min="783" max="783" width="18.5" style="70" customWidth="1"/>
    <col min="784" max="784" width="7.33203125" style="70" customWidth="1"/>
    <col min="785" max="1023" width="8.83203125" style="70"/>
    <col min="1024" max="1024" width="5.33203125" style="70" customWidth="1"/>
    <col min="1025" max="1025" width="5.5" style="70" customWidth="1"/>
    <col min="1026" max="1026" width="40.83203125" style="70" customWidth="1"/>
    <col min="1027" max="1027" width="9.83203125" style="70" customWidth="1"/>
    <col min="1028" max="1028" width="13" style="70" customWidth="1"/>
    <col min="1029" max="1029" width="13.1640625" style="70" customWidth="1"/>
    <col min="1030" max="1030" width="12.33203125" style="70" customWidth="1"/>
    <col min="1031" max="1031" width="11.33203125" style="70" customWidth="1"/>
    <col min="1032" max="1032" width="11.83203125" style="70" customWidth="1"/>
    <col min="1033" max="1033" width="10.83203125" style="70" customWidth="1"/>
    <col min="1034" max="1034" width="13.1640625" style="70" customWidth="1"/>
    <col min="1035" max="1035" width="11.5" style="70" customWidth="1"/>
    <col min="1036" max="1037" width="12.33203125" style="70" customWidth="1"/>
    <col min="1038" max="1038" width="13.1640625" style="70" customWidth="1"/>
    <col min="1039" max="1039" width="18.5" style="70" customWidth="1"/>
    <col min="1040" max="1040" width="7.33203125" style="70" customWidth="1"/>
    <col min="1041" max="1279" width="8.83203125" style="70"/>
    <col min="1280" max="1280" width="5.33203125" style="70" customWidth="1"/>
    <col min="1281" max="1281" width="5.5" style="70" customWidth="1"/>
    <col min="1282" max="1282" width="40.83203125" style="70" customWidth="1"/>
    <col min="1283" max="1283" width="9.83203125" style="70" customWidth="1"/>
    <col min="1284" max="1284" width="13" style="70" customWidth="1"/>
    <col min="1285" max="1285" width="13.1640625" style="70" customWidth="1"/>
    <col min="1286" max="1286" width="12.33203125" style="70" customWidth="1"/>
    <col min="1287" max="1287" width="11.33203125" style="70" customWidth="1"/>
    <col min="1288" max="1288" width="11.83203125" style="70" customWidth="1"/>
    <col min="1289" max="1289" width="10.83203125" style="70" customWidth="1"/>
    <col min="1290" max="1290" width="13.1640625" style="70" customWidth="1"/>
    <col min="1291" max="1291" width="11.5" style="70" customWidth="1"/>
    <col min="1292" max="1293" width="12.33203125" style="70" customWidth="1"/>
    <col min="1294" max="1294" width="13.1640625" style="70" customWidth="1"/>
    <col min="1295" max="1295" width="18.5" style="70" customWidth="1"/>
    <col min="1296" max="1296" width="7.33203125" style="70" customWidth="1"/>
    <col min="1297" max="1535" width="8.83203125" style="70"/>
    <col min="1536" max="1536" width="5.33203125" style="70" customWidth="1"/>
    <col min="1537" max="1537" width="5.5" style="70" customWidth="1"/>
    <col min="1538" max="1538" width="40.83203125" style="70" customWidth="1"/>
    <col min="1539" max="1539" width="9.83203125" style="70" customWidth="1"/>
    <col min="1540" max="1540" width="13" style="70" customWidth="1"/>
    <col min="1541" max="1541" width="13.1640625" style="70" customWidth="1"/>
    <col min="1542" max="1542" width="12.33203125" style="70" customWidth="1"/>
    <col min="1543" max="1543" width="11.33203125" style="70" customWidth="1"/>
    <col min="1544" max="1544" width="11.83203125" style="70" customWidth="1"/>
    <col min="1545" max="1545" width="10.83203125" style="70" customWidth="1"/>
    <col min="1546" max="1546" width="13.1640625" style="70" customWidth="1"/>
    <col min="1547" max="1547" width="11.5" style="70" customWidth="1"/>
    <col min="1548" max="1549" width="12.33203125" style="70" customWidth="1"/>
    <col min="1550" max="1550" width="13.1640625" style="70" customWidth="1"/>
    <col min="1551" max="1551" width="18.5" style="70" customWidth="1"/>
    <col min="1552" max="1552" width="7.33203125" style="70" customWidth="1"/>
    <col min="1553" max="1791" width="8.83203125" style="70"/>
    <col min="1792" max="1792" width="5.33203125" style="70" customWidth="1"/>
    <col min="1793" max="1793" width="5.5" style="70" customWidth="1"/>
    <col min="1794" max="1794" width="40.83203125" style="70" customWidth="1"/>
    <col min="1795" max="1795" width="9.83203125" style="70" customWidth="1"/>
    <col min="1796" max="1796" width="13" style="70" customWidth="1"/>
    <col min="1797" max="1797" width="13.1640625" style="70" customWidth="1"/>
    <col min="1798" max="1798" width="12.33203125" style="70" customWidth="1"/>
    <col min="1799" max="1799" width="11.33203125" style="70" customWidth="1"/>
    <col min="1800" max="1800" width="11.83203125" style="70" customWidth="1"/>
    <col min="1801" max="1801" width="10.83203125" style="70" customWidth="1"/>
    <col min="1802" max="1802" width="13.1640625" style="70" customWidth="1"/>
    <col min="1803" max="1803" width="11.5" style="70" customWidth="1"/>
    <col min="1804" max="1805" width="12.33203125" style="70" customWidth="1"/>
    <col min="1806" max="1806" width="13.1640625" style="70" customWidth="1"/>
    <col min="1807" max="1807" width="18.5" style="70" customWidth="1"/>
    <col min="1808" max="1808" width="7.33203125" style="70" customWidth="1"/>
    <col min="1809" max="2047" width="8.83203125" style="70"/>
    <col min="2048" max="2048" width="5.33203125" style="70" customWidth="1"/>
    <col min="2049" max="2049" width="5.5" style="70" customWidth="1"/>
    <col min="2050" max="2050" width="40.83203125" style="70" customWidth="1"/>
    <col min="2051" max="2051" width="9.83203125" style="70" customWidth="1"/>
    <col min="2052" max="2052" width="13" style="70" customWidth="1"/>
    <col min="2053" max="2053" width="13.1640625" style="70" customWidth="1"/>
    <col min="2054" max="2054" width="12.33203125" style="70" customWidth="1"/>
    <col min="2055" max="2055" width="11.33203125" style="70" customWidth="1"/>
    <col min="2056" max="2056" width="11.83203125" style="70" customWidth="1"/>
    <col min="2057" max="2057" width="10.83203125" style="70" customWidth="1"/>
    <col min="2058" max="2058" width="13.1640625" style="70" customWidth="1"/>
    <col min="2059" max="2059" width="11.5" style="70" customWidth="1"/>
    <col min="2060" max="2061" width="12.33203125" style="70" customWidth="1"/>
    <col min="2062" max="2062" width="13.1640625" style="70" customWidth="1"/>
    <col min="2063" max="2063" width="18.5" style="70" customWidth="1"/>
    <col min="2064" max="2064" width="7.33203125" style="70" customWidth="1"/>
    <col min="2065" max="2303" width="8.83203125" style="70"/>
    <col min="2304" max="2304" width="5.33203125" style="70" customWidth="1"/>
    <col min="2305" max="2305" width="5.5" style="70" customWidth="1"/>
    <col min="2306" max="2306" width="40.83203125" style="70" customWidth="1"/>
    <col min="2307" max="2307" width="9.83203125" style="70" customWidth="1"/>
    <col min="2308" max="2308" width="13" style="70" customWidth="1"/>
    <col min="2309" max="2309" width="13.1640625" style="70" customWidth="1"/>
    <col min="2310" max="2310" width="12.33203125" style="70" customWidth="1"/>
    <col min="2311" max="2311" width="11.33203125" style="70" customWidth="1"/>
    <col min="2312" max="2312" width="11.83203125" style="70" customWidth="1"/>
    <col min="2313" max="2313" width="10.83203125" style="70" customWidth="1"/>
    <col min="2314" max="2314" width="13.1640625" style="70" customWidth="1"/>
    <col min="2315" max="2315" width="11.5" style="70" customWidth="1"/>
    <col min="2316" max="2317" width="12.33203125" style="70" customWidth="1"/>
    <col min="2318" max="2318" width="13.1640625" style="70" customWidth="1"/>
    <col min="2319" max="2319" width="18.5" style="70" customWidth="1"/>
    <col min="2320" max="2320" width="7.33203125" style="70" customWidth="1"/>
    <col min="2321" max="2559" width="8.83203125" style="70"/>
    <col min="2560" max="2560" width="5.33203125" style="70" customWidth="1"/>
    <col min="2561" max="2561" width="5.5" style="70" customWidth="1"/>
    <col min="2562" max="2562" width="40.83203125" style="70" customWidth="1"/>
    <col min="2563" max="2563" width="9.83203125" style="70" customWidth="1"/>
    <col min="2564" max="2564" width="13" style="70" customWidth="1"/>
    <col min="2565" max="2565" width="13.1640625" style="70" customWidth="1"/>
    <col min="2566" max="2566" width="12.33203125" style="70" customWidth="1"/>
    <col min="2567" max="2567" width="11.33203125" style="70" customWidth="1"/>
    <col min="2568" max="2568" width="11.83203125" style="70" customWidth="1"/>
    <col min="2569" max="2569" width="10.83203125" style="70" customWidth="1"/>
    <col min="2570" max="2570" width="13.1640625" style="70" customWidth="1"/>
    <col min="2571" max="2571" width="11.5" style="70" customWidth="1"/>
    <col min="2572" max="2573" width="12.33203125" style="70" customWidth="1"/>
    <col min="2574" max="2574" width="13.1640625" style="70" customWidth="1"/>
    <col min="2575" max="2575" width="18.5" style="70" customWidth="1"/>
    <col min="2576" max="2576" width="7.33203125" style="70" customWidth="1"/>
    <col min="2577" max="2815" width="8.83203125" style="70"/>
    <col min="2816" max="2816" width="5.33203125" style="70" customWidth="1"/>
    <col min="2817" max="2817" width="5.5" style="70" customWidth="1"/>
    <col min="2818" max="2818" width="40.83203125" style="70" customWidth="1"/>
    <col min="2819" max="2819" width="9.83203125" style="70" customWidth="1"/>
    <col min="2820" max="2820" width="13" style="70" customWidth="1"/>
    <col min="2821" max="2821" width="13.1640625" style="70" customWidth="1"/>
    <col min="2822" max="2822" width="12.33203125" style="70" customWidth="1"/>
    <col min="2823" max="2823" width="11.33203125" style="70" customWidth="1"/>
    <col min="2824" max="2824" width="11.83203125" style="70" customWidth="1"/>
    <col min="2825" max="2825" width="10.83203125" style="70" customWidth="1"/>
    <col min="2826" max="2826" width="13.1640625" style="70" customWidth="1"/>
    <col min="2827" max="2827" width="11.5" style="70" customWidth="1"/>
    <col min="2828" max="2829" width="12.33203125" style="70" customWidth="1"/>
    <col min="2830" max="2830" width="13.1640625" style="70" customWidth="1"/>
    <col min="2831" max="2831" width="18.5" style="70" customWidth="1"/>
    <col min="2832" max="2832" width="7.33203125" style="70" customWidth="1"/>
    <col min="2833" max="3071" width="8.83203125" style="70"/>
    <col min="3072" max="3072" width="5.33203125" style="70" customWidth="1"/>
    <col min="3073" max="3073" width="5.5" style="70" customWidth="1"/>
    <col min="3074" max="3074" width="40.83203125" style="70" customWidth="1"/>
    <col min="3075" max="3075" width="9.83203125" style="70" customWidth="1"/>
    <col min="3076" max="3076" width="13" style="70" customWidth="1"/>
    <col min="3077" max="3077" width="13.1640625" style="70" customWidth="1"/>
    <col min="3078" max="3078" width="12.33203125" style="70" customWidth="1"/>
    <col min="3079" max="3079" width="11.33203125" style="70" customWidth="1"/>
    <col min="3080" max="3080" width="11.83203125" style="70" customWidth="1"/>
    <col min="3081" max="3081" width="10.83203125" style="70" customWidth="1"/>
    <col min="3082" max="3082" width="13.1640625" style="70" customWidth="1"/>
    <col min="3083" max="3083" width="11.5" style="70" customWidth="1"/>
    <col min="3084" max="3085" width="12.33203125" style="70" customWidth="1"/>
    <col min="3086" max="3086" width="13.1640625" style="70" customWidth="1"/>
    <col min="3087" max="3087" width="18.5" style="70" customWidth="1"/>
    <col min="3088" max="3088" width="7.33203125" style="70" customWidth="1"/>
    <col min="3089" max="3327" width="8.83203125" style="70"/>
    <col min="3328" max="3328" width="5.33203125" style="70" customWidth="1"/>
    <col min="3329" max="3329" width="5.5" style="70" customWidth="1"/>
    <col min="3330" max="3330" width="40.83203125" style="70" customWidth="1"/>
    <col min="3331" max="3331" width="9.83203125" style="70" customWidth="1"/>
    <col min="3332" max="3332" width="13" style="70" customWidth="1"/>
    <col min="3333" max="3333" width="13.1640625" style="70" customWidth="1"/>
    <col min="3334" max="3334" width="12.33203125" style="70" customWidth="1"/>
    <col min="3335" max="3335" width="11.33203125" style="70" customWidth="1"/>
    <col min="3336" max="3336" width="11.83203125" style="70" customWidth="1"/>
    <col min="3337" max="3337" width="10.83203125" style="70" customWidth="1"/>
    <col min="3338" max="3338" width="13.1640625" style="70" customWidth="1"/>
    <col min="3339" max="3339" width="11.5" style="70" customWidth="1"/>
    <col min="3340" max="3341" width="12.33203125" style="70" customWidth="1"/>
    <col min="3342" max="3342" width="13.1640625" style="70" customWidth="1"/>
    <col min="3343" max="3343" width="18.5" style="70" customWidth="1"/>
    <col min="3344" max="3344" width="7.33203125" style="70" customWidth="1"/>
    <col min="3345" max="3583" width="8.83203125" style="70"/>
    <col min="3584" max="3584" width="5.33203125" style="70" customWidth="1"/>
    <col min="3585" max="3585" width="5.5" style="70" customWidth="1"/>
    <col min="3586" max="3586" width="40.83203125" style="70" customWidth="1"/>
    <col min="3587" max="3587" width="9.83203125" style="70" customWidth="1"/>
    <col min="3588" max="3588" width="13" style="70" customWidth="1"/>
    <col min="3589" max="3589" width="13.1640625" style="70" customWidth="1"/>
    <col min="3590" max="3590" width="12.33203125" style="70" customWidth="1"/>
    <col min="3591" max="3591" width="11.33203125" style="70" customWidth="1"/>
    <col min="3592" max="3592" width="11.83203125" style="70" customWidth="1"/>
    <col min="3593" max="3593" width="10.83203125" style="70" customWidth="1"/>
    <col min="3594" max="3594" width="13.1640625" style="70" customWidth="1"/>
    <col min="3595" max="3595" width="11.5" style="70" customWidth="1"/>
    <col min="3596" max="3597" width="12.33203125" style="70" customWidth="1"/>
    <col min="3598" max="3598" width="13.1640625" style="70" customWidth="1"/>
    <col min="3599" max="3599" width="18.5" style="70" customWidth="1"/>
    <col min="3600" max="3600" width="7.33203125" style="70" customWidth="1"/>
    <col min="3601" max="3839" width="8.83203125" style="70"/>
    <col min="3840" max="3840" width="5.33203125" style="70" customWidth="1"/>
    <col min="3841" max="3841" width="5.5" style="70" customWidth="1"/>
    <col min="3842" max="3842" width="40.83203125" style="70" customWidth="1"/>
    <col min="3843" max="3843" width="9.83203125" style="70" customWidth="1"/>
    <col min="3844" max="3844" width="13" style="70" customWidth="1"/>
    <col min="3845" max="3845" width="13.1640625" style="70" customWidth="1"/>
    <col min="3846" max="3846" width="12.33203125" style="70" customWidth="1"/>
    <col min="3847" max="3847" width="11.33203125" style="70" customWidth="1"/>
    <col min="3848" max="3848" width="11.83203125" style="70" customWidth="1"/>
    <col min="3849" max="3849" width="10.83203125" style="70" customWidth="1"/>
    <col min="3850" max="3850" width="13.1640625" style="70" customWidth="1"/>
    <col min="3851" max="3851" width="11.5" style="70" customWidth="1"/>
    <col min="3852" max="3853" width="12.33203125" style="70" customWidth="1"/>
    <col min="3854" max="3854" width="13.1640625" style="70" customWidth="1"/>
    <col min="3855" max="3855" width="18.5" style="70" customWidth="1"/>
    <col min="3856" max="3856" width="7.33203125" style="70" customWidth="1"/>
    <col min="3857" max="4095" width="8.83203125" style="70"/>
    <col min="4096" max="4096" width="5.33203125" style="70" customWidth="1"/>
    <col min="4097" max="4097" width="5.5" style="70" customWidth="1"/>
    <col min="4098" max="4098" width="40.83203125" style="70" customWidth="1"/>
    <col min="4099" max="4099" width="9.83203125" style="70" customWidth="1"/>
    <col min="4100" max="4100" width="13" style="70" customWidth="1"/>
    <col min="4101" max="4101" width="13.1640625" style="70" customWidth="1"/>
    <col min="4102" max="4102" width="12.33203125" style="70" customWidth="1"/>
    <col min="4103" max="4103" width="11.33203125" style="70" customWidth="1"/>
    <col min="4104" max="4104" width="11.83203125" style="70" customWidth="1"/>
    <col min="4105" max="4105" width="10.83203125" style="70" customWidth="1"/>
    <col min="4106" max="4106" width="13.1640625" style="70" customWidth="1"/>
    <col min="4107" max="4107" width="11.5" style="70" customWidth="1"/>
    <col min="4108" max="4109" width="12.33203125" style="70" customWidth="1"/>
    <col min="4110" max="4110" width="13.1640625" style="70" customWidth="1"/>
    <col min="4111" max="4111" width="18.5" style="70" customWidth="1"/>
    <col min="4112" max="4112" width="7.33203125" style="70" customWidth="1"/>
    <col min="4113" max="4351" width="8.83203125" style="70"/>
    <col min="4352" max="4352" width="5.33203125" style="70" customWidth="1"/>
    <col min="4353" max="4353" width="5.5" style="70" customWidth="1"/>
    <col min="4354" max="4354" width="40.83203125" style="70" customWidth="1"/>
    <col min="4355" max="4355" width="9.83203125" style="70" customWidth="1"/>
    <col min="4356" max="4356" width="13" style="70" customWidth="1"/>
    <col min="4357" max="4357" width="13.1640625" style="70" customWidth="1"/>
    <col min="4358" max="4358" width="12.33203125" style="70" customWidth="1"/>
    <col min="4359" max="4359" width="11.33203125" style="70" customWidth="1"/>
    <col min="4360" max="4360" width="11.83203125" style="70" customWidth="1"/>
    <col min="4361" max="4361" width="10.83203125" style="70" customWidth="1"/>
    <col min="4362" max="4362" width="13.1640625" style="70" customWidth="1"/>
    <col min="4363" max="4363" width="11.5" style="70" customWidth="1"/>
    <col min="4364" max="4365" width="12.33203125" style="70" customWidth="1"/>
    <col min="4366" max="4366" width="13.1640625" style="70" customWidth="1"/>
    <col min="4367" max="4367" width="18.5" style="70" customWidth="1"/>
    <col min="4368" max="4368" width="7.33203125" style="70" customWidth="1"/>
    <col min="4369" max="4607" width="8.83203125" style="70"/>
    <col min="4608" max="4608" width="5.33203125" style="70" customWidth="1"/>
    <col min="4609" max="4609" width="5.5" style="70" customWidth="1"/>
    <col min="4610" max="4610" width="40.83203125" style="70" customWidth="1"/>
    <col min="4611" max="4611" width="9.83203125" style="70" customWidth="1"/>
    <col min="4612" max="4612" width="13" style="70" customWidth="1"/>
    <col min="4613" max="4613" width="13.1640625" style="70" customWidth="1"/>
    <col min="4614" max="4614" width="12.33203125" style="70" customWidth="1"/>
    <col min="4615" max="4615" width="11.33203125" style="70" customWidth="1"/>
    <col min="4616" max="4616" width="11.83203125" style="70" customWidth="1"/>
    <col min="4617" max="4617" width="10.83203125" style="70" customWidth="1"/>
    <col min="4618" max="4618" width="13.1640625" style="70" customWidth="1"/>
    <col min="4619" max="4619" width="11.5" style="70" customWidth="1"/>
    <col min="4620" max="4621" width="12.33203125" style="70" customWidth="1"/>
    <col min="4622" max="4622" width="13.1640625" style="70" customWidth="1"/>
    <col min="4623" max="4623" width="18.5" style="70" customWidth="1"/>
    <col min="4624" max="4624" width="7.33203125" style="70" customWidth="1"/>
    <col min="4625" max="4863" width="8.83203125" style="70"/>
    <col min="4864" max="4864" width="5.33203125" style="70" customWidth="1"/>
    <col min="4865" max="4865" width="5.5" style="70" customWidth="1"/>
    <col min="4866" max="4866" width="40.83203125" style="70" customWidth="1"/>
    <col min="4867" max="4867" width="9.83203125" style="70" customWidth="1"/>
    <col min="4868" max="4868" width="13" style="70" customWidth="1"/>
    <col min="4869" max="4869" width="13.1640625" style="70" customWidth="1"/>
    <col min="4870" max="4870" width="12.33203125" style="70" customWidth="1"/>
    <col min="4871" max="4871" width="11.33203125" style="70" customWidth="1"/>
    <col min="4872" max="4872" width="11.83203125" style="70" customWidth="1"/>
    <col min="4873" max="4873" width="10.83203125" style="70" customWidth="1"/>
    <col min="4874" max="4874" width="13.1640625" style="70" customWidth="1"/>
    <col min="4875" max="4875" width="11.5" style="70" customWidth="1"/>
    <col min="4876" max="4877" width="12.33203125" style="70" customWidth="1"/>
    <col min="4878" max="4878" width="13.1640625" style="70" customWidth="1"/>
    <col min="4879" max="4879" width="18.5" style="70" customWidth="1"/>
    <col min="4880" max="4880" width="7.33203125" style="70" customWidth="1"/>
    <col min="4881" max="5119" width="8.83203125" style="70"/>
    <col min="5120" max="5120" width="5.33203125" style="70" customWidth="1"/>
    <col min="5121" max="5121" width="5.5" style="70" customWidth="1"/>
    <col min="5122" max="5122" width="40.83203125" style="70" customWidth="1"/>
    <col min="5123" max="5123" width="9.83203125" style="70" customWidth="1"/>
    <col min="5124" max="5124" width="13" style="70" customWidth="1"/>
    <col min="5125" max="5125" width="13.1640625" style="70" customWidth="1"/>
    <col min="5126" max="5126" width="12.33203125" style="70" customWidth="1"/>
    <col min="5127" max="5127" width="11.33203125" style="70" customWidth="1"/>
    <col min="5128" max="5128" width="11.83203125" style="70" customWidth="1"/>
    <col min="5129" max="5129" width="10.83203125" style="70" customWidth="1"/>
    <col min="5130" max="5130" width="13.1640625" style="70" customWidth="1"/>
    <col min="5131" max="5131" width="11.5" style="70" customWidth="1"/>
    <col min="5132" max="5133" width="12.33203125" style="70" customWidth="1"/>
    <col min="5134" max="5134" width="13.1640625" style="70" customWidth="1"/>
    <col min="5135" max="5135" width="18.5" style="70" customWidth="1"/>
    <col min="5136" max="5136" width="7.33203125" style="70" customWidth="1"/>
    <col min="5137" max="5375" width="8.83203125" style="70"/>
    <col min="5376" max="5376" width="5.33203125" style="70" customWidth="1"/>
    <col min="5377" max="5377" width="5.5" style="70" customWidth="1"/>
    <col min="5378" max="5378" width="40.83203125" style="70" customWidth="1"/>
    <col min="5379" max="5379" width="9.83203125" style="70" customWidth="1"/>
    <col min="5380" max="5380" width="13" style="70" customWidth="1"/>
    <col min="5381" max="5381" width="13.1640625" style="70" customWidth="1"/>
    <col min="5382" max="5382" width="12.33203125" style="70" customWidth="1"/>
    <col min="5383" max="5383" width="11.33203125" style="70" customWidth="1"/>
    <col min="5384" max="5384" width="11.83203125" style="70" customWidth="1"/>
    <col min="5385" max="5385" width="10.83203125" style="70" customWidth="1"/>
    <col min="5386" max="5386" width="13.1640625" style="70" customWidth="1"/>
    <col min="5387" max="5387" width="11.5" style="70" customWidth="1"/>
    <col min="5388" max="5389" width="12.33203125" style="70" customWidth="1"/>
    <col min="5390" max="5390" width="13.1640625" style="70" customWidth="1"/>
    <col min="5391" max="5391" width="18.5" style="70" customWidth="1"/>
    <col min="5392" max="5392" width="7.33203125" style="70" customWidth="1"/>
    <col min="5393" max="5631" width="8.83203125" style="70"/>
    <col min="5632" max="5632" width="5.33203125" style="70" customWidth="1"/>
    <col min="5633" max="5633" width="5.5" style="70" customWidth="1"/>
    <col min="5634" max="5634" width="40.83203125" style="70" customWidth="1"/>
    <col min="5635" max="5635" width="9.83203125" style="70" customWidth="1"/>
    <col min="5636" max="5636" width="13" style="70" customWidth="1"/>
    <col min="5637" max="5637" width="13.1640625" style="70" customWidth="1"/>
    <col min="5638" max="5638" width="12.33203125" style="70" customWidth="1"/>
    <col min="5639" max="5639" width="11.33203125" style="70" customWidth="1"/>
    <col min="5640" max="5640" width="11.83203125" style="70" customWidth="1"/>
    <col min="5641" max="5641" width="10.83203125" style="70" customWidth="1"/>
    <col min="5642" max="5642" width="13.1640625" style="70" customWidth="1"/>
    <col min="5643" max="5643" width="11.5" style="70" customWidth="1"/>
    <col min="5644" max="5645" width="12.33203125" style="70" customWidth="1"/>
    <col min="5646" max="5646" width="13.1640625" style="70" customWidth="1"/>
    <col min="5647" max="5647" width="18.5" style="70" customWidth="1"/>
    <col min="5648" max="5648" width="7.33203125" style="70" customWidth="1"/>
    <col min="5649" max="5887" width="8.83203125" style="70"/>
    <col min="5888" max="5888" width="5.33203125" style="70" customWidth="1"/>
    <col min="5889" max="5889" width="5.5" style="70" customWidth="1"/>
    <col min="5890" max="5890" width="40.83203125" style="70" customWidth="1"/>
    <col min="5891" max="5891" width="9.83203125" style="70" customWidth="1"/>
    <col min="5892" max="5892" width="13" style="70" customWidth="1"/>
    <col min="5893" max="5893" width="13.1640625" style="70" customWidth="1"/>
    <col min="5894" max="5894" width="12.33203125" style="70" customWidth="1"/>
    <col min="5895" max="5895" width="11.33203125" style="70" customWidth="1"/>
    <col min="5896" max="5896" width="11.83203125" style="70" customWidth="1"/>
    <col min="5897" max="5897" width="10.83203125" style="70" customWidth="1"/>
    <col min="5898" max="5898" width="13.1640625" style="70" customWidth="1"/>
    <col min="5899" max="5899" width="11.5" style="70" customWidth="1"/>
    <col min="5900" max="5901" width="12.33203125" style="70" customWidth="1"/>
    <col min="5902" max="5902" width="13.1640625" style="70" customWidth="1"/>
    <col min="5903" max="5903" width="18.5" style="70" customWidth="1"/>
    <col min="5904" max="5904" width="7.33203125" style="70" customWidth="1"/>
    <col min="5905" max="6143" width="8.83203125" style="70"/>
    <col min="6144" max="6144" width="5.33203125" style="70" customWidth="1"/>
    <col min="6145" max="6145" width="5.5" style="70" customWidth="1"/>
    <col min="6146" max="6146" width="40.83203125" style="70" customWidth="1"/>
    <col min="6147" max="6147" width="9.83203125" style="70" customWidth="1"/>
    <col min="6148" max="6148" width="13" style="70" customWidth="1"/>
    <col min="6149" max="6149" width="13.1640625" style="70" customWidth="1"/>
    <col min="6150" max="6150" width="12.33203125" style="70" customWidth="1"/>
    <col min="6151" max="6151" width="11.33203125" style="70" customWidth="1"/>
    <col min="6152" max="6152" width="11.83203125" style="70" customWidth="1"/>
    <col min="6153" max="6153" width="10.83203125" style="70" customWidth="1"/>
    <col min="6154" max="6154" width="13.1640625" style="70" customWidth="1"/>
    <col min="6155" max="6155" width="11.5" style="70" customWidth="1"/>
    <col min="6156" max="6157" width="12.33203125" style="70" customWidth="1"/>
    <col min="6158" max="6158" width="13.1640625" style="70" customWidth="1"/>
    <col min="6159" max="6159" width="18.5" style="70" customWidth="1"/>
    <col min="6160" max="6160" width="7.33203125" style="70" customWidth="1"/>
    <col min="6161" max="6399" width="8.83203125" style="70"/>
    <col min="6400" max="6400" width="5.33203125" style="70" customWidth="1"/>
    <col min="6401" max="6401" width="5.5" style="70" customWidth="1"/>
    <col min="6402" max="6402" width="40.83203125" style="70" customWidth="1"/>
    <col min="6403" max="6403" width="9.83203125" style="70" customWidth="1"/>
    <col min="6404" max="6404" width="13" style="70" customWidth="1"/>
    <col min="6405" max="6405" width="13.1640625" style="70" customWidth="1"/>
    <col min="6406" max="6406" width="12.33203125" style="70" customWidth="1"/>
    <col min="6407" max="6407" width="11.33203125" style="70" customWidth="1"/>
    <col min="6408" max="6408" width="11.83203125" style="70" customWidth="1"/>
    <col min="6409" max="6409" width="10.83203125" style="70" customWidth="1"/>
    <col min="6410" max="6410" width="13.1640625" style="70" customWidth="1"/>
    <col min="6411" max="6411" width="11.5" style="70" customWidth="1"/>
    <col min="6412" max="6413" width="12.33203125" style="70" customWidth="1"/>
    <col min="6414" max="6414" width="13.1640625" style="70" customWidth="1"/>
    <col min="6415" max="6415" width="18.5" style="70" customWidth="1"/>
    <col min="6416" max="6416" width="7.33203125" style="70" customWidth="1"/>
    <col min="6417" max="6655" width="8.83203125" style="70"/>
    <col min="6656" max="6656" width="5.33203125" style="70" customWidth="1"/>
    <col min="6657" max="6657" width="5.5" style="70" customWidth="1"/>
    <col min="6658" max="6658" width="40.83203125" style="70" customWidth="1"/>
    <col min="6659" max="6659" width="9.83203125" style="70" customWidth="1"/>
    <col min="6660" max="6660" width="13" style="70" customWidth="1"/>
    <col min="6661" max="6661" width="13.1640625" style="70" customWidth="1"/>
    <col min="6662" max="6662" width="12.33203125" style="70" customWidth="1"/>
    <col min="6663" max="6663" width="11.33203125" style="70" customWidth="1"/>
    <col min="6664" max="6664" width="11.83203125" style="70" customWidth="1"/>
    <col min="6665" max="6665" width="10.83203125" style="70" customWidth="1"/>
    <col min="6666" max="6666" width="13.1640625" style="70" customWidth="1"/>
    <col min="6667" max="6667" width="11.5" style="70" customWidth="1"/>
    <col min="6668" max="6669" width="12.33203125" style="70" customWidth="1"/>
    <col min="6670" max="6670" width="13.1640625" style="70" customWidth="1"/>
    <col min="6671" max="6671" width="18.5" style="70" customWidth="1"/>
    <col min="6672" max="6672" width="7.33203125" style="70" customWidth="1"/>
    <col min="6673" max="6911" width="8.83203125" style="70"/>
    <col min="6912" max="6912" width="5.33203125" style="70" customWidth="1"/>
    <col min="6913" max="6913" width="5.5" style="70" customWidth="1"/>
    <col min="6914" max="6914" width="40.83203125" style="70" customWidth="1"/>
    <col min="6915" max="6915" width="9.83203125" style="70" customWidth="1"/>
    <col min="6916" max="6916" width="13" style="70" customWidth="1"/>
    <col min="6917" max="6917" width="13.1640625" style="70" customWidth="1"/>
    <col min="6918" max="6918" width="12.33203125" style="70" customWidth="1"/>
    <col min="6919" max="6919" width="11.33203125" style="70" customWidth="1"/>
    <col min="6920" max="6920" width="11.83203125" style="70" customWidth="1"/>
    <col min="6921" max="6921" width="10.83203125" style="70" customWidth="1"/>
    <col min="6922" max="6922" width="13.1640625" style="70" customWidth="1"/>
    <col min="6923" max="6923" width="11.5" style="70" customWidth="1"/>
    <col min="6924" max="6925" width="12.33203125" style="70" customWidth="1"/>
    <col min="6926" max="6926" width="13.1640625" style="70" customWidth="1"/>
    <col min="6927" max="6927" width="18.5" style="70" customWidth="1"/>
    <col min="6928" max="6928" width="7.33203125" style="70" customWidth="1"/>
    <col min="6929" max="7167" width="8.83203125" style="70"/>
    <col min="7168" max="7168" width="5.33203125" style="70" customWidth="1"/>
    <col min="7169" max="7169" width="5.5" style="70" customWidth="1"/>
    <col min="7170" max="7170" width="40.83203125" style="70" customWidth="1"/>
    <col min="7171" max="7171" width="9.83203125" style="70" customWidth="1"/>
    <col min="7172" max="7172" width="13" style="70" customWidth="1"/>
    <col min="7173" max="7173" width="13.1640625" style="70" customWidth="1"/>
    <col min="7174" max="7174" width="12.33203125" style="70" customWidth="1"/>
    <col min="7175" max="7175" width="11.33203125" style="70" customWidth="1"/>
    <col min="7176" max="7176" width="11.83203125" style="70" customWidth="1"/>
    <col min="7177" max="7177" width="10.83203125" style="70" customWidth="1"/>
    <col min="7178" max="7178" width="13.1640625" style="70" customWidth="1"/>
    <col min="7179" max="7179" width="11.5" style="70" customWidth="1"/>
    <col min="7180" max="7181" width="12.33203125" style="70" customWidth="1"/>
    <col min="7182" max="7182" width="13.1640625" style="70" customWidth="1"/>
    <col min="7183" max="7183" width="18.5" style="70" customWidth="1"/>
    <col min="7184" max="7184" width="7.33203125" style="70" customWidth="1"/>
    <col min="7185" max="7423" width="8.83203125" style="70"/>
    <col min="7424" max="7424" width="5.33203125" style="70" customWidth="1"/>
    <col min="7425" max="7425" width="5.5" style="70" customWidth="1"/>
    <col min="7426" max="7426" width="40.83203125" style="70" customWidth="1"/>
    <col min="7427" max="7427" width="9.83203125" style="70" customWidth="1"/>
    <col min="7428" max="7428" width="13" style="70" customWidth="1"/>
    <col min="7429" max="7429" width="13.1640625" style="70" customWidth="1"/>
    <col min="7430" max="7430" width="12.33203125" style="70" customWidth="1"/>
    <col min="7431" max="7431" width="11.33203125" style="70" customWidth="1"/>
    <col min="7432" max="7432" width="11.83203125" style="70" customWidth="1"/>
    <col min="7433" max="7433" width="10.83203125" style="70" customWidth="1"/>
    <col min="7434" max="7434" width="13.1640625" style="70" customWidth="1"/>
    <col min="7435" max="7435" width="11.5" style="70" customWidth="1"/>
    <col min="7436" max="7437" width="12.33203125" style="70" customWidth="1"/>
    <col min="7438" max="7438" width="13.1640625" style="70" customWidth="1"/>
    <col min="7439" max="7439" width="18.5" style="70" customWidth="1"/>
    <col min="7440" max="7440" width="7.33203125" style="70" customWidth="1"/>
    <col min="7441" max="7679" width="8.83203125" style="70"/>
    <col min="7680" max="7680" width="5.33203125" style="70" customWidth="1"/>
    <col min="7681" max="7681" width="5.5" style="70" customWidth="1"/>
    <col min="7682" max="7682" width="40.83203125" style="70" customWidth="1"/>
    <col min="7683" max="7683" width="9.83203125" style="70" customWidth="1"/>
    <col min="7684" max="7684" width="13" style="70" customWidth="1"/>
    <col min="7685" max="7685" width="13.1640625" style="70" customWidth="1"/>
    <col min="7686" max="7686" width="12.33203125" style="70" customWidth="1"/>
    <col min="7687" max="7687" width="11.33203125" style="70" customWidth="1"/>
    <col min="7688" max="7688" width="11.83203125" style="70" customWidth="1"/>
    <col min="7689" max="7689" width="10.83203125" style="70" customWidth="1"/>
    <col min="7690" max="7690" width="13.1640625" style="70" customWidth="1"/>
    <col min="7691" max="7691" width="11.5" style="70" customWidth="1"/>
    <col min="7692" max="7693" width="12.33203125" style="70" customWidth="1"/>
    <col min="7694" max="7694" width="13.1640625" style="70" customWidth="1"/>
    <col min="7695" max="7695" width="18.5" style="70" customWidth="1"/>
    <col min="7696" max="7696" width="7.33203125" style="70" customWidth="1"/>
    <col min="7697" max="7935" width="8.83203125" style="70"/>
    <col min="7936" max="7936" width="5.33203125" style="70" customWidth="1"/>
    <col min="7937" max="7937" width="5.5" style="70" customWidth="1"/>
    <col min="7938" max="7938" width="40.83203125" style="70" customWidth="1"/>
    <col min="7939" max="7939" width="9.83203125" style="70" customWidth="1"/>
    <col min="7940" max="7940" width="13" style="70" customWidth="1"/>
    <col min="7941" max="7941" width="13.1640625" style="70" customWidth="1"/>
    <col min="7942" max="7942" width="12.33203125" style="70" customWidth="1"/>
    <col min="7943" max="7943" width="11.33203125" style="70" customWidth="1"/>
    <col min="7944" max="7944" width="11.83203125" style="70" customWidth="1"/>
    <col min="7945" max="7945" width="10.83203125" style="70" customWidth="1"/>
    <col min="7946" max="7946" width="13.1640625" style="70" customWidth="1"/>
    <col min="7947" max="7947" width="11.5" style="70" customWidth="1"/>
    <col min="7948" max="7949" width="12.33203125" style="70" customWidth="1"/>
    <col min="7950" max="7950" width="13.1640625" style="70" customWidth="1"/>
    <col min="7951" max="7951" width="18.5" style="70" customWidth="1"/>
    <col min="7952" max="7952" width="7.33203125" style="70" customWidth="1"/>
    <col min="7953" max="8191" width="8.83203125" style="70"/>
    <col min="8192" max="8192" width="5.33203125" style="70" customWidth="1"/>
    <col min="8193" max="8193" width="5.5" style="70" customWidth="1"/>
    <col min="8194" max="8194" width="40.83203125" style="70" customWidth="1"/>
    <col min="8195" max="8195" width="9.83203125" style="70" customWidth="1"/>
    <col min="8196" max="8196" width="13" style="70" customWidth="1"/>
    <col min="8197" max="8197" width="13.1640625" style="70" customWidth="1"/>
    <col min="8198" max="8198" width="12.33203125" style="70" customWidth="1"/>
    <col min="8199" max="8199" width="11.33203125" style="70" customWidth="1"/>
    <col min="8200" max="8200" width="11.83203125" style="70" customWidth="1"/>
    <col min="8201" max="8201" width="10.83203125" style="70" customWidth="1"/>
    <col min="8202" max="8202" width="13.1640625" style="70" customWidth="1"/>
    <col min="8203" max="8203" width="11.5" style="70" customWidth="1"/>
    <col min="8204" max="8205" width="12.33203125" style="70" customWidth="1"/>
    <col min="8206" max="8206" width="13.1640625" style="70" customWidth="1"/>
    <col min="8207" max="8207" width="18.5" style="70" customWidth="1"/>
    <col min="8208" max="8208" width="7.33203125" style="70" customWidth="1"/>
    <col min="8209" max="8447" width="8.83203125" style="70"/>
    <col min="8448" max="8448" width="5.33203125" style="70" customWidth="1"/>
    <col min="8449" max="8449" width="5.5" style="70" customWidth="1"/>
    <col min="8450" max="8450" width="40.83203125" style="70" customWidth="1"/>
    <col min="8451" max="8451" width="9.83203125" style="70" customWidth="1"/>
    <col min="8452" max="8452" width="13" style="70" customWidth="1"/>
    <col min="8453" max="8453" width="13.1640625" style="70" customWidth="1"/>
    <col min="8454" max="8454" width="12.33203125" style="70" customWidth="1"/>
    <col min="8455" max="8455" width="11.33203125" style="70" customWidth="1"/>
    <col min="8456" max="8456" width="11.83203125" style="70" customWidth="1"/>
    <col min="8457" max="8457" width="10.83203125" style="70" customWidth="1"/>
    <col min="8458" max="8458" width="13.1640625" style="70" customWidth="1"/>
    <col min="8459" max="8459" width="11.5" style="70" customWidth="1"/>
    <col min="8460" max="8461" width="12.33203125" style="70" customWidth="1"/>
    <col min="8462" max="8462" width="13.1640625" style="70" customWidth="1"/>
    <col min="8463" max="8463" width="18.5" style="70" customWidth="1"/>
    <col min="8464" max="8464" width="7.33203125" style="70" customWidth="1"/>
    <col min="8465" max="8703" width="8.83203125" style="70"/>
    <col min="8704" max="8704" width="5.33203125" style="70" customWidth="1"/>
    <col min="8705" max="8705" width="5.5" style="70" customWidth="1"/>
    <col min="8706" max="8706" width="40.83203125" style="70" customWidth="1"/>
    <col min="8707" max="8707" width="9.83203125" style="70" customWidth="1"/>
    <col min="8708" max="8708" width="13" style="70" customWidth="1"/>
    <col min="8709" max="8709" width="13.1640625" style="70" customWidth="1"/>
    <col min="8710" max="8710" width="12.33203125" style="70" customWidth="1"/>
    <col min="8711" max="8711" width="11.33203125" style="70" customWidth="1"/>
    <col min="8712" max="8712" width="11.83203125" style="70" customWidth="1"/>
    <col min="8713" max="8713" width="10.83203125" style="70" customWidth="1"/>
    <col min="8714" max="8714" width="13.1640625" style="70" customWidth="1"/>
    <col min="8715" max="8715" width="11.5" style="70" customWidth="1"/>
    <col min="8716" max="8717" width="12.33203125" style="70" customWidth="1"/>
    <col min="8718" max="8718" width="13.1640625" style="70" customWidth="1"/>
    <col min="8719" max="8719" width="18.5" style="70" customWidth="1"/>
    <col min="8720" max="8720" width="7.33203125" style="70" customWidth="1"/>
    <col min="8721" max="8959" width="8.83203125" style="70"/>
    <col min="8960" max="8960" width="5.33203125" style="70" customWidth="1"/>
    <col min="8961" max="8961" width="5.5" style="70" customWidth="1"/>
    <col min="8962" max="8962" width="40.83203125" style="70" customWidth="1"/>
    <col min="8963" max="8963" width="9.83203125" style="70" customWidth="1"/>
    <col min="8964" max="8964" width="13" style="70" customWidth="1"/>
    <col min="8965" max="8965" width="13.1640625" style="70" customWidth="1"/>
    <col min="8966" max="8966" width="12.33203125" style="70" customWidth="1"/>
    <col min="8967" max="8967" width="11.33203125" style="70" customWidth="1"/>
    <col min="8968" max="8968" width="11.83203125" style="70" customWidth="1"/>
    <col min="8969" max="8969" width="10.83203125" style="70" customWidth="1"/>
    <col min="8970" max="8970" width="13.1640625" style="70" customWidth="1"/>
    <col min="8971" max="8971" width="11.5" style="70" customWidth="1"/>
    <col min="8972" max="8973" width="12.33203125" style="70" customWidth="1"/>
    <col min="8974" max="8974" width="13.1640625" style="70" customWidth="1"/>
    <col min="8975" max="8975" width="18.5" style="70" customWidth="1"/>
    <col min="8976" max="8976" width="7.33203125" style="70" customWidth="1"/>
    <col min="8977" max="9215" width="8.83203125" style="70"/>
    <col min="9216" max="9216" width="5.33203125" style="70" customWidth="1"/>
    <col min="9217" max="9217" width="5.5" style="70" customWidth="1"/>
    <col min="9218" max="9218" width="40.83203125" style="70" customWidth="1"/>
    <col min="9219" max="9219" width="9.83203125" style="70" customWidth="1"/>
    <col min="9220" max="9220" width="13" style="70" customWidth="1"/>
    <col min="9221" max="9221" width="13.1640625" style="70" customWidth="1"/>
    <col min="9222" max="9222" width="12.33203125" style="70" customWidth="1"/>
    <col min="9223" max="9223" width="11.33203125" style="70" customWidth="1"/>
    <col min="9224" max="9224" width="11.83203125" style="70" customWidth="1"/>
    <col min="9225" max="9225" width="10.83203125" style="70" customWidth="1"/>
    <col min="9226" max="9226" width="13.1640625" style="70" customWidth="1"/>
    <col min="9227" max="9227" width="11.5" style="70" customWidth="1"/>
    <col min="9228" max="9229" width="12.33203125" style="70" customWidth="1"/>
    <col min="9230" max="9230" width="13.1640625" style="70" customWidth="1"/>
    <col min="9231" max="9231" width="18.5" style="70" customWidth="1"/>
    <col min="9232" max="9232" width="7.33203125" style="70" customWidth="1"/>
    <col min="9233" max="9471" width="8.83203125" style="70"/>
    <col min="9472" max="9472" width="5.33203125" style="70" customWidth="1"/>
    <col min="9473" max="9473" width="5.5" style="70" customWidth="1"/>
    <col min="9474" max="9474" width="40.83203125" style="70" customWidth="1"/>
    <col min="9475" max="9475" width="9.83203125" style="70" customWidth="1"/>
    <col min="9476" max="9476" width="13" style="70" customWidth="1"/>
    <col min="9477" max="9477" width="13.1640625" style="70" customWidth="1"/>
    <col min="9478" max="9478" width="12.33203125" style="70" customWidth="1"/>
    <col min="9479" max="9479" width="11.33203125" style="70" customWidth="1"/>
    <col min="9480" max="9480" width="11.83203125" style="70" customWidth="1"/>
    <col min="9481" max="9481" width="10.83203125" style="70" customWidth="1"/>
    <col min="9482" max="9482" width="13.1640625" style="70" customWidth="1"/>
    <col min="9483" max="9483" width="11.5" style="70" customWidth="1"/>
    <col min="9484" max="9485" width="12.33203125" style="70" customWidth="1"/>
    <col min="9486" max="9486" width="13.1640625" style="70" customWidth="1"/>
    <col min="9487" max="9487" width="18.5" style="70" customWidth="1"/>
    <col min="9488" max="9488" width="7.33203125" style="70" customWidth="1"/>
    <col min="9489" max="9727" width="8.83203125" style="70"/>
    <col min="9728" max="9728" width="5.33203125" style="70" customWidth="1"/>
    <col min="9729" max="9729" width="5.5" style="70" customWidth="1"/>
    <col min="9730" max="9730" width="40.83203125" style="70" customWidth="1"/>
    <col min="9731" max="9731" width="9.83203125" style="70" customWidth="1"/>
    <col min="9732" max="9732" width="13" style="70" customWidth="1"/>
    <col min="9733" max="9733" width="13.1640625" style="70" customWidth="1"/>
    <col min="9734" max="9734" width="12.33203125" style="70" customWidth="1"/>
    <col min="9735" max="9735" width="11.33203125" style="70" customWidth="1"/>
    <col min="9736" max="9736" width="11.83203125" style="70" customWidth="1"/>
    <col min="9737" max="9737" width="10.83203125" style="70" customWidth="1"/>
    <col min="9738" max="9738" width="13.1640625" style="70" customWidth="1"/>
    <col min="9739" max="9739" width="11.5" style="70" customWidth="1"/>
    <col min="9740" max="9741" width="12.33203125" style="70" customWidth="1"/>
    <col min="9742" max="9742" width="13.1640625" style="70" customWidth="1"/>
    <col min="9743" max="9743" width="18.5" style="70" customWidth="1"/>
    <col min="9744" max="9744" width="7.33203125" style="70" customWidth="1"/>
    <col min="9745" max="9983" width="8.83203125" style="70"/>
    <col min="9984" max="9984" width="5.33203125" style="70" customWidth="1"/>
    <col min="9985" max="9985" width="5.5" style="70" customWidth="1"/>
    <col min="9986" max="9986" width="40.83203125" style="70" customWidth="1"/>
    <col min="9987" max="9987" width="9.83203125" style="70" customWidth="1"/>
    <col min="9988" max="9988" width="13" style="70" customWidth="1"/>
    <col min="9989" max="9989" width="13.1640625" style="70" customWidth="1"/>
    <col min="9990" max="9990" width="12.33203125" style="70" customWidth="1"/>
    <col min="9991" max="9991" width="11.33203125" style="70" customWidth="1"/>
    <col min="9992" max="9992" width="11.83203125" style="70" customWidth="1"/>
    <col min="9993" max="9993" width="10.83203125" style="70" customWidth="1"/>
    <col min="9994" max="9994" width="13.1640625" style="70" customWidth="1"/>
    <col min="9995" max="9995" width="11.5" style="70" customWidth="1"/>
    <col min="9996" max="9997" width="12.33203125" style="70" customWidth="1"/>
    <col min="9998" max="9998" width="13.1640625" style="70" customWidth="1"/>
    <col min="9999" max="9999" width="18.5" style="70" customWidth="1"/>
    <col min="10000" max="10000" width="7.33203125" style="70" customWidth="1"/>
    <col min="10001" max="10239" width="8.83203125" style="70"/>
    <col min="10240" max="10240" width="5.33203125" style="70" customWidth="1"/>
    <col min="10241" max="10241" width="5.5" style="70" customWidth="1"/>
    <col min="10242" max="10242" width="40.83203125" style="70" customWidth="1"/>
    <col min="10243" max="10243" width="9.83203125" style="70" customWidth="1"/>
    <col min="10244" max="10244" width="13" style="70" customWidth="1"/>
    <col min="10245" max="10245" width="13.1640625" style="70" customWidth="1"/>
    <col min="10246" max="10246" width="12.33203125" style="70" customWidth="1"/>
    <col min="10247" max="10247" width="11.33203125" style="70" customWidth="1"/>
    <col min="10248" max="10248" width="11.83203125" style="70" customWidth="1"/>
    <col min="10249" max="10249" width="10.83203125" style="70" customWidth="1"/>
    <col min="10250" max="10250" width="13.1640625" style="70" customWidth="1"/>
    <col min="10251" max="10251" width="11.5" style="70" customWidth="1"/>
    <col min="10252" max="10253" width="12.33203125" style="70" customWidth="1"/>
    <col min="10254" max="10254" width="13.1640625" style="70" customWidth="1"/>
    <col min="10255" max="10255" width="18.5" style="70" customWidth="1"/>
    <col min="10256" max="10256" width="7.33203125" style="70" customWidth="1"/>
    <col min="10257" max="10495" width="8.83203125" style="70"/>
    <col min="10496" max="10496" width="5.33203125" style="70" customWidth="1"/>
    <col min="10497" max="10497" width="5.5" style="70" customWidth="1"/>
    <col min="10498" max="10498" width="40.83203125" style="70" customWidth="1"/>
    <col min="10499" max="10499" width="9.83203125" style="70" customWidth="1"/>
    <col min="10500" max="10500" width="13" style="70" customWidth="1"/>
    <col min="10501" max="10501" width="13.1640625" style="70" customWidth="1"/>
    <col min="10502" max="10502" width="12.33203125" style="70" customWidth="1"/>
    <col min="10503" max="10503" width="11.33203125" style="70" customWidth="1"/>
    <col min="10504" max="10504" width="11.83203125" style="70" customWidth="1"/>
    <col min="10505" max="10505" width="10.83203125" style="70" customWidth="1"/>
    <col min="10506" max="10506" width="13.1640625" style="70" customWidth="1"/>
    <col min="10507" max="10507" width="11.5" style="70" customWidth="1"/>
    <col min="10508" max="10509" width="12.33203125" style="70" customWidth="1"/>
    <col min="10510" max="10510" width="13.1640625" style="70" customWidth="1"/>
    <col min="10511" max="10511" width="18.5" style="70" customWidth="1"/>
    <col min="10512" max="10512" width="7.33203125" style="70" customWidth="1"/>
    <col min="10513" max="10751" width="8.83203125" style="70"/>
    <col min="10752" max="10752" width="5.33203125" style="70" customWidth="1"/>
    <col min="10753" max="10753" width="5.5" style="70" customWidth="1"/>
    <col min="10754" max="10754" width="40.83203125" style="70" customWidth="1"/>
    <col min="10755" max="10755" width="9.83203125" style="70" customWidth="1"/>
    <col min="10756" max="10756" width="13" style="70" customWidth="1"/>
    <col min="10757" max="10757" width="13.1640625" style="70" customWidth="1"/>
    <col min="10758" max="10758" width="12.33203125" style="70" customWidth="1"/>
    <col min="10759" max="10759" width="11.33203125" style="70" customWidth="1"/>
    <col min="10760" max="10760" width="11.83203125" style="70" customWidth="1"/>
    <col min="10761" max="10761" width="10.83203125" style="70" customWidth="1"/>
    <col min="10762" max="10762" width="13.1640625" style="70" customWidth="1"/>
    <col min="10763" max="10763" width="11.5" style="70" customWidth="1"/>
    <col min="10764" max="10765" width="12.33203125" style="70" customWidth="1"/>
    <col min="10766" max="10766" width="13.1640625" style="70" customWidth="1"/>
    <col min="10767" max="10767" width="18.5" style="70" customWidth="1"/>
    <col min="10768" max="10768" width="7.33203125" style="70" customWidth="1"/>
    <col min="10769" max="11007" width="8.83203125" style="70"/>
    <col min="11008" max="11008" width="5.33203125" style="70" customWidth="1"/>
    <col min="11009" max="11009" width="5.5" style="70" customWidth="1"/>
    <col min="11010" max="11010" width="40.83203125" style="70" customWidth="1"/>
    <col min="11011" max="11011" width="9.83203125" style="70" customWidth="1"/>
    <col min="11012" max="11012" width="13" style="70" customWidth="1"/>
    <col min="11013" max="11013" width="13.1640625" style="70" customWidth="1"/>
    <col min="11014" max="11014" width="12.33203125" style="70" customWidth="1"/>
    <col min="11015" max="11015" width="11.33203125" style="70" customWidth="1"/>
    <col min="11016" max="11016" width="11.83203125" style="70" customWidth="1"/>
    <col min="11017" max="11017" width="10.83203125" style="70" customWidth="1"/>
    <col min="11018" max="11018" width="13.1640625" style="70" customWidth="1"/>
    <col min="11019" max="11019" width="11.5" style="70" customWidth="1"/>
    <col min="11020" max="11021" width="12.33203125" style="70" customWidth="1"/>
    <col min="11022" max="11022" width="13.1640625" style="70" customWidth="1"/>
    <col min="11023" max="11023" width="18.5" style="70" customWidth="1"/>
    <col min="11024" max="11024" width="7.33203125" style="70" customWidth="1"/>
    <col min="11025" max="11263" width="8.83203125" style="70"/>
    <col min="11264" max="11264" width="5.33203125" style="70" customWidth="1"/>
    <col min="11265" max="11265" width="5.5" style="70" customWidth="1"/>
    <col min="11266" max="11266" width="40.83203125" style="70" customWidth="1"/>
    <col min="11267" max="11267" width="9.83203125" style="70" customWidth="1"/>
    <col min="11268" max="11268" width="13" style="70" customWidth="1"/>
    <col min="11269" max="11269" width="13.1640625" style="70" customWidth="1"/>
    <col min="11270" max="11270" width="12.33203125" style="70" customWidth="1"/>
    <col min="11271" max="11271" width="11.33203125" style="70" customWidth="1"/>
    <col min="11272" max="11272" width="11.83203125" style="70" customWidth="1"/>
    <col min="11273" max="11273" width="10.83203125" style="70" customWidth="1"/>
    <col min="11274" max="11274" width="13.1640625" style="70" customWidth="1"/>
    <col min="11275" max="11275" width="11.5" style="70" customWidth="1"/>
    <col min="11276" max="11277" width="12.33203125" style="70" customWidth="1"/>
    <col min="11278" max="11278" width="13.1640625" style="70" customWidth="1"/>
    <col min="11279" max="11279" width="18.5" style="70" customWidth="1"/>
    <col min="11280" max="11280" width="7.33203125" style="70" customWidth="1"/>
    <col min="11281" max="11519" width="8.83203125" style="70"/>
    <col min="11520" max="11520" width="5.33203125" style="70" customWidth="1"/>
    <col min="11521" max="11521" width="5.5" style="70" customWidth="1"/>
    <col min="11522" max="11522" width="40.83203125" style="70" customWidth="1"/>
    <col min="11523" max="11523" width="9.83203125" style="70" customWidth="1"/>
    <col min="11524" max="11524" width="13" style="70" customWidth="1"/>
    <col min="11525" max="11525" width="13.1640625" style="70" customWidth="1"/>
    <col min="11526" max="11526" width="12.33203125" style="70" customWidth="1"/>
    <col min="11527" max="11527" width="11.33203125" style="70" customWidth="1"/>
    <col min="11528" max="11528" width="11.83203125" style="70" customWidth="1"/>
    <col min="11529" max="11529" width="10.83203125" style="70" customWidth="1"/>
    <col min="11530" max="11530" width="13.1640625" style="70" customWidth="1"/>
    <col min="11531" max="11531" width="11.5" style="70" customWidth="1"/>
    <col min="11532" max="11533" width="12.33203125" style="70" customWidth="1"/>
    <col min="11534" max="11534" width="13.1640625" style="70" customWidth="1"/>
    <col min="11535" max="11535" width="18.5" style="70" customWidth="1"/>
    <col min="11536" max="11536" width="7.33203125" style="70" customWidth="1"/>
    <col min="11537" max="11775" width="8.83203125" style="70"/>
    <col min="11776" max="11776" width="5.33203125" style="70" customWidth="1"/>
    <col min="11777" max="11777" width="5.5" style="70" customWidth="1"/>
    <col min="11778" max="11778" width="40.83203125" style="70" customWidth="1"/>
    <col min="11779" max="11779" width="9.83203125" style="70" customWidth="1"/>
    <col min="11780" max="11780" width="13" style="70" customWidth="1"/>
    <col min="11781" max="11781" width="13.1640625" style="70" customWidth="1"/>
    <col min="11782" max="11782" width="12.33203125" style="70" customWidth="1"/>
    <col min="11783" max="11783" width="11.33203125" style="70" customWidth="1"/>
    <col min="11784" max="11784" width="11.83203125" style="70" customWidth="1"/>
    <col min="11785" max="11785" width="10.83203125" style="70" customWidth="1"/>
    <col min="11786" max="11786" width="13.1640625" style="70" customWidth="1"/>
    <col min="11787" max="11787" width="11.5" style="70" customWidth="1"/>
    <col min="11788" max="11789" width="12.33203125" style="70" customWidth="1"/>
    <col min="11790" max="11790" width="13.1640625" style="70" customWidth="1"/>
    <col min="11791" max="11791" width="18.5" style="70" customWidth="1"/>
    <col min="11792" max="11792" width="7.33203125" style="70" customWidth="1"/>
    <col min="11793" max="12031" width="8.83203125" style="70"/>
    <col min="12032" max="12032" width="5.33203125" style="70" customWidth="1"/>
    <col min="12033" max="12033" width="5.5" style="70" customWidth="1"/>
    <col min="12034" max="12034" width="40.83203125" style="70" customWidth="1"/>
    <col min="12035" max="12035" width="9.83203125" style="70" customWidth="1"/>
    <col min="12036" max="12036" width="13" style="70" customWidth="1"/>
    <col min="12037" max="12037" width="13.1640625" style="70" customWidth="1"/>
    <col min="12038" max="12038" width="12.33203125" style="70" customWidth="1"/>
    <col min="12039" max="12039" width="11.33203125" style="70" customWidth="1"/>
    <col min="12040" max="12040" width="11.83203125" style="70" customWidth="1"/>
    <col min="12041" max="12041" width="10.83203125" style="70" customWidth="1"/>
    <col min="12042" max="12042" width="13.1640625" style="70" customWidth="1"/>
    <col min="12043" max="12043" width="11.5" style="70" customWidth="1"/>
    <col min="12044" max="12045" width="12.33203125" style="70" customWidth="1"/>
    <col min="12046" max="12046" width="13.1640625" style="70" customWidth="1"/>
    <col min="12047" max="12047" width="18.5" style="70" customWidth="1"/>
    <col min="12048" max="12048" width="7.33203125" style="70" customWidth="1"/>
    <col min="12049" max="12287" width="8.83203125" style="70"/>
    <col min="12288" max="12288" width="5.33203125" style="70" customWidth="1"/>
    <col min="12289" max="12289" width="5.5" style="70" customWidth="1"/>
    <col min="12290" max="12290" width="40.83203125" style="70" customWidth="1"/>
    <col min="12291" max="12291" width="9.83203125" style="70" customWidth="1"/>
    <col min="12292" max="12292" width="13" style="70" customWidth="1"/>
    <col min="12293" max="12293" width="13.1640625" style="70" customWidth="1"/>
    <col min="12294" max="12294" width="12.33203125" style="70" customWidth="1"/>
    <col min="12295" max="12295" width="11.33203125" style="70" customWidth="1"/>
    <col min="12296" max="12296" width="11.83203125" style="70" customWidth="1"/>
    <col min="12297" max="12297" width="10.83203125" style="70" customWidth="1"/>
    <col min="12298" max="12298" width="13.1640625" style="70" customWidth="1"/>
    <col min="12299" max="12299" width="11.5" style="70" customWidth="1"/>
    <col min="12300" max="12301" width="12.33203125" style="70" customWidth="1"/>
    <col min="12302" max="12302" width="13.1640625" style="70" customWidth="1"/>
    <col min="12303" max="12303" width="18.5" style="70" customWidth="1"/>
    <col min="12304" max="12304" width="7.33203125" style="70" customWidth="1"/>
    <col min="12305" max="12543" width="8.83203125" style="70"/>
    <col min="12544" max="12544" width="5.33203125" style="70" customWidth="1"/>
    <col min="12545" max="12545" width="5.5" style="70" customWidth="1"/>
    <col min="12546" max="12546" width="40.83203125" style="70" customWidth="1"/>
    <col min="12547" max="12547" width="9.83203125" style="70" customWidth="1"/>
    <col min="12548" max="12548" width="13" style="70" customWidth="1"/>
    <col min="12549" max="12549" width="13.1640625" style="70" customWidth="1"/>
    <col min="12550" max="12550" width="12.33203125" style="70" customWidth="1"/>
    <col min="12551" max="12551" width="11.33203125" style="70" customWidth="1"/>
    <col min="12552" max="12552" width="11.83203125" style="70" customWidth="1"/>
    <col min="12553" max="12553" width="10.83203125" style="70" customWidth="1"/>
    <col min="12554" max="12554" width="13.1640625" style="70" customWidth="1"/>
    <col min="12555" max="12555" width="11.5" style="70" customWidth="1"/>
    <col min="12556" max="12557" width="12.33203125" style="70" customWidth="1"/>
    <col min="12558" max="12558" width="13.1640625" style="70" customWidth="1"/>
    <col min="12559" max="12559" width="18.5" style="70" customWidth="1"/>
    <col min="12560" max="12560" width="7.33203125" style="70" customWidth="1"/>
    <col min="12561" max="12799" width="8.83203125" style="70"/>
    <col min="12800" max="12800" width="5.33203125" style="70" customWidth="1"/>
    <col min="12801" max="12801" width="5.5" style="70" customWidth="1"/>
    <col min="12802" max="12802" width="40.83203125" style="70" customWidth="1"/>
    <col min="12803" max="12803" width="9.83203125" style="70" customWidth="1"/>
    <col min="12804" max="12804" width="13" style="70" customWidth="1"/>
    <col min="12805" max="12805" width="13.1640625" style="70" customWidth="1"/>
    <col min="12806" max="12806" width="12.33203125" style="70" customWidth="1"/>
    <col min="12807" max="12807" width="11.33203125" style="70" customWidth="1"/>
    <col min="12808" max="12808" width="11.83203125" style="70" customWidth="1"/>
    <col min="12809" max="12809" width="10.83203125" style="70" customWidth="1"/>
    <col min="12810" max="12810" width="13.1640625" style="70" customWidth="1"/>
    <col min="12811" max="12811" width="11.5" style="70" customWidth="1"/>
    <col min="12812" max="12813" width="12.33203125" style="70" customWidth="1"/>
    <col min="12814" max="12814" width="13.1640625" style="70" customWidth="1"/>
    <col min="12815" max="12815" width="18.5" style="70" customWidth="1"/>
    <col min="12816" max="12816" width="7.33203125" style="70" customWidth="1"/>
    <col min="12817" max="13055" width="8.83203125" style="70"/>
    <col min="13056" max="13056" width="5.33203125" style="70" customWidth="1"/>
    <col min="13057" max="13057" width="5.5" style="70" customWidth="1"/>
    <col min="13058" max="13058" width="40.83203125" style="70" customWidth="1"/>
    <col min="13059" max="13059" width="9.83203125" style="70" customWidth="1"/>
    <col min="13060" max="13060" width="13" style="70" customWidth="1"/>
    <col min="13061" max="13061" width="13.1640625" style="70" customWidth="1"/>
    <col min="13062" max="13062" width="12.33203125" style="70" customWidth="1"/>
    <col min="13063" max="13063" width="11.33203125" style="70" customWidth="1"/>
    <col min="13064" max="13064" width="11.83203125" style="70" customWidth="1"/>
    <col min="13065" max="13065" width="10.83203125" style="70" customWidth="1"/>
    <col min="13066" max="13066" width="13.1640625" style="70" customWidth="1"/>
    <col min="13067" max="13067" width="11.5" style="70" customWidth="1"/>
    <col min="13068" max="13069" width="12.33203125" style="70" customWidth="1"/>
    <col min="13070" max="13070" width="13.1640625" style="70" customWidth="1"/>
    <col min="13071" max="13071" width="18.5" style="70" customWidth="1"/>
    <col min="13072" max="13072" width="7.33203125" style="70" customWidth="1"/>
    <col min="13073" max="13311" width="8.83203125" style="70"/>
    <col min="13312" max="13312" width="5.33203125" style="70" customWidth="1"/>
    <col min="13313" max="13313" width="5.5" style="70" customWidth="1"/>
    <col min="13314" max="13314" width="40.83203125" style="70" customWidth="1"/>
    <col min="13315" max="13315" width="9.83203125" style="70" customWidth="1"/>
    <col min="13316" max="13316" width="13" style="70" customWidth="1"/>
    <col min="13317" max="13317" width="13.1640625" style="70" customWidth="1"/>
    <col min="13318" max="13318" width="12.33203125" style="70" customWidth="1"/>
    <col min="13319" max="13319" width="11.33203125" style="70" customWidth="1"/>
    <col min="13320" max="13320" width="11.83203125" style="70" customWidth="1"/>
    <col min="13321" max="13321" width="10.83203125" style="70" customWidth="1"/>
    <col min="13322" max="13322" width="13.1640625" style="70" customWidth="1"/>
    <col min="13323" max="13323" width="11.5" style="70" customWidth="1"/>
    <col min="13324" max="13325" width="12.33203125" style="70" customWidth="1"/>
    <col min="13326" max="13326" width="13.1640625" style="70" customWidth="1"/>
    <col min="13327" max="13327" width="18.5" style="70" customWidth="1"/>
    <col min="13328" max="13328" width="7.33203125" style="70" customWidth="1"/>
    <col min="13329" max="13567" width="8.83203125" style="70"/>
    <col min="13568" max="13568" width="5.33203125" style="70" customWidth="1"/>
    <col min="13569" max="13569" width="5.5" style="70" customWidth="1"/>
    <col min="13570" max="13570" width="40.83203125" style="70" customWidth="1"/>
    <col min="13571" max="13571" width="9.83203125" style="70" customWidth="1"/>
    <col min="13572" max="13572" width="13" style="70" customWidth="1"/>
    <col min="13573" max="13573" width="13.1640625" style="70" customWidth="1"/>
    <col min="13574" max="13574" width="12.33203125" style="70" customWidth="1"/>
    <col min="13575" max="13575" width="11.33203125" style="70" customWidth="1"/>
    <col min="13576" max="13576" width="11.83203125" style="70" customWidth="1"/>
    <col min="13577" max="13577" width="10.83203125" style="70" customWidth="1"/>
    <col min="13578" max="13578" width="13.1640625" style="70" customWidth="1"/>
    <col min="13579" max="13579" width="11.5" style="70" customWidth="1"/>
    <col min="13580" max="13581" width="12.33203125" style="70" customWidth="1"/>
    <col min="13582" max="13582" width="13.1640625" style="70" customWidth="1"/>
    <col min="13583" max="13583" width="18.5" style="70" customWidth="1"/>
    <col min="13584" max="13584" width="7.33203125" style="70" customWidth="1"/>
    <col min="13585" max="13823" width="8.83203125" style="70"/>
    <col min="13824" max="13824" width="5.33203125" style="70" customWidth="1"/>
    <col min="13825" max="13825" width="5.5" style="70" customWidth="1"/>
    <col min="13826" max="13826" width="40.83203125" style="70" customWidth="1"/>
    <col min="13827" max="13827" width="9.83203125" style="70" customWidth="1"/>
    <col min="13828" max="13828" width="13" style="70" customWidth="1"/>
    <col min="13829" max="13829" width="13.1640625" style="70" customWidth="1"/>
    <col min="13830" max="13830" width="12.33203125" style="70" customWidth="1"/>
    <col min="13831" max="13831" width="11.33203125" style="70" customWidth="1"/>
    <col min="13832" max="13832" width="11.83203125" style="70" customWidth="1"/>
    <col min="13833" max="13833" width="10.83203125" style="70" customWidth="1"/>
    <col min="13834" max="13834" width="13.1640625" style="70" customWidth="1"/>
    <col min="13835" max="13835" width="11.5" style="70" customWidth="1"/>
    <col min="13836" max="13837" width="12.33203125" style="70" customWidth="1"/>
    <col min="13838" max="13838" width="13.1640625" style="70" customWidth="1"/>
    <col min="13839" max="13839" width="18.5" style="70" customWidth="1"/>
    <col min="13840" max="13840" width="7.33203125" style="70" customWidth="1"/>
    <col min="13841" max="14079" width="8.83203125" style="70"/>
    <col min="14080" max="14080" width="5.33203125" style="70" customWidth="1"/>
    <col min="14081" max="14081" width="5.5" style="70" customWidth="1"/>
    <col min="14082" max="14082" width="40.83203125" style="70" customWidth="1"/>
    <col min="14083" max="14083" width="9.83203125" style="70" customWidth="1"/>
    <col min="14084" max="14084" width="13" style="70" customWidth="1"/>
    <col min="14085" max="14085" width="13.1640625" style="70" customWidth="1"/>
    <col min="14086" max="14086" width="12.33203125" style="70" customWidth="1"/>
    <col min="14087" max="14087" width="11.33203125" style="70" customWidth="1"/>
    <col min="14088" max="14088" width="11.83203125" style="70" customWidth="1"/>
    <col min="14089" max="14089" width="10.83203125" style="70" customWidth="1"/>
    <col min="14090" max="14090" width="13.1640625" style="70" customWidth="1"/>
    <col min="14091" max="14091" width="11.5" style="70" customWidth="1"/>
    <col min="14092" max="14093" width="12.33203125" style="70" customWidth="1"/>
    <col min="14094" max="14094" width="13.1640625" style="70" customWidth="1"/>
    <col min="14095" max="14095" width="18.5" style="70" customWidth="1"/>
    <col min="14096" max="14096" width="7.33203125" style="70" customWidth="1"/>
    <col min="14097" max="14335" width="8.83203125" style="70"/>
    <col min="14336" max="14336" width="5.33203125" style="70" customWidth="1"/>
    <col min="14337" max="14337" width="5.5" style="70" customWidth="1"/>
    <col min="14338" max="14338" width="40.83203125" style="70" customWidth="1"/>
    <col min="14339" max="14339" width="9.83203125" style="70" customWidth="1"/>
    <col min="14340" max="14340" width="13" style="70" customWidth="1"/>
    <col min="14341" max="14341" width="13.1640625" style="70" customWidth="1"/>
    <col min="14342" max="14342" width="12.33203125" style="70" customWidth="1"/>
    <col min="14343" max="14343" width="11.33203125" style="70" customWidth="1"/>
    <col min="14344" max="14344" width="11.83203125" style="70" customWidth="1"/>
    <col min="14345" max="14345" width="10.83203125" style="70" customWidth="1"/>
    <col min="14346" max="14346" width="13.1640625" style="70" customWidth="1"/>
    <col min="14347" max="14347" width="11.5" style="70" customWidth="1"/>
    <col min="14348" max="14349" width="12.33203125" style="70" customWidth="1"/>
    <col min="14350" max="14350" width="13.1640625" style="70" customWidth="1"/>
    <col min="14351" max="14351" width="18.5" style="70" customWidth="1"/>
    <col min="14352" max="14352" width="7.33203125" style="70" customWidth="1"/>
    <col min="14353" max="14591" width="8.83203125" style="70"/>
    <col min="14592" max="14592" width="5.33203125" style="70" customWidth="1"/>
    <col min="14593" max="14593" width="5.5" style="70" customWidth="1"/>
    <col min="14594" max="14594" width="40.83203125" style="70" customWidth="1"/>
    <col min="14595" max="14595" width="9.83203125" style="70" customWidth="1"/>
    <col min="14596" max="14596" width="13" style="70" customWidth="1"/>
    <col min="14597" max="14597" width="13.1640625" style="70" customWidth="1"/>
    <col min="14598" max="14598" width="12.33203125" style="70" customWidth="1"/>
    <col min="14599" max="14599" width="11.33203125" style="70" customWidth="1"/>
    <col min="14600" max="14600" width="11.83203125" style="70" customWidth="1"/>
    <col min="14601" max="14601" width="10.83203125" style="70" customWidth="1"/>
    <col min="14602" max="14602" width="13.1640625" style="70" customWidth="1"/>
    <col min="14603" max="14603" width="11.5" style="70" customWidth="1"/>
    <col min="14604" max="14605" width="12.33203125" style="70" customWidth="1"/>
    <col min="14606" max="14606" width="13.1640625" style="70" customWidth="1"/>
    <col min="14607" max="14607" width="18.5" style="70" customWidth="1"/>
    <col min="14608" max="14608" width="7.33203125" style="70" customWidth="1"/>
    <col min="14609" max="14847" width="8.83203125" style="70"/>
    <col min="14848" max="14848" width="5.33203125" style="70" customWidth="1"/>
    <col min="14849" max="14849" width="5.5" style="70" customWidth="1"/>
    <col min="14850" max="14850" width="40.83203125" style="70" customWidth="1"/>
    <col min="14851" max="14851" width="9.83203125" style="70" customWidth="1"/>
    <col min="14852" max="14852" width="13" style="70" customWidth="1"/>
    <col min="14853" max="14853" width="13.1640625" style="70" customWidth="1"/>
    <col min="14854" max="14854" width="12.33203125" style="70" customWidth="1"/>
    <col min="14855" max="14855" width="11.33203125" style="70" customWidth="1"/>
    <col min="14856" max="14856" width="11.83203125" style="70" customWidth="1"/>
    <col min="14857" max="14857" width="10.83203125" style="70" customWidth="1"/>
    <col min="14858" max="14858" width="13.1640625" style="70" customWidth="1"/>
    <col min="14859" max="14859" width="11.5" style="70" customWidth="1"/>
    <col min="14860" max="14861" width="12.33203125" style="70" customWidth="1"/>
    <col min="14862" max="14862" width="13.1640625" style="70" customWidth="1"/>
    <col min="14863" max="14863" width="18.5" style="70" customWidth="1"/>
    <col min="14864" max="14864" width="7.33203125" style="70" customWidth="1"/>
    <col min="14865" max="15103" width="8.83203125" style="70"/>
    <col min="15104" max="15104" width="5.33203125" style="70" customWidth="1"/>
    <col min="15105" max="15105" width="5.5" style="70" customWidth="1"/>
    <col min="15106" max="15106" width="40.83203125" style="70" customWidth="1"/>
    <col min="15107" max="15107" width="9.83203125" style="70" customWidth="1"/>
    <col min="15108" max="15108" width="13" style="70" customWidth="1"/>
    <col min="15109" max="15109" width="13.1640625" style="70" customWidth="1"/>
    <col min="15110" max="15110" width="12.33203125" style="70" customWidth="1"/>
    <col min="15111" max="15111" width="11.33203125" style="70" customWidth="1"/>
    <col min="15112" max="15112" width="11.83203125" style="70" customWidth="1"/>
    <col min="15113" max="15113" width="10.83203125" style="70" customWidth="1"/>
    <col min="15114" max="15114" width="13.1640625" style="70" customWidth="1"/>
    <col min="15115" max="15115" width="11.5" style="70" customWidth="1"/>
    <col min="15116" max="15117" width="12.33203125" style="70" customWidth="1"/>
    <col min="15118" max="15118" width="13.1640625" style="70" customWidth="1"/>
    <col min="15119" max="15119" width="18.5" style="70" customWidth="1"/>
    <col min="15120" max="15120" width="7.33203125" style="70" customWidth="1"/>
    <col min="15121" max="15359" width="8.83203125" style="70"/>
    <col min="15360" max="15360" width="5.33203125" style="70" customWidth="1"/>
    <col min="15361" max="15361" width="5.5" style="70" customWidth="1"/>
    <col min="15362" max="15362" width="40.83203125" style="70" customWidth="1"/>
    <col min="15363" max="15363" width="9.83203125" style="70" customWidth="1"/>
    <col min="15364" max="15364" width="13" style="70" customWidth="1"/>
    <col min="15365" max="15365" width="13.1640625" style="70" customWidth="1"/>
    <col min="15366" max="15366" width="12.33203125" style="70" customWidth="1"/>
    <col min="15367" max="15367" width="11.33203125" style="70" customWidth="1"/>
    <col min="15368" max="15368" width="11.83203125" style="70" customWidth="1"/>
    <col min="15369" max="15369" width="10.83203125" style="70" customWidth="1"/>
    <col min="15370" max="15370" width="13.1640625" style="70" customWidth="1"/>
    <col min="15371" max="15371" width="11.5" style="70" customWidth="1"/>
    <col min="15372" max="15373" width="12.33203125" style="70" customWidth="1"/>
    <col min="15374" max="15374" width="13.1640625" style="70" customWidth="1"/>
    <col min="15375" max="15375" width="18.5" style="70" customWidth="1"/>
    <col min="15376" max="15376" width="7.33203125" style="70" customWidth="1"/>
    <col min="15377" max="15615" width="8.83203125" style="70"/>
    <col min="15616" max="15616" width="5.33203125" style="70" customWidth="1"/>
    <col min="15617" max="15617" width="5.5" style="70" customWidth="1"/>
    <col min="15618" max="15618" width="40.83203125" style="70" customWidth="1"/>
    <col min="15619" max="15619" width="9.83203125" style="70" customWidth="1"/>
    <col min="15620" max="15620" width="13" style="70" customWidth="1"/>
    <col min="15621" max="15621" width="13.1640625" style="70" customWidth="1"/>
    <col min="15622" max="15622" width="12.33203125" style="70" customWidth="1"/>
    <col min="15623" max="15623" width="11.33203125" style="70" customWidth="1"/>
    <col min="15624" max="15624" width="11.83203125" style="70" customWidth="1"/>
    <col min="15625" max="15625" width="10.83203125" style="70" customWidth="1"/>
    <col min="15626" max="15626" width="13.1640625" style="70" customWidth="1"/>
    <col min="15627" max="15627" width="11.5" style="70" customWidth="1"/>
    <col min="15628" max="15629" width="12.33203125" style="70" customWidth="1"/>
    <col min="15630" max="15630" width="13.1640625" style="70" customWidth="1"/>
    <col min="15631" max="15631" width="18.5" style="70" customWidth="1"/>
    <col min="15632" max="15632" width="7.33203125" style="70" customWidth="1"/>
    <col min="15633" max="15871" width="8.83203125" style="70"/>
    <col min="15872" max="15872" width="5.33203125" style="70" customWidth="1"/>
    <col min="15873" max="15873" width="5.5" style="70" customWidth="1"/>
    <col min="15874" max="15874" width="40.83203125" style="70" customWidth="1"/>
    <col min="15875" max="15875" width="9.83203125" style="70" customWidth="1"/>
    <col min="15876" max="15876" width="13" style="70" customWidth="1"/>
    <col min="15877" max="15877" width="13.1640625" style="70" customWidth="1"/>
    <col min="15878" max="15878" width="12.33203125" style="70" customWidth="1"/>
    <col min="15879" max="15879" width="11.33203125" style="70" customWidth="1"/>
    <col min="15880" max="15880" width="11.83203125" style="70" customWidth="1"/>
    <col min="15881" max="15881" width="10.83203125" style="70" customWidth="1"/>
    <col min="15882" max="15882" width="13.1640625" style="70" customWidth="1"/>
    <col min="15883" max="15883" width="11.5" style="70" customWidth="1"/>
    <col min="15884" max="15885" width="12.33203125" style="70" customWidth="1"/>
    <col min="15886" max="15886" width="13.1640625" style="70" customWidth="1"/>
    <col min="15887" max="15887" width="18.5" style="70" customWidth="1"/>
    <col min="15888" max="15888" width="7.33203125" style="70" customWidth="1"/>
    <col min="15889" max="16127" width="8.83203125" style="70"/>
    <col min="16128" max="16128" width="5.33203125" style="70" customWidth="1"/>
    <col min="16129" max="16129" width="5.5" style="70" customWidth="1"/>
    <col min="16130" max="16130" width="40.83203125" style="70" customWidth="1"/>
    <col min="16131" max="16131" width="9.83203125" style="70" customWidth="1"/>
    <col min="16132" max="16132" width="13" style="70" customWidth="1"/>
    <col min="16133" max="16133" width="13.1640625" style="70" customWidth="1"/>
    <col min="16134" max="16134" width="12.33203125" style="70" customWidth="1"/>
    <col min="16135" max="16135" width="11.33203125" style="70" customWidth="1"/>
    <col min="16136" max="16136" width="11.83203125" style="70" customWidth="1"/>
    <col min="16137" max="16137" width="10.83203125" style="70" customWidth="1"/>
    <col min="16138" max="16138" width="13.1640625" style="70" customWidth="1"/>
    <col min="16139" max="16139" width="11.5" style="70" customWidth="1"/>
    <col min="16140" max="16141" width="12.33203125" style="70" customWidth="1"/>
    <col min="16142" max="16142" width="13.1640625" style="70" customWidth="1"/>
    <col min="16143" max="16143" width="18.5" style="70" customWidth="1"/>
    <col min="16144" max="16144" width="7.33203125" style="70" customWidth="1"/>
    <col min="16145" max="16384" width="8.83203125" style="70"/>
  </cols>
  <sheetData>
    <row r="1" spans="1:15" ht="13.5" x14ac:dyDescent="0.25">
      <c r="A1" s="1006" t="s">
        <v>83</v>
      </c>
      <c r="B1" s="1006" t="s">
        <v>84</v>
      </c>
      <c r="C1" s="1005" t="s">
        <v>115</v>
      </c>
      <c r="D1" s="1006" t="s">
        <v>189</v>
      </c>
      <c r="E1" s="1008" t="s">
        <v>122</v>
      </c>
      <c r="F1" s="1008"/>
      <c r="G1" s="1008"/>
      <c r="H1" s="1008"/>
      <c r="I1" s="1008"/>
      <c r="J1" s="1008"/>
      <c r="K1" s="1008"/>
      <c r="L1" s="1009" t="s">
        <v>174</v>
      </c>
      <c r="M1" s="1009"/>
      <c r="N1" s="1009"/>
      <c r="O1" s="1005" t="s">
        <v>11</v>
      </c>
    </row>
    <row r="2" spans="1:15" s="73" customFormat="1" ht="69" customHeight="1" x14ac:dyDescent="0.2">
      <c r="A2" s="1006"/>
      <c r="B2" s="1006"/>
      <c r="C2" s="1005"/>
      <c r="D2" s="1007"/>
      <c r="E2" s="71" t="s">
        <v>12</v>
      </c>
      <c r="F2" s="71" t="s">
        <v>13</v>
      </c>
      <c r="G2" s="266" t="s">
        <v>14</v>
      </c>
      <c r="H2" s="72" t="s">
        <v>170</v>
      </c>
      <c r="I2" s="266" t="s">
        <v>171</v>
      </c>
      <c r="J2" s="266" t="s">
        <v>172</v>
      </c>
      <c r="K2" s="266" t="s">
        <v>173</v>
      </c>
      <c r="L2" s="266" t="s">
        <v>123</v>
      </c>
      <c r="M2" s="266" t="s">
        <v>124</v>
      </c>
      <c r="N2" s="266" t="s">
        <v>126</v>
      </c>
      <c r="O2" s="1005"/>
    </row>
    <row r="3" spans="1:15" s="73" customFormat="1" ht="12.95" customHeight="1" x14ac:dyDescent="0.2">
      <c r="A3" s="74">
        <v>1</v>
      </c>
      <c r="B3" s="74"/>
      <c r="C3" s="184" t="s">
        <v>160</v>
      </c>
      <c r="D3" s="185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</row>
    <row r="4" spans="1:15" s="73" customFormat="1" ht="12.95" customHeight="1" x14ac:dyDescent="0.2">
      <c r="A4" s="75">
        <v>1</v>
      </c>
      <c r="B4" s="75">
        <v>1</v>
      </c>
      <c r="C4" s="187" t="s">
        <v>3</v>
      </c>
      <c r="D4" s="76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</row>
    <row r="5" spans="1:15" s="78" customFormat="1" ht="13.5" hidden="1" customHeight="1" x14ac:dyDescent="0.2">
      <c r="A5" s="77">
        <v>1</v>
      </c>
      <c r="B5" s="77">
        <v>12</v>
      </c>
      <c r="C5" s="189" t="s">
        <v>94</v>
      </c>
      <c r="D5" s="190"/>
      <c r="E5" s="191"/>
      <c r="F5" s="191"/>
      <c r="G5" s="192"/>
      <c r="H5" s="192"/>
      <c r="I5" s="192"/>
      <c r="J5" s="192"/>
      <c r="K5" s="192"/>
      <c r="L5" s="192"/>
      <c r="M5" s="192"/>
      <c r="N5" s="192"/>
      <c r="O5" s="192"/>
    </row>
    <row r="6" spans="1:15" s="78" customFormat="1" ht="24.95" hidden="1" customHeight="1" x14ac:dyDescent="0.2">
      <c r="A6" s="77"/>
      <c r="B6" s="77"/>
      <c r="C6" s="193" t="s">
        <v>190</v>
      </c>
      <c r="D6" s="194"/>
      <c r="E6" s="191"/>
      <c r="F6" s="191"/>
      <c r="G6" s="192"/>
      <c r="H6" s="192"/>
      <c r="I6" s="192"/>
      <c r="J6" s="192"/>
      <c r="K6" s="192"/>
      <c r="L6" s="192"/>
      <c r="M6" s="192"/>
      <c r="N6" s="192"/>
      <c r="O6" s="192"/>
    </row>
    <row r="7" spans="1:15" s="78" customFormat="1" ht="17.100000000000001" hidden="1" customHeight="1" x14ac:dyDescent="0.2">
      <c r="A7" s="75"/>
      <c r="B7" s="75"/>
      <c r="C7" s="195" t="s">
        <v>191</v>
      </c>
      <c r="D7" s="196" t="s">
        <v>192</v>
      </c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>
        <f>SUM(H7:N7)</f>
        <v>0</v>
      </c>
    </row>
    <row r="8" spans="1:15" s="78" customFormat="1" ht="13.5" hidden="1" customHeight="1" x14ac:dyDescent="0.2">
      <c r="A8" s="79"/>
      <c r="B8" s="79"/>
      <c r="C8" s="197" t="s">
        <v>193</v>
      </c>
      <c r="D8" s="198"/>
      <c r="E8" s="198">
        <f t="shared" ref="E8:K8" si="0">SUM(E5:E7)</f>
        <v>0</v>
      </c>
      <c r="F8" s="198">
        <f t="shared" si="0"/>
        <v>0</v>
      </c>
      <c r="G8" s="198">
        <f t="shared" si="0"/>
        <v>0</v>
      </c>
      <c r="H8" s="198">
        <f t="shared" si="0"/>
        <v>0</v>
      </c>
      <c r="I8" s="198">
        <f t="shared" si="0"/>
        <v>0</v>
      </c>
      <c r="J8" s="198">
        <f t="shared" si="0"/>
        <v>0</v>
      </c>
      <c r="K8" s="198">
        <f t="shared" si="0"/>
        <v>0</v>
      </c>
      <c r="L8" s="198"/>
      <c r="M8" s="198"/>
      <c r="N8" s="198">
        <f>SUM(N7:N7)</f>
        <v>0</v>
      </c>
      <c r="O8" s="198">
        <f>SUM(O7:O7)</f>
        <v>0</v>
      </c>
    </row>
    <row r="9" spans="1:15" s="78" customFormat="1" ht="13.5" customHeight="1" x14ac:dyDescent="0.2">
      <c r="A9" s="76">
        <v>1</v>
      </c>
      <c r="B9" s="76">
        <v>13</v>
      </c>
      <c r="C9" s="189" t="s">
        <v>95</v>
      </c>
      <c r="D9" s="196"/>
      <c r="E9" s="80"/>
      <c r="F9" s="199"/>
      <c r="G9" s="199"/>
      <c r="H9" s="199"/>
      <c r="I9" s="199"/>
      <c r="J9" s="199"/>
      <c r="K9" s="199"/>
      <c r="L9" s="199"/>
      <c r="M9" s="199"/>
      <c r="N9" s="199"/>
      <c r="O9" s="199"/>
    </row>
    <row r="10" spans="1:15" s="78" customFormat="1" ht="24.95" hidden="1" customHeight="1" x14ac:dyDescent="0.2">
      <c r="A10" s="76"/>
      <c r="B10" s="76"/>
      <c r="C10" s="520" t="s">
        <v>194</v>
      </c>
      <c r="D10" s="521" t="s">
        <v>82</v>
      </c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201"/>
    </row>
    <row r="11" spans="1:15" s="78" customFormat="1" ht="24.95" hidden="1" customHeight="1" x14ac:dyDescent="0.2">
      <c r="A11" s="76"/>
      <c r="B11" s="76"/>
      <c r="C11" s="520" t="s">
        <v>195</v>
      </c>
      <c r="D11" s="522">
        <v>131703</v>
      </c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>
        <f>SUM(E11:N11)</f>
        <v>0</v>
      </c>
    </row>
    <row r="12" spans="1:15" s="78" customFormat="1" ht="25.5" hidden="1" customHeight="1" x14ac:dyDescent="0.2">
      <c r="A12" s="76"/>
      <c r="B12" s="76"/>
      <c r="C12" s="523" t="s">
        <v>346</v>
      </c>
      <c r="D12" s="522"/>
      <c r="E12" s="267"/>
      <c r="F12" s="267"/>
      <c r="G12" s="267"/>
      <c r="H12" s="267"/>
      <c r="I12" s="192"/>
      <c r="J12" s="192"/>
      <c r="K12" s="192"/>
      <c r="L12" s="192"/>
      <c r="M12" s="192"/>
      <c r="N12" s="192"/>
      <c r="O12" s="192"/>
    </row>
    <row r="13" spans="1:15" s="78" customFormat="1" ht="24.95" hidden="1" customHeight="1" x14ac:dyDescent="0.2">
      <c r="A13" s="76"/>
      <c r="B13" s="76"/>
      <c r="C13" s="524" t="s">
        <v>853</v>
      </c>
      <c r="D13" s="522">
        <v>132949</v>
      </c>
      <c r="E13" s="192"/>
      <c r="F13" s="267"/>
      <c r="G13" s="267"/>
      <c r="H13" s="267"/>
      <c r="I13" s="192"/>
      <c r="J13" s="192"/>
      <c r="K13" s="192"/>
      <c r="L13" s="192"/>
      <c r="M13" s="192"/>
      <c r="N13" s="192"/>
      <c r="O13" s="192">
        <f t="shared" ref="O13:O17" si="1">SUM(E13:N13)</f>
        <v>0</v>
      </c>
    </row>
    <row r="14" spans="1:15" s="78" customFormat="1" ht="24.75" hidden="1" customHeight="1" x14ac:dyDescent="0.2">
      <c r="A14" s="76"/>
      <c r="B14" s="76"/>
      <c r="C14" s="525" t="s">
        <v>638</v>
      </c>
      <c r="D14" s="522"/>
      <c r="E14" s="192"/>
      <c r="F14" s="267"/>
      <c r="G14" s="267"/>
      <c r="H14" s="267"/>
      <c r="I14" s="192"/>
      <c r="J14" s="192"/>
      <c r="K14" s="192"/>
      <c r="L14" s="192"/>
      <c r="M14" s="192"/>
      <c r="N14" s="192"/>
      <c r="O14" s="192"/>
    </row>
    <row r="15" spans="1:15" s="78" customFormat="1" ht="27.6" hidden="1" customHeight="1" x14ac:dyDescent="0.2">
      <c r="A15" s="472"/>
      <c r="B15" s="472"/>
      <c r="C15" s="523" t="s">
        <v>639</v>
      </c>
      <c r="D15" s="522">
        <v>131508</v>
      </c>
      <c r="E15" s="473"/>
      <c r="F15" s="474"/>
      <c r="G15" s="474"/>
      <c r="H15" s="474"/>
      <c r="I15" s="473"/>
      <c r="J15" s="473"/>
      <c r="K15" s="473"/>
      <c r="L15" s="473"/>
      <c r="M15" s="473"/>
      <c r="N15" s="473"/>
      <c r="O15" s="192">
        <f t="shared" si="1"/>
        <v>0</v>
      </c>
    </row>
    <row r="16" spans="1:15" s="78" customFormat="1" ht="25.9" hidden="1" customHeight="1" x14ac:dyDescent="0.2">
      <c r="A16" s="472"/>
      <c r="B16" s="472"/>
      <c r="C16" s="523" t="s">
        <v>640</v>
      </c>
      <c r="D16" s="522">
        <v>131509</v>
      </c>
      <c r="E16" s="473"/>
      <c r="F16" s="474"/>
      <c r="G16" s="474"/>
      <c r="H16" s="474"/>
      <c r="I16" s="473"/>
      <c r="J16" s="473"/>
      <c r="K16" s="473"/>
      <c r="L16" s="473"/>
      <c r="M16" s="473"/>
      <c r="N16" s="473"/>
      <c r="O16" s="192">
        <f t="shared" si="1"/>
        <v>0</v>
      </c>
    </row>
    <row r="17" spans="1:15" s="78" customFormat="1" ht="25.9" hidden="1" customHeight="1" x14ac:dyDescent="0.2">
      <c r="A17" s="654"/>
      <c r="B17" s="654"/>
      <c r="C17" s="655" t="s">
        <v>1079</v>
      </c>
      <c r="D17" s="756">
        <v>131513</v>
      </c>
      <c r="E17" s="656"/>
      <c r="F17" s="657"/>
      <c r="G17" s="657"/>
      <c r="H17" s="657"/>
      <c r="I17" s="656"/>
      <c r="J17" s="656"/>
      <c r="K17" s="656"/>
      <c r="L17" s="656"/>
      <c r="M17" s="656"/>
      <c r="N17" s="656"/>
      <c r="O17" s="192">
        <f t="shared" si="1"/>
        <v>0</v>
      </c>
    </row>
    <row r="18" spans="1:15" s="78" customFormat="1" ht="25.9" hidden="1" customHeight="1" x14ac:dyDescent="0.2">
      <c r="A18" s="654"/>
      <c r="B18" s="654"/>
      <c r="C18" s="658" t="s">
        <v>317</v>
      </c>
      <c r="D18" s="659"/>
      <c r="E18" s="656"/>
      <c r="F18" s="657"/>
      <c r="G18" s="657"/>
      <c r="H18" s="657"/>
      <c r="I18" s="656"/>
      <c r="J18" s="656"/>
      <c r="K18" s="656"/>
      <c r="L18" s="656"/>
      <c r="M18" s="656"/>
      <c r="N18" s="656"/>
      <c r="O18" s="656"/>
    </row>
    <row r="19" spans="1:15" s="78" customFormat="1" ht="24.75" hidden="1" customHeight="1" x14ac:dyDescent="0.2">
      <c r="A19" s="654"/>
      <c r="B19" s="654"/>
      <c r="C19" s="655" t="s">
        <v>980</v>
      </c>
      <c r="D19" s="771">
        <v>132941</v>
      </c>
      <c r="E19" s="656"/>
      <c r="F19" s="656"/>
      <c r="G19" s="657"/>
      <c r="H19" s="657"/>
      <c r="I19" s="656"/>
      <c r="J19" s="656"/>
      <c r="K19" s="656"/>
      <c r="L19" s="656"/>
      <c r="M19" s="656"/>
      <c r="N19" s="656"/>
      <c r="O19" s="656">
        <f>SUM(E19:N19)</f>
        <v>0</v>
      </c>
    </row>
    <row r="20" spans="1:15" s="78" customFormat="1" ht="24.75" customHeight="1" x14ac:dyDescent="0.2">
      <c r="A20" s="795"/>
      <c r="B20" s="795"/>
      <c r="C20" s="798" t="s">
        <v>1172</v>
      </c>
      <c r="D20" s="851">
        <v>131721</v>
      </c>
      <c r="E20" s="796"/>
      <c r="F20" s="796"/>
      <c r="G20" s="797"/>
      <c r="H20" s="797"/>
      <c r="I20" s="796"/>
      <c r="J20" s="796">
        <v>3435</v>
      </c>
      <c r="K20" s="796"/>
      <c r="L20" s="796"/>
      <c r="M20" s="796"/>
      <c r="N20" s="796"/>
      <c r="O20" s="656">
        <f>SUM(E20:N20)</f>
        <v>3435</v>
      </c>
    </row>
    <row r="21" spans="1:15" s="78" customFormat="1" ht="18.75" customHeight="1" x14ac:dyDescent="0.2">
      <c r="A21" s="795"/>
      <c r="B21" s="795"/>
      <c r="C21" s="798" t="s">
        <v>1170</v>
      </c>
      <c r="D21" s="851">
        <v>131329</v>
      </c>
      <c r="E21" s="796"/>
      <c r="F21" s="796"/>
      <c r="G21" s="797"/>
      <c r="H21" s="797"/>
      <c r="I21" s="796"/>
      <c r="J21" s="796">
        <v>2500</v>
      </c>
      <c r="K21" s="796"/>
      <c r="L21" s="796"/>
      <c r="M21" s="796"/>
      <c r="N21" s="796"/>
      <c r="O21" s="656">
        <f t="shared" ref="O21:O22" si="2">SUM(E21:N21)</f>
        <v>2500</v>
      </c>
    </row>
    <row r="22" spans="1:15" s="78" customFormat="1" ht="17.25" customHeight="1" x14ac:dyDescent="0.2">
      <c r="A22" s="795"/>
      <c r="B22" s="795"/>
      <c r="C22" s="798" t="s">
        <v>1171</v>
      </c>
      <c r="D22" s="851">
        <v>131365</v>
      </c>
      <c r="E22" s="796">
        <v>3000</v>
      </c>
      <c r="F22" s="796"/>
      <c r="G22" s="797"/>
      <c r="H22" s="797"/>
      <c r="I22" s="796"/>
      <c r="J22" s="796"/>
      <c r="K22" s="796"/>
      <c r="L22" s="796"/>
      <c r="M22" s="796"/>
      <c r="N22" s="796"/>
      <c r="O22" s="656">
        <f t="shared" si="2"/>
        <v>3000</v>
      </c>
    </row>
    <row r="23" spans="1:15" s="78" customFormat="1" ht="30.6" hidden="1" customHeight="1" x14ac:dyDescent="0.2">
      <c r="A23" s="729"/>
      <c r="B23" s="729"/>
      <c r="C23" s="368" t="s">
        <v>382</v>
      </c>
      <c r="D23" s="770"/>
      <c r="E23" s="339"/>
      <c r="F23" s="339"/>
      <c r="G23" s="346"/>
      <c r="H23" s="346"/>
      <c r="I23" s="339"/>
      <c r="J23" s="339"/>
      <c r="K23" s="339"/>
      <c r="L23" s="339"/>
      <c r="M23" s="339"/>
      <c r="N23" s="339"/>
      <c r="O23" s="656"/>
    </row>
    <row r="24" spans="1:15" s="78" customFormat="1" ht="24.75" hidden="1" customHeight="1" x14ac:dyDescent="0.2">
      <c r="A24" s="729"/>
      <c r="B24" s="729"/>
      <c r="C24" s="546" t="s">
        <v>1064</v>
      </c>
      <c r="D24" s="770">
        <v>191801</v>
      </c>
      <c r="E24" s="339"/>
      <c r="F24" s="339"/>
      <c r="G24" s="346"/>
      <c r="H24" s="346"/>
      <c r="I24" s="339"/>
      <c r="J24" s="339"/>
      <c r="K24" s="339"/>
      <c r="L24" s="339"/>
      <c r="M24" s="339"/>
      <c r="N24" s="339"/>
      <c r="O24" s="656">
        <f t="shared" ref="O24" si="3">SUM(E24:N24)</f>
        <v>0</v>
      </c>
    </row>
    <row r="25" spans="1:15" s="78" customFormat="1" ht="14.45" hidden="1" customHeight="1" x14ac:dyDescent="0.2">
      <c r="A25" s="654"/>
      <c r="B25" s="654"/>
      <c r="C25" s="691" t="s">
        <v>1048</v>
      </c>
      <c r="D25" s="771"/>
      <c r="E25" s="656"/>
      <c r="F25" s="656"/>
      <c r="G25" s="657"/>
      <c r="H25" s="657"/>
      <c r="I25" s="656"/>
      <c r="J25" s="656"/>
      <c r="K25" s="656"/>
      <c r="L25" s="656"/>
      <c r="M25" s="656"/>
      <c r="N25" s="656"/>
      <c r="O25" s="656"/>
    </row>
    <row r="26" spans="1:15" s="78" customFormat="1" ht="14.45" customHeight="1" x14ac:dyDescent="0.2">
      <c r="A26" s="654"/>
      <c r="B26" s="654"/>
      <c r="C26" s="727" t="s">
        <v>1046</v>
      </c>
      <c r="D26" s="771">
        <v>121319</v>
      </c>
      <c r="E26" s="656"/>
      <c r="F26" s="656"/>
      <c r="G26" s="657"/>
      <c r="H26" s="657"/>
      <c r="I26" s="656"/>
      <c r="J26" s="656">
        <v>4380</v>
      </c>
      <c r="K26" s="656"/>
      <c r="L26" s="656"/>
      <c r="M26" s="656"/>
      <c r="N26" s="656"/>
      <c r="O26" s="656">
        <f t="shared" ref="O26:O28" si="4">SUM(E26:N26)</f>
        <v>4380</v>
      </c>
    </row>
    <row r="27" spans="1:15" s="78" customFormat="1" ht="28.5" hidden="1" customHeight="1" x14ac:dyDescent="0.2">
      <c r="A27" s="795"/>
      <c r="B27" s="795"/>
      <c r="C27" s="798" t="s">
        <v>1123</v>
      </c>
      <c r="D27" s="799"/>
      <c r="E27" s="796"/>
      <c r="F27" s="796"/>
      <c r="G27" s="797"/>
      <c r="H27" s="797"/>
      <c r="I27" s="796"/>
      <c r="J27" s="796"/>
      <c r="K27" s="796"/>
      <c r="L27" s="796"/>
      <c r="M27" s="796"/>
      <c r="N27" s="796"/>
      <c r="O27" s="656"/>
    </row>
    <row r="28" spans="1:15" s="78" customFormat="1" ht="28.5" hidden="1" customHeight="1" x14ac:dyDescent="0.2">
      <c r="A28" s="795"/>
      <c r="B28" s="795"/>
      <c r="C28" s="800" t="s">
        <v>1124</v>
      </c>
      <c r="D28" s="799">
        <v>131717</v>
      </c>
      <c r="E28" s="796"/>
      <c r="F28" s="796"/>
      <c r="G28" s="797"/>
      <c r="H28" s="797"/>
      <c r="I28" s="796"/>
      <c r="J28" s="796"/>
      <c r="K28" s="796"/>
      <c r="L28" s="796"/>
      <c r="M28" s="796"/>
      <c r="N28" s="796"/>
      <c r="O28" s="656">
        <f t="shared" si="4"/>
        <v>0</v>
      </c>
    </row>
    <row r="29" spans="1:15" s="78" customFormat="1" ht="13.5" customHeight="1" x14ac:dyDescent="0.2">
      <c r="A29" s="79"/>
      <c r="B29" s="79"/>
      <c r="C29" s="197" t="s">
        <v>196</v>
      </c>
      <c r="D29" s="202"/>
      <c r="E29" s="198">
        <f>SUM(E10:E28)</f>
        <v>3000</v>
      </c>
      <c r="F29" s="198">
        <f t="shared" ref="F29:O29" si="5">SUM(F10:F28)</f>
        <v>0</v>
      </c>
      <c r="G29" s="198">
        <f t="shared" si="5"/>
        <v>0</v>
      </c>
      <c r="H29" s="198">
        <f t="shared" si="5"/>
        <v>0</v>
      </c>
      <c r="I29" s="198">
        <f t="shared" si="5"/>
        <v>0</v>
      </c>
      <c r="J29" s="198">
        <f t="shared" si="5"/>
        <v>10315</v>
      </c>
      <c r="K29" s="198">
        <f t="shared" si="5"/>
        <v>0</v>
      </c>
      <c r="L29" s="198">
        <f t="shared" si="5"/>
        <v>0</v>
      </c>
      <c r="M29" s="198">
        <f t="shared" si="5"/>
        <v>0</v>
      </c>
      <c r="N29" s="198">
        <f t="shared" si="5"/>
        <v>0</v>
      </c>
      <c r="O29" s="198">
        <f t="shared" si="5"/>
        <v>13315</v>
      </c>
    </row>
    <row r="30" spans="1:15" s="78" customFormat="1" ht="13.5" hidden="1" customHeight="1" x14ac:dyDescent="0.2">
      <c r="A30" s="203">
        <v>1</v>
      </c>
      <c r="B30" s="203">
        <v>14</v>
      </c>
      <c r="C30" s="204" t="s">
        <v>162</v>
      </c>
      <c r="D30" s="203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</row>
    <row r="31" spans="1:15" s="78" customFormat="1" ht="24" hidden="1" customHeight="1" x14ac:dyDescent="0.2">
      <c r="A31" s="76"/>
      <c r="B31" s="76"/>
      <c r="C31" s="200" t="s">
        <v>197</v>
      </c>
      <c r="D31" s="203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</row>
    <row r="32" spans="1:15" s="78" customFormat="1" ht="23.25" hidden="1" customHeight="1" x14ac:dyDescent="0.2">
      <c r="A32" s="76"/>
      <c r="B32" s="76"/>
      <c r="C32" s="205" t="s">
        <v>198</v>
      </c>
      <c r="D32" s="77">
        <v>171967</v>
      </c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>
        <f>SUM(E32:N32)</f>
        <v>0</v>
      </c>
    </row>
    <row r="33" spans="1:16" s="78" customFormat="1" ht="15.75" hidden="1" customHeight="1" x14ac:dyDescent="0.2">
      <c r="A33" s="76"/>
      <c r="B33" s="76"/>
      <c r="C33" s="206" t="s">
        <v>854</v>
      </c>
      <c r="D33" s="207">
        <v>164903</v>
      </c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>
        <f>SUM(E33:N33)</f>
        <v>0</v>
      </c>
      <c r="P33" s="297"/>
    </row>
    <row r="34" spans="1:16" s="78" customFormat="1" ht="13.5" hidden="1" customHeight="1" x14ac:dyDescent="0.2">
      <c r="A34" s="85"/>
      <c r="B34" s="85"/>
      <c r="C34" s="197" t="s">
        <v>199</v>
      </c>
      <c r="D34" s="268"/>
      <c r="E34" s="210">
        <f t="shared" ref="E34:G34" si="6">SUM(E32:E33)</f>
        <v>0</v>
      </c>
      <c r="F34" s="210">
        <f t="shared" si="6"/>
        <v>0</v>
      </c>
      <c r="G34" s="210">
        <f t="shared" si="6"/>
        <v>0</v>
      </c>
      <c r="H34" s="210">
        <f>SUM(H32:H33)</f>
        <v>0</v>
      </c>
      <c r="I34" s="210">
        <f t="shared" ref="I34:O34" si="7">SUM(I32:I33)</f>
        <v>0</v>
      </c>
      <c r="J34" s="210">
        <f t="shared" si="7"/>
        <v>0</v>
      </c>
      <c r="K34" s="210">
        <f t="shared" si="7"/>
        <v>0</v>
      </c>
      <c r="L34" s="210">
        <f t="shared" si="7"/>
        <v>0</v>
      </c>
      <c r="M34" s="210">
        <f t="shared" si="7"/>
        <v>0</v>
      </c>
      <c r="N34" s="210">
        <f t="shared" si="7"/>
        <v>0</v>
      </c>
      <c r="O34" s="210">
        <f t="shared" si="7"/>
        <v>0</v>
      </c>
    </row>
    <row r="35" spans="1:16" s="73" customFormat="1" ht="13.5" customHeight="1" x14ac:dyDescent="0.2">
      <c r="A35" s="81">
        <v>1</v>
      </c>
      <c r="B35" s="81">
        <v>15</v>
      </c>
      <c r="C35" s="187" t="s">
        <v>118</v>
      </c>
      <c r="D35" s="86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</row>
    <row r="36" spans="1:16" s="73" customFormat="1" ht="24.95" hidden="1" customHeight="1" x14ac:dyDescent="0.2">
      <c r="A36" s="81"/>
      <c r="B36" s="81"/>
      <c r="C36" s="523" t="s">
        <v>200</v>
      </c>
      <c r="D36" s="530"/>
      <c r="E36" s="87"/>
      <c r="F36" s="180"/>
      <c r="G36" s="180"/>
      <c r="H36" s="180"/>
      <c r="I36" s="180"/>
      <c r="J36" s="180"/>
      <c r="K36" s="180"/>
      <c r="L36" s="180"/>
      <c r="M36" s="180"/>
      <c r="N36" s="180"/>
      <c r="O36" s="180"/>
    </row>
    <row r="37" spans="1:16" s="73" customFormat="1" ht="18.600000000000001" customHeight="1" x14ac:dyDescent="0.2">
      <c r="A37" s="81"/>
      <c r="B37" s="81"/>
      <c r="C37" s="443" t="s">
        <v>775</v>
      </c>
      <c r="D37" s="530">
        <v>151906</v>
      </c>
      <c r="E37" s="180"/>
      <c r="F37" s="180"/>
      <c r="G37" s="180"/>
      <c r="H37" s="180">
        <v>-3956</v>
      </c>
      <c r="I37" s="269"/>
      <c r="J37" s="269"/>
      <c r="K37" s="269"/>
      <c r="L37" s="269"/>
      <c r="M37" s="269"/>
      <c r="N37" s="180"/>
      <c r="O37" s="180">
        <f>SUM(E37:N37)</f>
        <v>-3956</v>
      </c>
    </row>
    <row r="38" spans="1:16" s="73" customFormat="1" ht="15" customHeight="1" x14ac:dyDescent="0.2">
      <c r="A38" s="81"/>
      <c r="B38" s="81"/>
      <c r="C38" s="531" t="s">
        <v>201</v>
      </c>
      <c r="D38" s="532" t="s">
        <v>202</v>
      </c>
      <c r="E38" s="180"/>
      <c r="F38" s="180"/>
      <c r="G38" s="180"/>
      <c r="H38" s="180">
        <v>-12541</v>
      </c>
      <c r="I38" s="269"/>
      <c r="J38" s="269"/>
      <c r="K38" s="269"/>
      <c r="L38" s="269"/>
      <c r="M38" s="269"/>
      <c r="N38" s="180"/>
      <c r="O38" s="180">
        <f>SUM(E38:N38)</f>
        <v>-12541</v>
      </c>
    </row>
    <row r="39" spans="1:16" s="73" customFormat="1" ht="15" customHeight="1" x14ac:dyDescent="0.2">
      <c r="A39" s="801"/>
      <c r="B39" s="801"/>
      <c r="C39" s="853" t="s">
        <v>1173</v>
      </c>
      <c r="D39" s="852" t="s">
        <v>1174</v>
      </c>
      <c r="E39" s="796"/>
      <c r="F39" s="796"/>
      <c r="G39" s="796"/>
      <c r="H39" s="796">
        <v>15874</v>
      </c>
      <c r="I39" s="797"/>
      <c r="J39" s="797"/>
      <c r="K39" s="797"/>
      <c r="L39" s="797"/>
      <c r="M39" s="797"/>
      <c r="N39" s="796"/>
      <c r="O39" s="180">
        <f>SUM(E39:N39)</f>
        <v>15874</v>
      </c>
    </row>
    <row r="40" spans="1:16" s="73" customFormat="1" ht="15" hidden="1" customHeight="1" x14ac:dyDescent="0.2">
      <c r="A40" s="340"/>
      <c r="B40" s="340"/>
      <c r="C40" s="442" t="s">
        <v>203</v>
      </c>
      <c r="D40" s="533"/>
      <c r="E40" s="339"/>
      <c r="F40" s="339"/>
      <c r="G40" s="339"/>
      <c r="H40" s="339"/>
      <c r="I40" s="346"/>
      <c r="J40" s="346"/>
      <c r="K40" s="346"/>
      <c r="L40" s="346"/>
      <c r="M40" s="346"/>
      <c r="N40" s="339"/>
      <c r="O40" s="180">
        <f>SUM(E40:N40)</f>
        <v>0</v>
      </c>
    </row>
    <row r="41" spans="1:16" s="73" customFormat="1" ht="15" hidden="1" customHeight="1" x14ac:dyDescent="0.2">
      <c r="A41" s="81"/>
      <c r="B41" s="81"/>
      <c r="C41" s="531" t="s">
        <v>204</v>
      </c>
      <c r="D41" s="532" t="s">
        <v>205</v>
      </c>
      <c r="E41" s="180"/>
      <c r="F41" s="180"/>
      <c r="G41" s="180"/>
      <c r="H41" s="180"/>
      <c r="I41" s="269"/>
      <c r="J41" s="269"/>
      <c r="K41" s="269"/>
      <c r="L41" s="269"/>
      <c r="M41" s="269"/>
      <c r="N41" s="180"/>
      <c r="O41" s="180"/>
    </row>
    <row r="42" spans="1:16" s="73" customFormat="1" ht="15" hidden="1" customHeight="1" x14ac:dyDescent="0.2">
      <c r="A42" s="81"/>
      <c r="B42" s="81"/>
      <c r="C42" s="534" t="s">
        <v>206</v>
      </c>
      <c r="D42" s="532" t="s">
        <v>207</v>
      </c>
      <c r="E42" s="180"/>
      <c r="F42" s="180"/>
      <c r="G42" s="180"/>
      <c r="H42" s="180"/>
      <c r="I42" s="269"/>
      <c r="J42" s="269"/>
      <c r="K42" s="269"/>
      <c r="L42" s="269"/>
      <c r="M42" s="269"/>
      <c r="N42" s="180"/>
      <c r="O42" s="180">
        <f>SUM(E42:N42)</f>
        <v>0</v>
      </c>
    </row>
    <row r="43" spans="1:16" s="73" customFormat="1" ht="15" hidden="1" customHeight="1" x14ac:dyDescent="0.2">
      <c r="A43" s="81"/>
      <c r="B43" s="81"/>
      <c r="C43" s="535" t="s">
        <v>438</v>
      </c>
      <c r="D43" s="527" t="s">
        <v>641</v>
      </c>
      <c r="E43" s="180"/>
      <c r="F43" s="180"/>
      <c r="G43" s="180"/>
      <c r="H43" s="180"/>
      <c r="I43" s="269"/>
      <c r="J43" s="269"/>
      <c r="K43" s="269"/>
      <c r="L43" s="269"/>
      <c r="M43" s="269"/>
      <c r="N43" s="180"/>
      <c r="O43" s="180">
        <f>SUM(E43:N43)</f>
        <v>0</v>
      </c>
    </row>
    <row r="44" spans="1:16" s="73" customFormat="1" ht="18" hidden="1" customHeight="1" x14ac:dyDescent="0.2">
      <c r="A44" s="81"/>
      <c r="B44" s="81"/>
      <c r="C44" s="536" t="s">
        <v>453</v>
      </c>
      <c r="D44" s="527"/>
      <c r="E44" s="180"/>
      <c r="F44" s="180"/>
      <c r="G44" s="180"/>
      <c r="H44" s="269"/>
      <c r="I44" s="269"/>
      <c r="J44" s="269"/>
      <c r="K44" s="269"/>
      <c r="L44" s="269"/>
      <c r="M44" s="180"/>
      <c r="N44" s="180"/>
      <c r="O44" s="180"/>
    </row>
    <row r="45" spans="1:16" s="73" customFormat="1" ht="18" hidden="1" customHeight="1" x14ac:dyDescent="0.2">
      <c r="A45" s="340"/>
      <c r="B45" s="340"/>
      <c r="C45" s="536" t="s">
        <v>776</v>
      </c>
      <c r="D45" s="527" t="s">
        <v>777</v>
      </c>
      <c r="E45" s="339"/>
      <c r="F45" s="339"/>
      <c r="G45" s="339"/>
      <c r="H45" s="346"/>
      <c r="I45" s="346"/>
      <c r="J45" s="346"/>
      <c r="K45" s="346"/>
      <c r="L45" s="346"/>
      <c r="M45" s="339"/>
      <c r="N45" s="339"/>
      <c r="O45" s="180">
        <f t="shared" ref="O45:O46" si="8">SUM(E45:N45)</f>
        <v>0</v>
      </c>
    </row>
    <row r="46" spans="1:16" s="73" customFormat="1" ht="36.75" hidden="1" customHeight="1" x14ac:dyDescent="0.2">
      <c r="A46" s="340"/>
      <c r="B46" s="340"/>
      <c r="C46" s="640" t="s">
        <v>966</v>
      </c>
      <c r="D46" s="639" t="s">
        <v>967</v>
      </c>
      <c r="E46" s="339"/>
      <c r="F46" s="339"/>
      <c r="G46" s="339"/>
      <c r="H46" s="346"/>
      <c r="I46" s="346"/>
      <c r="J46" s="346"/>
      <c r="K46" s="339"/>
      <c r="L46" s="346"/>
      <c r="M46" s="339"/>
      <c r="N46" s="339"/>
      <c r="O46" s="180">
        <f t="shared" si="8"/>
        <v>0</v>
      </c>
    </row>
    <row r="47" spans="1:16" s="73" customFormat="1" ht="18" hidden="1" customHeight="1" x14ac:dyDescent="0.2">
      <c r="A47" s="340"/>
      <c r="B47" s="340"/>
      <c r="C47" s="536" t="s">
        <v>208</v>
      </c>
      <c r="D47" s="527"/>
      <c r="E47" s="339"/>
      <c r="F47" s="339"/>
      <c r="G47" s="339"/>
      <c r="H47" s="346"/>
      <c r="I47" s="346"/>
      <c r="J47" s="346"/>
      <c r="K47" s="346"/>
      <c r="L47" s="346"/>
      <c r="M47" s="339"/>
      <c r="N47" s="339"/>
      <c r="O47" s="180"/>
    </row>
    <row r="48" spans="1:16" s="73" customFormat="1" ht="18" hidden="1" customHeight="1" x14ac:dyDescent="0.2">
      <c r="A48" s="340"/>
      <c r="B48" s="340"/>
      <c r="C48" s="536" t="s">
        <v>855</v>
      </c>
      <c r="D48" s="527" t="s">
        <v>991</v>
      </c>
      <c r="E48" s="339"/>
      <c r="F48" s="339"/>
      <c r="G48" s="339"/>
      <c r="H48" s="346"/>
      <c r="I48" s="346"/>
      <c r="J48" s="346"/>
      <c r="K48" s="346"/>
      <c r="L48" s="346"/>
      <c r="M48" s="339"/>
      <c r="N48" s="339"/>
      <c r="O48" s="180"/>
    </row>
    <row r="49" spans="1:15" s="73" customFormat="1" ht="18" customHeight="1" x14ac:dyDescent="0.2">
      <c r="A49" s="340"/>
      <c r="B49" s="340"/>
      <c r="C49" s="535" t="s">
        <v>440</v>
      </c>
      <c r="D49" s="527" t="s">
        <v>856</v>
      </c>
      <c r="E49" s="339"/>
      <c r="F49" s="339"/>
      <c r="G49" s="339"/>
      <c r="H49" s="339">
        <v>8705</v>
      </c>
      <c r="I49" s="346"/>
      <c r="J49" s="346"/>
      <c r="K49" s="346"/>
      <c r="L49" s="346"/>
      <c r="M49" s="339"/>
      <c r="N49" s="339"/>
      <c r="O49" s="180">
        <f t="shared" ref="O49:O59" si="9">SUM(E49:N49)</f>
        <v>8705</v>
      </c>
    </row>
    <row r="50" spans="1:15" s="73" customFormat="1" ht="18" customHeight="1" x14ac:dyDescent="0.2">
      <c r="A50" s="692"/>
      <c r="B50" s="692"/>
      <c r="C50" s="670" t="s">
        <v>995</v>
      </c>
      <c r="D50" s="693" t="s">
        <v>996</v>
      </c>
      <c r="E50" s="656"/>
      <c r="F50" s="656"/>
      <c r="G50" s="656"/>
      <c r="H50" s="656">
        <v>6566</v>
      </c>
      <c r="I50" s="657"/>
      <c r="J50" s="657"/>
      <c r="K50" s="657"/>
      <c r="L50" s="657"/>
      <c r="M50" s="656"/>
      <c r="N50" s="656"/>
      <c r="O50" s="180">
        <f t="shared" si="9"/>
        <v>6566</v>
      </c>
    </row>
    <row r="51" spans="1:15" s="73" customFormat="1" ht="18" hidden="1" customHeight="1" x14ac:dyDescent="0.2">
      <c r="A51" s="340"/>
      <c r="B51" s="340"/>
      <c r="C51" s="641" t="s">
        <v>804</v>
      </c>
      <c r="D51" s="641"/>
      <c r="E51" s="339"/>
      <c r="F51" s="339"/>
      <c r="G51" s="339"/>
      <c r="H51" s="346"/>
      <c r="I51" s="346"/>
      <c r="J51" s="346"/>
      <c r="K51" s="346"/>
      <c r="L51" s="346"/>
      <c r="M51" s="339"/>
      <c r="N51" s="339"/>
      <c r="O51" s="180"/>
    </row>
    <row r="52" spans="1:15" s="73" customFormat="1" ht="18" hidden="1" customHeight="1" x14ac:dyDescent="0.2">
      <c r="A52" s="340"/>
      <c r="B52" s="340"/>
      <c r="C52" s="642" t="s">
        <v>989</v>
      </c>
      <c r="D52" s="643" t="s">
        <v>968</v>
      </c>
      <c r="E52" s="339"/>
      <c r="F52" s="339"/>
      <c r="G52" s="339"/>
      <c r="H52" s="339"/>
      <c r="I52" s="339"/>
      <c r="J52" s="346"/>
      <c r="K52" s="346"/>
      <c r="L52" s="346"/>
      <c r="M52" s="339"/>
      <c r="N52" s="339"/>
      <c r="O52" s="180">
        <f t="shared" si="9"/>
        <v>0</v>
      </c>
    </row>
    <row r="53" spans="1:15" s="73" customFormat="1" ht="30" customHeight="1" x14ac:dyDescent="0.2">
      <c r="A53" s="692"/>
      <c r="B53" s="692"/>
      <c r="C53" s="708" t="s">
        <v>1043</v>
      </c>
      <c r="D53" s="726" t="s">
        <v>1042</v>
      </c>
      <c r="E53" s="656"/>
      <c r="F53" s="656"/>
      <c r="G53" s="656"/>
      <c r="H53" s="656"/>
      <c r="I53" s="656"/>
      <c r="J53" s="657"/>
      <c r="K53" s="656">
        <v>223</v>
      </c>
      <c r="L53" s="657"/>
      <c r="M53" s="656"/>
      <c r="N53" s="656"/>
      <c r="O53" s="180">
        <f t="shared" si="9"/>
        <v>223</v>
      </c>
    </row>
    <row r="54" spans="1:15" s="73" customFormat="1" ht="24" hidden="1" customHeight="1" x14ac:dyDescent="0.2">
      <c r="A54" s="526"/>
      <c r="B54" s="526"/>
      <c r="C54" s="443" t="s">
        <v>209</v>
      </c>
      <c r="D54" s="527"/>
      <c r="E54" s="528"/>
      <c r="F54" s="528"/>
      <c r="G54" s="528"/>
      <c r="H54" s="529"/>
      <c r="I54" s="529"/>
      <c r="J54" s="529"/>
      <c r="K54" s="529"/>
      <c r="L54" s="529"/>
      <c r="M54" s="528"/>
      <c r="N54" s="528"/>
      <c r="O54" s="180"/>
    </row>
    <row r="55" spans="1:15" s="73" customFormat="1" ht="29.45" hidden="1" customHeight="1" x14ac:dyDescent="0.2">
      <c r="A55" s="526"/>
      <c r="B55" s="526"/>
      <c r="C55" s="525" t="s">
        <v>210</v>
      </c>
      <c r="D55" s="537" t="s">
        <v>211</v>
      </c>
      <c r="E55" s="528"/>
      <c r="F55" s="528"/>
      <c r="G55" s="528"/>
      <c r="H55" s="529"/>
      <c r="I55" s="529"/>
      <c r="J55" s="529"/>
      <c r="K55" s="529"/>
      <c r="L55" s="529"/>
      <c r="M55" s="528"/>
      <c r="N55" s="528"/>
      <c r="O55" s="180">
        <f t="shared" si="9"/>
        <v>0</v>
      </c>
    </row>
    <row r="56" spans="1:15" s="73" customFormat="1" ht="16.5" hidden="1" customHeight="1" x14ac:dyDescent="0.2">
      <c r="A56" s="801"/>
      <c r="B56" s="803"/>
      <c r="C56" s="826" t="s">
        <v>449</v>
      </c>
      <c r="D56" s="825"/>
      <c r="E56" s="796"/>
      <c r="F56" s="796"/>
      <c r="G56" s="796"/>
      <c r="H56" s="797"/>
      <c r="I56" s="797"/>
      <c r="J56" s="797"/>
      <c r="K56" s="797"/>
      <c r="L56" s="797"/>
      <c r="M56" s="796"/>
      <c r="N56" s="796"/>
      <c r="O56" s="180"/>
    </row>
    <row r="57" spans="1:15" s="73" customFormat="1" ht="19.5" hidden="1" customHeight="1" x14ac:dyDescent="0.2">
      <c r="A57" s="801"/>
      <c r="B57" s="803"/>
      <c r="C57" s="826" t="s">
        <v>1142</v>
      </c>
      <c r="D57" s="825" t="s">
        <v>1143</v>
      </c>
      <c r="E57" s="796"/>
      <c r="F57" s="796"/>
      <c r="G57" s="796"/>
      <c r="H57" s="796"/>
      <c r="I57" s="797"/>
      <c r="J57" s="797"/>
      <c r="K57" s="797"/>
      <c r="L57" s="797"/>
      <c r="M57" s="796"/>
      <c r="N57" s="796"/>
      <c r="O57" s="180">
        <f t="shared" si="9"/>
        <v>0</v>
      </c>
    </row>
    <row r="58" spans="1:15" s="73" customFormat="1" ht="29.45" hidden="1" customHeight="1" x14ac:dyDescent="0.2">
      <c r="A58" s="801"/>
      <c r="B58" s="803"/>
      <c r="C58" s="1004" t="s">
        <v>1125</v>
      </c>
      <c r="D58" s="1004"/>
      <c r="E58" s="796"/>
      <c r="F58" s="796"/>
      <c r="G58" s="796"/>
      <c r="H58" s="797"/>
      <c r="I58" s="797"/>
      <c r="J58" s="797"/>
      <c r="K58" s="797"/>
      <c r="L58" s="797"/>
      <c r="M58" s="796"/>
      <c r="N58" s="796"/>
      <c r="O58" s="180"/>
    </row>
    <row r="59" spans="1:15" s="73" customFormat="1" ht="18.75" hidden="1" customHeight="1" x14ac:dyDescent="0.2">
      <c r="A59" s="801"/>
      <c r="B59" s="803"/>
      <c r="C59" s="804" t="s">
        <v>413</v>
      </c>
      <c r="D59" s="802">
        <v>151401</v>
      </c>
      <c r="E59" s="796"/>
      <c r="F59" s="796"/>
      <c r="G59" s="796"/>
      <c r="H59" s="796"/>
      <c r="I59" s="797"/>
      <c r="J59" s="797"/>
      <c r="K59" s="797"/>
      <c r="L59" s="797"/>
      <c r="M59" s="796"/>
      <c r="N59" s="796"/>
      <c r="O59" s="180">
        <f t="shared" si="9"/>
        <v>0</v>
      </c>
    </row>
    <row r="60" spans="1:15" s="73" customFormat="1" ht="12.95" customHeight="1" x14ac:dyDescent="0.2">
      <c r="A60" s="85"/>
      <c r="B60" s="85"/>
      <c r="C60" s="294" t="s">
        <v>212</v>
      </c>
      <c r="D60" s="85"/>
      <c r="E60" s="210">
        <f>SUM(E36:E59)</f>
        <v>0</v>
      </c>
      <c r="F60" s="210">
        <f t="shared" ref="F60:O60" si="10">SUM(F36:F59)</f>
        <v>0</v>
      </c>
      <c r="G60" s="210">
        <f t="shared" si="10"/>
        <v>0</v>
      </c>
      <c r="H60" s="210">
        <f t="shared" si="10"/>
        <v>14648</v>
      </c>
      <c r="I60" s="210">
        <f t="shared" si="10"/>
        <v>0</v>
      </c>
      <c r="J60" s="210">
        <f t="shared" si="10"/>
        <v>0</v>
      </c>
      <c r="K60" s="210">
        <f t="shared" si="10"/>
        <v>223</v>
      </c>
      <c r="L60" s="210">
        <f t="shared" si="10"/>
        <v>0</v>
      </c>
      <c r="M60" s="210">
        <f t="shared" si="10"/>
        <v>0</v>
      </c>
      <c r="N60" s="210">
        <f t="shared" si="10"/>
        <v>0</v>
      </c>
      <c r="O60" s="210">
        <f t="shared" si="10"/>
        <v>14871</v>
      </c>
    </row>
    <row r="61" spans="1:15" s="73" customFormat="1" ht="12.95" customHeight="1" x14ac:dyDescent="0.2">
      <c r="A61" s="81">
        <v>1</v>
      </c>
      <c r="B61" s="81" t="s">
        <v>80</v>
      </c>
      <c r="C61" s="187" t="s">
        <v>108</v>
      </c>
      <c r="D61" s="86"/>
      <c r="E61" s="180"/>
      <c r="F61" s="180"/>
      <c r="G61" s="180"/>
      <c r="H61" s="180"/>
      <c r="I61" s="180"/>
      <c r="J61" s="180"/>
      <c r="K61" s="180"/>
      <c r="L61" s="180"/>
      <c r="M61" s="180"/>
      <c r="N61" s="180"/>
      <c r="O61" s="180"/>
    </row>
    <row r="62" spans="1:15" s="73" customFormat="1" ht="26.45" hidden="1" customHeight="1" x14ac:dyDescent="0.2">
      <c r="A62" s="81"/>
      <c r="B62" s="81"/>
      <c r="C62" s="443" t="s">
        <v>213</v>
      </c>
      <c r="D62" s="530"/>
      <c r="E62" s="270"/>
      <c r="F62" s="180"/>
      <c r="G62" s="180"/>
      <c r="H62" s="180"/>
      <c r="I62" s="180"/>
      <c r="J62" s="180"/>
      <c r="K62" s="180"/>
      <c r="L62" s="180"/>
      <c r="M62" s="180"/>
      <c r="N62" s="180"/>
      <c r="O62" s="180"/>
    </row>
    <row r="63" spans="1:15" s="73" customFormat="1" ht="32.450000000000003" hidden="1" customHeight="1" x14ac:dyDescent="0.2">
      <c r="A63" s="81"/>
      <c r="B63" s="81"/>
      <c r="C63" s="525" t="s">
        <v>857</v>
      </c>
      <c r="D63" s="538">
        <v>161909</v>
      </c>
      <c r="E63" s="208"/>
      <c r="F63" s="208"/>
      <c r="G63" s="208"/>
      <c r="H63" s="208"/>
      <c r="I63" s="208"/>
      <c r="J63" s="208"/>
      <c r="K63" s="208"/>
      <c r="L63" s="208"/>
      <c r="M63" s="208"/>
      <c r="N63" s="208"/>
      <c r="O63" s="180">
        <f>SUM(E63:N63)</f>
        <v>0</v>
      </c>
    </row>
    <row r="64" spans="1:15" s="73" customFormat="1" ht="30.6" customHeight="1" x14ac:dyDescent="0.2">
      <c r="A64" s="81"/>
      <c r="B64" s="81"/>
      <c r="C64" s="525" t="s">
        <v>631</v>
      </c>
      <c r="D64" s="538">
        <v>164106</v>
      </c>
      <c r="E64" s="208"/>
      <c r="F64" s="208"/>
      <c r="G64" s="208"/>
      <c r="H64" s="208">
        <v>-1753</v>
      </c>
      <c r="I64" s="208"/>
      <c r="J64" s="208"/>
      <c r="K64" s="208"/>
      <c r="L64" s="208"/>
      <c r="M64" s="208"/>
      <c r="N64" s="208"/>
      <c r="O64" s="180">
        <f>SUM(E64:N64)</f>
        <v>-1753</v>
      </c>
    </row>
    <row r="65" spans="1:15" s="73" customFormat="1" ht="29.45" customHeight="1" x14ac:dyDescent="0.2">
      <c r="A65" s="81"/>
      <c r="B65" s="81"/>
      <c r="C65" s="525" t="s">
        <v>632</v>
      </c>
      <c r="D65" s="538">
        <v>164204</v>
      </c>
      <c r="E65" s="208"/>
      <c r="F65" s="208"/>
      <c r="G65" s="208"/>
      <c r="H65" s="208">
        <v>1753</v>
      </c>
      <c r="I65" s="208"/>
      <c r="J65" s="208"/>
      <c r="K65" s="208"/>
      <c r="L65" s="208"/>
      <c r="M65" s="208"/>
      <c r="N65" s="208"/>
      <c r="O65" s="180">
        <f>SUM(E65:N65)</f>
        <v>1753</v>
      </c>
    </row>
    <row r="66" spans="1:15" s="73" customFormat="1" ht="35.450000000000003" hidden="1" customHeight="1" x14ac:dyDescent="0.2">
      <c r="A66" s="81"/>
      <c r="B66" s="81"/>
      <c r="C66" s="444" t="s">
        <v>214</v>
      </c>
      <c r="D66" s="538">
        <v>164206</v>
      </c>
      <c r="E66" s="208"/>
      <c r="F66" s="208"/>
      <c r="G66" s="208"/>
      <c r="H66" s="208"/>
      <c r="I66" s="208"/>
      <c r="J66" s="208"/>
      <c r="K66" s="208"/>
      <c r="L66" s="208"/>
      <c r="M66" s="208"/>
      <c r="O66" s="180">
        <f>SUM(E66:N66)</f>
        <v>0</v>
      </c>
    </row>
    <row r="67" spans="1:15" s="73" customFormat="1" ht="31.15" hidden="1" customHeight="1" x14ac:dyDescent="0.2">
      <c r="A67" s="81"/>
      <c r="B67" s="81"/>
      <c r="C67" s="444" t="s">
        <v>718</v>
      </c>
      <c r="D67" s="538">
        <v>164109</v>
      </c>
      <c r="E67" s="208"/>
      <c r="F67" s="208"/>
      <c r="G67" s="208"/>
      <c r="H67" s="208"/>
      <c r="I67" s="208"/>
      <c r="J67" s="208"/>
      <c r="K67" s="208"/>
      <c r="L67" s="208"/>
      <c r="M67" s="208"/>
      <c r="N67" s="208"/>
      <c r="O67" s="180">
        <f t="shared" ref="O67:O68" si="11">SUM(E67:N67)</f>
        <v>0</v>
      </c>
    </row>
    <row r="68" spans="1:15" s="73" customFormat="1" ht="36" hidden="1" customHeight="1" x14ac:dyDescent="0.2">
      <c r="A68" s="289"/>
      <c r="B68" s="289"/>
      <c r="C68" s="444" t="s">
        <v>724</v>
      </c>
      <c r="D68" s="538">
        <v>164207</v>
      </c>
      <c r="E68" s="290"/>
      <c r="F68" s="290"/>
      <c r="G68" s="290"/>
      <c r="H68" s="290"/>
      <c r="I68" s="290"/>
      <c r="J68" s="290"/>
      <c r="K68" s="290"/>
      <c r="L68" s="290"/>
      <c r="M68" s="290"/>
      <c r="N68" s="290"/>
      <c r="O68" s="180">
        <f t="shared" si="11"/>
        <v>0</v>
      </c>
    </row>
    <row r="69" spans="1:15" s="73" customFormat="1" ht="29.45" hidden="1" customHeight="1" x14ac:dyDescent="0.2">
      <c r="A69" s="289"/>
      <c r="B69" s="289"/>
      <c r="C69" s="443" t="s">
        <v>215</v>
      </c>
      <c r="D69" s="539"/>
      <c r="E69" s="290"/>
      <c r="F69" s="290"/>
      <c r="G69" s="290"/>
      <c r="H69" s="290"/>
      <c r="I69" s="290"/>
      <c r="J69" s="290"/>
      <c r="K69" s="290"/>
      <c r="L69" s="290"/>
      <c r="M69" s="290"/>
      <c r="N69" s="290"/>
      <c r="O69" s="180"/>
    </row>
    <row r="70" spans="1:15" s="73" customFormat="1" ht="75" hidden="1" customHeight="1" x14ac:dyDescent="0.2">
      <c r="A70" s="81"/>
      <c r="B70" s="81"/>
      <c r="C70" s="540" t="s">
        <v>216</v>
      </c>
      <c r="D70" s="337">
        <v>163607</v>
      </c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180"/>
    </row>
    <row r="71" spans="1:15" s="73" customFormat="1" ht="28.15" hidden="1" customHeight="1" x14ac:dyDescent="0.2">
      <c r="A71" s="81"/>
      <c r="B71" s="81"/>
      <c r="C71" s="424" t="s">
        <v>699</v>
      </c>
      <c r="D71" s="343">
        <v>163625</v>
      </c>
      <c r="E71" s="208"/>
      <c r="F71" s="208"/>
      <c r="G71" s="208"/>
      <c r="H71" s="208"/>
      <c r="I71" s="208"/>
      <c r="J71" s="208"/>
      <c r="K71" s="208"/>
      <c r="L71" s="208"/>
      <c r="M71" s="208"/>
      <c r="N71" s="208"/>
      <c r="O71" s="180">
        <f t="shared" ref="O71:O100" si="12">SUM(E71:N71)</f>
        <v>0</v>
      </c>
    </row>
    <row r="72" spans="1:15" s="73" customFormat="1" ht="36.75" hidden="1" customHeight="1" x14ac:dyDescent="0.2">
      <c r="A72" s="81"/>
      <c r="B72" s="81"/>
      <c r="C72" s="440" t="s">
        <v>217</v>
      </c>
      <c r="D72" s="343">
        <v>163626</v>
      </c>
      <c r="E72" s="208"/>
      <c r="F72" s="208"/>
      <c r="G72" s="208"/>
      <c r="H72" s="208"/>
      <c r="I72" s="208"/>
      <c r="J72" s="208"/>
      <c r="K72" s="208"/>
      <c r="L72" s="208"/>
      <c r="M72" s="208"/>
      <c r="N72" s="208"/>
      <c r="O72" s="180">
        <f t="shared" si="12"/>
        <v>0</v>
      </c>
    </row>
    <row r="73" spans="1:15" s="73" customFormat="1" ht="19.899999999999999" hidden="1" customHeight="1" x14ac:dyDescent="0.2">
      <c r="A73" s="81"/>
      <c r="B73" s="81"/>
      <c r="C73" s="541" t="s">
        <v>778</v>
      </c>
      <c r="D73" s="342">
        <v>163658</v>
      </c>
      <c r="E73" s="208"/>
      <c r="F73" s="208"/>
      <c r="G73" s="208"/>
      <c r="H73" s="208"/>
      <c r="I73" s="208"/>
      <c r="J73" s="208"/>
      <c r="K73" s="208"/>
      <c r="L73" s="208"/>
      <c r="M73" s="208"/>
      <c r="N73" s="208"/>
      <c r="O73" s="180">
        <f t="shared" si="12"/>
        <v>0</v>
      </c>
    </row>
    <row r="74" spans="1:15" s="73" customFormat="1" ht="30" hidden="1" customHeight="1" x14ac:dyDescent="0.2">
      <c r="A74" s="81"/>
      <c r="B74" s="81"/>
      <c r="C74" s="542" t="s">
        <v>741</v>
      </c>
      <c r="D74" s="342">
        <v>163662</v>
      </c>
      <c r="E74" s="208"/>
      <c r="F74" s="208"/>
      <c r="G74" s="208"/>
      <c r="H74" s="208"/>
      <c r="I74" s="208"/>
      <c r="J74" s="208"/>
      <c r="K74" s="208"/>
      <c r="L74" s="208"/>
      <c r="M74" s="208"/>
      <c r="N74" s="208"/>
      <c r="O74" s="180">
        <f t="shared" si="12"/>
        <v>0</v>
      </c>
    </row>
    <row r="75" spans="1:15" s="73" customFormat="1" ht="31.9" customHeight="1" x14ac:dyDescent="0.2">
      <c r="A75" s="81"/>
      <c r="B75" s="81"/>
      <c r="C75" s="855" t="s">
        <v>1175</v>
      </c>
      <c r="D75" s="543">
        <v>163679</v>
      </c>
      <c r="E75" s="208">
        <v>-19235</v>
      </c>
      <c r="F75" s="208">
        <v>19235</v>
      </c>
      <c r="G75" s="208"/>
      <c r="H75" s="208"/>
      <c r="I75" s="208"/>
      <c r="J75" s="208"/>
      <c r="K75" s="208"/>
      <c r="L75" s="208"/>
      <c r="M75" s="208"/>
      <c r="N75" s="208"/>
      <c r="O75" s="180">
        <f t="shared" si="12"/>
        <v>0</v>
      </c>
    </row>
    <row r="76" spans="1:15" s="73" customFormat="1" ht="29.45" hidden="1" customHeight="1" x14ac:dyDescent="0.2">
      <c r="A76" s="81"/>
      <c r="B76" s="81"/>
      <c r="C76" s="368" t="s">
        <v>859</v>
      </c>
      <c r="D76" s="543">
        <v>163680</v>
      </c>
      <c r="E76" s="208"/>
      <c r="F76" s="208"/>
      <c r="G76" s="208"/>
      <c r="H76" s="208"/>
      <c r="I76" s="208"/>
      <c r="J76" s="208"/>
      <c r="K76" s="208"/>
      <c r="L76" s="208"/>
      <c r="M76" s="208"/>
      <c r="N76" s="208"/>
      <c r="O76" s="180">
        <f t="shared" si="12"/>
        <v>0</v>
      </c>
    </row>
    <row r="77" spans="1:15" s="73" customFormat="1" ht="29.45" hidden="1" customHeight="1" x14ac:dyDescent="0.2">
      <c r="A77" s="340"/>
      <c r="B77" s="340"/>
      <c r="C77" s="368" t="s">
        <v>860</v>
      </c>
      <c r="D77" s="543">
        <v>163681</v>
      </c>
      <c r="E77" s="338"/>
      <c r="F77" s="338"/>
      <c r="G77" s="338"/>
      <c r="H77" s="338"/>
      <c r="I77" s="338"/>
      <c r="J77" s="338"/>
      <c r="K77" s="338"/>
      <c r="L77" s="338"/>
      <c r="M77" s="338"/>
      <c r="N77" s="338"/>
      <c r="O77" s="180">
        <f t="shared" si="12"/>
        <v>0</v>
      </c>
    </row>
    <row r="78" spans="1:15" s="73" customFormat="1" ht="42" hidden="1" customHeight="1" x14ac:dyDescent="0.2">
      <c r="A78" s="81"/>
      <c r="B78" s="81"/>
      <c r="C78" s="368" t="s">
        <v>861</v>
      </c>
      <c r="D78" s="543">
        <v>163682</v>
      </c>
      <c r="E78" s="208"/>
      <c r="F78" s="208"/>
      <c r="G78" s="208"/>
      <c r="H78" s="208"/>
      <c r="I78" s="208"/>
      <c r="J78" s="208"/>
      <c r="K78" s="208"/>
      <c r="L78" s="208"/>
      <c r="M78" s="208"/>
      <c r="N78" s="208"/>
      <c r="O78" s="180">
        <f t="shared" si="12"/>
        <v>0</v>
      </c>
    </row>
    <row r="79" spans="1:15" s="73" customFormat="1" ht="36" hidden="1" customHeight="1" x14ac:dyDescent="0.2">
      <c r="A79" s="340"/>
      <c r="B79" s="340"/>
      <c r="C79" s="645" t="s">
        <v>969</v>
      </c>
      <c r="D79" s="644">
        <v>163666</v>
      </c>
      <c r="E79" s="338"/>
      <c r="F79" s="338"/>
      <c r="G79" s="338"/>
      <c r="H79" s="338"/>
      <c r="I79" s="338"/>
      <c r="J79" s="338"/>
      <c r="K79" s="338"/>
      <c r="L79" s="338"/>
      <c r="M79" s="338"/>
      <c r="N79" s="338"/>
      <c r="O79" s="180">
        <f t="shared" si="12"/>
        <v>0</v>
      </c>
    </row>
    <row r="80" spans="1:15" s="73" customFormat="1" ht="31.9" hidden="1" customHeight="1" x14ac:dyDescent="0.2">
      <c r="A80" s="692"/>
      <c r="B80" s="692"/>
      <c r="C80" s="696" t="s">
        <v>1084</v>
      </c>
      <c r="D80" s="695">
        <v>163671</v>
      </c>
      <c r="E80" s="694"/>
      <c r="F80" s="694"/>
      <c r="G80" s="694"/>
      <c r="H80" s="694"/>
      <c r="I80" s="694"/>
      <c r="J80" s="694"/>
      <c r="K80" s="694"/>
      <c r="L80" s="694"/>
      <c r="M80" s="694"/>
      <c r="N80" s="694"/>
      <c r="O80" s="180">
        <f t="shared" si="12"/>
        <v>0</v>
      </c>
    </row>
    <row r="81" spans="1:15" s="73" customFormat="1" ht="42.75" hidden="1" customHeight="1" x14ac:dyDescent="0.2">
      <c r="A81" s="692"/>
      <c r="B81" s="692"/>
      <c r="C81" s="774" t="s">
        <v>1082</v>
      </c>
      <c r="D81" s="695">
        <v>163672</v>
      </c>
      <c r="E81" s="694"/>
      <c r="F81" s="694"/>
      <c r="G81" s="694"/>
      <c r="H81" s="694"/>
      <c r="I81" s="694"/>
      <c r="J81" s="694"/>
      <c r="K81" s="694"/>
      <c r="L81" s="694"/>
      <c r="M81" s="694"/>
      <c r="N81" s="694"/>
      <c r="O81" s="180">
        <f t="shared" si="12"/>
        <v>0</v>
      </c>
    </row>
    <row r="82" spans="1:15" s="73" customFormat="1" ht="45.75" customHeight="1" x14ac:dyDescent="0.2">
      <c r="A82" s="692"/>
      <c r="B82" s="692"/>
      <c r="C82" s="774" t="s">
        <v>1083</v>
      </c>
      <c r="D82" s="695">
        <v>163665</v>
      </c>
      <c r="E82" s="694"/>
      <c r="F82" s="694"/>
      <c r="G82" s="694"/>
      <c r="H82" s="694">
        <v>2145</v>
      </c>
      <c r="I82" s="694"/>
      <c r="J82" s="694"/>
      <c r="K82" s="694"/>
      <c r="L82" s="694"/>
      <c r="M82" s="694"/>
      <c r="N82" s="694"/>
      <c r="O82" s="180">
        <f t="shared" si="12"/>
        <v>2145</v>
      </c>
    </row>
    <row r="83" spans="1:15" s="73" customFormat="1" ht="32.25" hidden="1" customHeight="1" x14ac:dyDescent="0.2">
      <c r="A83" s="692"/>
      <c r="B83" s="692"/>
      <c r="C83" s="774" t="s">
        <v>1085</v>
      </c>
      <c r="D83" s="695">
        <v>163685</v>
      </c>
      <c r="E83" s="694"/>
      <c r="F83" s="694"/>
      <c r="G83" s="694"/>
      <c r="H83" s="694"/>
      <c r="I83" s="694"/>
      <c r="J83" s="694"/>
      <c r="K83" s="694"/>
      <c r="L83" s="694"/>
      <c r="M83" s="694"/>
      <c r="N83" s="694"/>
      <c r="O83" s="180">
        <f t="shared" si="12"/>
        <v>0</v>
      </c>
    </row>
    <row r="84" spans="1:15" s="73" customFormat="1" ht="32.25" hidden="1" customHeight="1" x14ac:dyDescent="0.2">
      <c r="A84" s="668"/>
      <c r="B84" s="668"/>
      <c r="C84" s="774" t="s">
        <v>1107</v>
      </c>
      <c r="D84" s="775">
        <v>163684</v>
      </c>
      <c r="E84" s="776"/>
      <c r="F84" s="776"/>
      <c r="G84" s="694"/>
      <c r="H84" s="694"/>
      <c r="I84" s="694"/>
      <c r="J84" s="694"/>
      <c r="K84" s="694"/>
      <c r="L84" s="694"/>
      <c r="M84" s="694"/>
      <c r="N84" s="694"/>
      <c r="O84" s="180">
        <f t="shared" si="12"/>
        <v>0</v>
      </c>
    </row>
    <row r="85" spans="1:15" s="73" customFormat="1" ht="32.25" hidden="1" customHeight="1" x14ac:dyDescent="0.2">
      <c r="A85" s="772"/>
      <c r="B85" s="772"/>
      <c r="C85" s="806" t="s">
        <v>1126</v>
      </c>
      <c r="D85" s="775">
        <v>163686</v>
      </c>
      <c r="E85" s="776"/>
      <c r="F85" s="776"/>
      <c r="G85" s="805"/>
      <c r="H85" s="805"/>
      <c r="I85" s="805"/>
      <c r="J85" s="805"/>
      <c r="K85" s="805"/>
      <c r="L85" s="805"/>
      <c r="M85" s="805"/>
      <c r="N85" s="805"/>
      <c r="O85" s="180">
        <f t="shared" si="12"/>
        <v>0</v>
      </c>
    </row>
    <row r="86" spans="1:15" s="73" customFormat="1" ht="32.25" customHeight="1" x14ac:dyDescent="0.2">
      <c r="A86" s="772"/>
      <c r="B86" s="772"/>
      <c r="C86" s="858" t="s">
        <v>1176</v>
      </c>
      <c r="D86" s="857">
        <v>163673</v>
      </c>
      <c r="E86" s="805">
        <v>13681</v>
      </c>
      <c r="F86" s="805">
        <v>166319</v>
      </c>
      <c r="G86" s="805"/>
      <c r="H86" s="805"/>
      <c r="I86" s="805"/>
      <c r="J86" s="805"/>
      <c r="K86" s="805"/>
      <c r="L86" s="805"/>
      <c r="M86" s="805"/>
      <c r="N86" s="805"/>
      <c r="O86" s="180">
        <f t="shared" si="12"/>
        <v>180000</v>
      </c>
    </row>
    <row r="87" spans="1:15" s="73" customFormat="1" ht="32.25" customHeight="1" x14ac:dyDescent="0.2">
      <c r="A87" s="772"/>
      <c r="B87" s="772"/>
      <c r="C87" s="806" t="s">
        <v>1177</v>
      </c>
      <c r="D87" s="857">
        <v>163687</v>
      </c>
      <c r="E87" s="776">
        <v>8584</v>
      </c>
      <c r="F87" s="776">
        <v>191416</v>
      </c>
      <c r="G87" s="805"/>
      <c r="H87" s="805"/>
      <c r="I87" s="805"/>
      <c r="J87" s="805"/>
      <c r="K87" s="805"/>
      <c r="L87" s="805"/>
      <c r="M87" s="805"/>
      <c r="N87" s="805"/>
      <c r="O87" s="180">
        <f t="shared" si="12"/>
        <v>200000</v>
      </c>
    </row>
    <row r="88" spans="1:15" s="73" customFormat="1" ht="51" customHeight="1" x14ac:dyDescent="0.2">
      <c r="A88" s="772"/>
      <c r="B88" s="772"/>
      <c r="C88" s="823" t="s">
        <v>1178</v>
      </c>
      <c r="D88" s="857">
        <v>163678</v>
      </c>
      <c r="E88" s="776">
        <v>66518</v>
      </c>
      <c r="F88" s="776">
        <v>14299</v>
      </c>
      <c r="G88" s="805"/>
      <c r="H88" s="805"/>
      <c r="I88" s="805"/>
      <c r="J88" s="805"/>
      <c r="K88" s="805"/>
      <c r="L88" s="805"/>
      <c r="M88" s="805"/>
      <c r="N88" s="805"/>
      <c r="O88" s="180">
        <f t="shared" si="12"/>
        <v>80817</v>
      </c>
    </row>
    <row r="89" spans="1:15" s="73" customFormat="1" ht="40.15" customHeight="1" x14ac:dyDescent="0.2">
      <c r="A89" s="772"/>
      <c r="B89" s="772"/>
      <c r="C89" s="856" t="s">
        <v>218</v>
      </c>
      <c r="D89" s="857">
        <v>163621</v>
      </c>
      <c r="E89" s="773"/>
      <c r="F89" s="773"/>
      <c r="G89" s="208"/>
      <c r="H89" s="208">
        <v>12864</v>
      </c>
      <c r="I89" s="208"/>
      <c r="J89" s="208"/>
      <c r="K89" s="208"/>
      <c r="L89" s="208"/>
      <c r="M89" s="208"/>
      <c r="N89" s="208"/>
      <c r="O89" s="180">
        <f t="shared" si="12"/>
        <v>12864</v>
      </c>
    </row>
    <row r="90" spans="1:15" s="73" customFormat="1" ht="27.6" hidden="1" customHeight="1" x14ac:dyDescent="0.2">
      <c r="A90" s="340"/>
      <c r="B90" s="340"/>
      <c r="C90" s="440" t="s">
        <v>219</v>
      </c>
      <c r="D90" s="343">
        <v>163702</v>
      </c>
      <c r="E90" s="338"/>
      <c r="F90" s="338"/>
      <c r="G90" s="338"/>
      <c r="H90" s="338"/>
      <c r="I90" s="338"/>
      <c r="J90" s="338"/>
      <c r="K90" s="338"/>
      <c r="L90" s="338"/>
      <c r="M90" s="338"/>
      <c r="N90" s="338"/>
      <c r="O90" s="180">
        <f t="shared" si="12"/>
        <v>0</v>
      </c>
    </row>
    <row r="91" spans="1:15" s="73" customFormat="1" ht="36" hidden="1" customHeight="1" x14ac:dyDescent="0.2">
      <c r="A91" s="81"/>
      <c r="B91" s="81"/>
      <c r="C91" s="441" t="s">
        <v>716</v>
      </c>
      <c r="D91" s="343">
        <v>163650</v>
      </c>
      <c r="E91" s="208"/>
      <c r="F91" s="208"/>
      <c r="G91" s="208"/>
      <c r="H91" s="208"/>
      <c r="I91" s="208"/>
      <c r="J91" s="208"/>
      <c r="K91" s="208"/>
      <c r="L91" s="208"/>
      <c r="M91" s="208"/>
      <c r="N91" s="208"/>
      <c r="O91" s="180">
        <f t="shared" si="12"/>
        <v>0</v>
      </c>
    </row>
    <row r="92" spans="1:15" s="73" customFormat="1" ht="36" hidden="1" customHeight="1" x14ac:dyDescent="0.2">
      <c r="A92" s="692"/>
      <c r="B92" s="692"/>
      <c r="C92" s="397" t="s">
        <v>1121</v>
      </c>
      <c r="D92" s="695">
        <v>164959</v>
      </c>
      <c r="E92" s="694"/>
      <c r="F92" s="694"/>
      <c r="G92" s="694"/>
      <c r="H92" s="694"/>
      <c r="I92" s="694"/>
      <c r="J92" s="694"/>
      <c r="K92" s="694"/>
      <c r="L92" s="694"/>
      <c r="M92" s="694"/>
      <c r="N92" s="694"/>
      <c r="O92" s="180">
        <f t="shared" si="12"/>
        <v>0</v>
      </c>
    </row>
    <row r="93" spans="1:15" s="73" customFormat="1" ht="36" hidden="1" customHeight="1" x14ac:dyDescent="0.2">
      <c r="A93" s="692"/>
      <c r="B93" s="692"/>
      <c r="C93" s="655" t="s">
        <v>1122</v>
      </c>
      <c r="D93" s="695">
        <v>164958</v>
      </c>
      <c r="E93" s="694"/>
      <c r="F93" s="694"/>
      <c r="G93" s="694"/>
      <c r="H93" s="694"/>
      <c r="I93" s="694"/>
      <c r="J93" s="694"/>
      <c r="K93" s="694"/>
      <c r="L93" s="694"/>
      <c r="M93" s="694"/>
      <c r="N93" s="694"/>
      <c r="O93" s="180">
        <f t="shared" si="12"/>
        <v>0</v>
      </c>
    </row>
    <row r="94" spans="1:15" s="73" customFormat="1" ht="52.5" hidden="1" customHeight="1" x14ac:dyDescent="0.2">
      <c r="A94" s="81"/>
      <c r="B94" s="81"/>
      <c r="C94" s="440" t="s">
        <v>742</v>
      </c>
      <c r="D94" s="344">
        <v>163654</v>
      </c>
      <c r="E94" s="208"/>
      <c r="F94" s="208"/>
      <c r="G94" s="208"/>
      <c r="H94" s="208"/>
      <c r="I94" s="208"/>
      <c r="J94" s="208"/>
      <c r="K94" s="208"/>
      <c r="L94" s="208"/>
      <c r="M94" s="208"/>
      <c r="N94" s="208"/>
      <c r="O94" s="180">
        <f t="shared" si="12"/>
        <v>0</v>
      </c>
    </row>
    <row r="95" spans="1:15" s="73" customFormat="1" ht="51" hidden="1" customHeight="1" x14ac:dyDescent="0.2">
      <c r="A95" s="81"/>
      <c r="B95" s="81"/>
      <c r="C95" s="440" t="s">
        <v>743</v>
      </c>
      <c r="D95" s="343">
        <v>163661</v>
      </c>
      <c r="E95" s="208"/>
      <c r="F95" s="208"/>
      <c r="G95" s="208"/>
      <c r="H95" s="208"/>
      <c r="I95" s="208"/>
      <c r="J95" s="208"/>
      <c r="K95" s="208"/>
      <c r="L95" s="208"/>
      <c r="M95" s="208"/>
      <c r="N95" s="208"/>
      <c r="O95" s="180">
        <f t="shared" si="12"/>
        <v>0</v>
      </c>
    </row>
    <row r="96" spans="1:15" s="73" customFormat="1" ht="49.5" hidden="1" customHeight="1" x14ac:dyDescent="0.2">
      <c r="A96" s="81"/>
      <c r="B96" s="81"/>
      <c r="C96" s="440" t="s">
        <v>862</v>
      </c>
      <c r="D96" s="343">
        <v>163683</v>
      </c>
      <c r="E96" s="208"/>
      <c r="F96" s="208"/>
      <c r="G96" s="208"/>
      <c r="H96" s="208"/>
      <c r="I96" s="208"/>
      <c r="J96" s="208"/>
      <c r="K96" s="208"/>
      <c r="L96" s="208"/>
      <c r="M96" s="208"/>
      <c r="N96" s="208"/>
      <c r="O96" s="180">
        <f t="shared" si="12"/>
        <v>0</v>
      </c>
    </row>
    <row r="97" spans="1:15" s="73" customFormat="1" ht="29.45" hidden="1" customHeight="1" x14ac:dyDescent="0.2">
      <c r="A97" s="81"/>
      <c r="B97" s="81"/>
      <c r="C97" s="439" t="s">
        <v>740</v>
      </c>
      <c r="D97" s="770">
        <v>132937</v>
      </c>
      <c r="E97" s="208"/>
      <c r="F97" s="208"/>
      <c r="G97" s="208"/>
      <c r="H97" s="208"/>
      <c r="I97" s="208"/>
      <c r="J97" s="208"/>
      <c r="K97" s="208"/>
      <c r="L97" s="208"/>
      <c r="M97" s="208"/>
      <c r="N97" s="208"/>
      <c r="O97" s="180">
        <f t="shared" si="12"/>
        <v>0</v>
      </c>
    </row>
    <row r="98" spans="1:15" s="73" customFormat="1" ht="18" hidden="1" customHeight="1" x14ac:dyDescent="0.2">
      <c r="A98" s="81"/>
      <c r="B98" s="81"/>
      <c r="C98" s="439" t="s">
        <v>779</v>
      </c>
      <c r="D98" s="770">
        <v>163663</v>
      </c>
      <c r="E98" s="208"/>
      <c r="F98" s="208"/>
      <c r="G98" s="208"/>
      <c r="H98" s="208"/>
      <c r="I98" s="208"/>
      <c r="J98" s="208"/>
      <c r="K98" s="208"/>
      <c r="L98" s="208"/>
      <c r="M98" s="208"/>
      <c r="N98" s="208"/>
      <c r="O98" s="180">
        <f t="shared" si="12"/>
        <v>0</v>
      </c>
    </row>
    <row r="99" spans="1:15" s="73" customFormat="1" ht="30" customHeight="1" x14ac:dyDescent="0.2">
      <c r="A99" s="81"/>
      <c r="B99" s="81"/>
      <c r="C99" s="424" t="s">
        <v>780</v>
      </c>
      <c r="D99" s="770">
        <v>163664</v>
      </c>
      <c r="E99" s="208"/>
      <c r="F99" s="208"/>
      <c r="G99" s="208"/>
      <c r="H99" s="208">
        <v>319</v>
      </c>
      <c r="I99" s="208"/>
      <c r="J99" s="208"/>
      <c r="K99" s="208"/>
      <c r="L99" s="208"/>
      <c r="M99" s="208"/>
      <c r="N99" s="208"/>
      <c r="O99" s="180">
        <f t="shared" si="12"/>
        <v>319</v>
      </c>
    </row>
    <row r="100" spans="1:15" s="73" customFormat="1" ht="30" hidden="1" customHeight="1" x14ac:dyDescent="0.2">
      <c r="A100" s="692"/>
      <c r="B100" s="692"/>
      <c r="C100" s="697" t="s">
        <v>998</v>
      </c>
      <c r="D100" s="771">
        <v>162987</v>
      </c>
      <c r="E100" s="694"/>
      <c r="F100" s="694"/>
      <c r="G100" s="694"/>
      <c r="H100" s="694"/>
      <c r="I100" s="694"/>
      <c r="J100" s="694"/>
      <c r="K100" s="694"/>
      <c r="L100" s="694"/>
      <c r="M100" s="694"/>
      <c r="N100" s="694"/>
      <c r="O100" s="180">
        <f t="shared" si="12"/>
        <v>0</v>
      </c>
    </row>
    <row r="101" spans="1:15" s="73" customFormat="1" ht="15" customHeight="1" x14ac:dyDescent="0.2">
      <c r="A101" s="85"/>
      <c r="B101" s="85"/>
      <c r="C101" s="209" t="s">
        <v>220</v>
      </c>
      <c r="D101" s="85"/>
      <c r="E101" s="210">
        <f t="shared" ref="E101:O101" si="13">SUM(E62:E100)</f>
        <v>69548</v>
      </c>
      <c r="F101" s="210">
        <f t="shared" si="13"/>
        <v>391269</v>
      </c>
      <c r="G101" s="210">
        <f t="shared" si="13"/>
        <v>0</v>
      </c>
      <c r="H101" s="210">
        <f t="shared" si="13"/>
        <v>15328</v>
      </c>
      <c r="I101" s="210">
        <f t="shared" si="13"/>
        <v>0</v>
      </c>
      <c r="J101" s="210">
        <f t="shared" si="13"/>
        <v>0</v>
      </c>
      <c r="K101" s="210">
        <f t="shared" si="13"/>
        <v>0</v>
      </c>
      <c r="L101" s="210">
        <f t="shared" si="13"/>
        <v>0</v>
      </c>
      <c r="M101" s="210">
        <f t="shared" si="13"/>
        <v>0</v>
      </c>
      <c r="N101" s="210">
        <f t="shared" si="13"/>
        <v>0</v>
      </c>
      <c r="O101" s="210">
        <f t="shared" si="13"/>
        <v>476145</v>
      </c>
    </row>
    <row r="102" spans="1:15" s="73" customFormat="1" ht="15" customHeight="1" x14ac:dyDescent="0.2">
      <c r="A102" s="81">
        <v>1</v>
      </c>
      <c r="B102" s="81">
        <v>17</v>
      </c>
      <c r="C102" s="211" t="s">
        <v>119</v>
      </c>
      <c r="D102" s="86"/>
      <c r="E102" s="180"/>
      <c r="F102" s="180"/>
      <c r="G102" s="180"/>
      <c r="H102" s="180"/>
      <c r="I102" s="180"/>
      <c r="J102" s="180"/>
      <c r="K102" s="180"/>
      <c r="L102" s="180"/>
      <c r="M102" s="180"/>
      <c r="N102" s="180"/>
      <c r="O102" s="180"/>
    </row>
    <row r="103" spans="1:15" s="73" customFormat="1" ht="26.45" hidden="1" customHeight="1" x14ac:dyDescent="0.2">
      <c r="A103" s="81"/>
      <c r="B103" s="81"/>
      <c r="C103" s="84" t="s">
        <v>215</v>
      </c>
      <c r="D103" s="212"/>
      <c r="E103" s="87"/>
      <c r="F103" s="180"/>
      <c r="G103" s="180"/>
      <c r="H103" s="180"/>
      <c r="I103" s="180"/>
      <c r="J103" s="180"/>
      <c r="K103" s="180"/>
      <c r="L103" s="180"/>
      <c r="M103" s="180"/>
      <c r="N103" s="180"/>
      <c r="O103" s="180"/>
    </row>
    <row r="104" spans="1:15" s="73" customFormat="1" ht="15" hidden="1" customHeight="1" x14ac:dyDescent="0.2">
      <c r="A104" s="81"/>
      <c r="B104" s="81"/>
      <c r="C104" s="88" t="s">
        <v>221</v>
      </c>
      <c r="D104" s="213">
        <v>171907</v>
      </c>
      <c r="E104" s="180"/>
      <c r="F104" s="180"/>
      <c r="G104" s="180"/>
      <c r="H104" s="180"/>
      <c r="I104" s="180"/>
      <c r="J104" s="180"/>
      <c r="K104" s="180"/>
      <c r="L104" s="180"/>
      <c r="M104" s="180"/>
      <c r="N104" s="180"/>
      <c r="O104" s="180">
        <f>SUM(E104:N104)</f>
        <v>0</v>
      </c>
    </row>
    <row r="105" spans="1:15" s="73" customFormat="1" ht="27.75" hidden="1" customHeight="1" x14ac:dyDescent="0.2">
      <c r="A105" s="81"/>
      <c r="B105" s="81"/>
      <c r="C105" s="214" t="s">
        <v>723</v>
      </c>
      <c r="D105" s="213">
        <v>171923</v>
      </c>
      <c r="E105" s="180"/>
      <c r="F105" s="180"/>
      <c r="G105" s="180"/>
      <c r="H105" s="180"/>
      <c r="I105" s="180"/>
      <c r="J105" s="180"/>
      <c r="K105" s="180"/>
      <c r="L105" s="180"/>
      <c r="M105" s="180"/>
      <c r="N105" s="180"/>
      <c r="O105" s="180">
        <f>SUM(E105:N105)</f>
        <v>0</v>
      </c>
    </row>
    <row r="106" spans="1:15" s="73" customFormat="1" ht="27.75" hidden="1" customHeight="1" x14ac:dyDescent="0.2">
      <c r="A106" s="692"/>
      <c r="B106" s="692"/>
      <c r="C106" s="757" t="s">
        <v>1086</v>
      </c>
      <c r="D106" s="669">
        <v>171972</v>
      </c>
      <c r="E106" s="656"/>
      <c r="F106" s="656"/>
      <c r="G106" s="656"/>
      <c r="H106" s="656"/>
      <c r="I106" s="656"/>
      <c r="J106" s="656"/>
      <c r="K106" s="656"/>
      <c r="L106" s="656"/>
      <c r="M106" s="656"/>
      <c r="N106" s="656"/>
      <c r="O106" s="180">
        <f>SUM(E106:N106)</f>
        <v>0</v>
      </c>
    </row>
    <row r="107" spans="1:15" s="73" customFormat="1" ht="27.6" hidden="1" customHeight="1" x14ac:dyDescent="0.2">
      <c r="A107" s="81"/>
      <c r="B107" s="81"/>
      <c r="C107" s="214" t="s">
        <v>222</v>
      </c>
      <c r="D107" s="215"/>
      <c r="E107" s="180"/>
      <c r="F107" s="180"/>
      <c r="G107" s="180"/>
      <c r="H107" s="180"/>
      <c r="I107" s="180"/>
      <c r="J107" s="180"/>
      <c r="K107" s="180"/>
      <c r="L107" s="180"/>
      <c r="M107" s="180"/>
      <c r="N107" s="180"/>
      <c r="O107" s="180"/>
    </row>
    <row r="108" spans="1:15" s="73" customFormat="1" ht="14.1" hidden="1" customHeight="1" x14ac:dyDescent="0.2">
      <c r="A108" s="81"/>
      <c r="B108" s="81"/>
      <c r="C108" s="216" t="s">
        <v>223</v>
      </c>
      <c r="D108" s="217">
        <v>171980</v>
      </c>
      <c r="E108" s="180"/>
      <c r="F108" s="180"/>
      <c r="G108" s="180"/>
      <c r="H108" s="180"/>
      <c r="I108" s="269"/>
      <c r="J108" s="269"/>
      <c r="K108" s="269"/>
      <c r="L108" s="269"/>
      <c r="M108" s="269"/>
      <c r="N108" s="269"/>
      <c r="O108" s="180">
        <f>SUM(E108:N108)</f>
        <v>0</v>
      </c>
    </row>
    <row r="109" spans="1:15" s="73" customFormat="1" ht="26.25" hidden="1" customHeight="1" x14ac:dyDescent="0.2">
      <c r="A109" s="692"/>
      <c r="B109" s="692"/>
      <c r="C109" s="84" t="s">
        <v>215</v>
      </c>
      <c r="D109" s="212"/>
      <c r="E109" s="180"/>
      <c r="F109" s="180"/>
      <c r="G109" s="180"/>
      <c r="H109" s="180"/>
      <c r="I109" s="269"/>
      <c r="J109" s="269"/>
      <c r="K109" s="269"/>
      <c r="L109" s="269"/>
      <c r="M109" s="269"/>
      <c r="N109" s="269"/>
      <c r="O109" s="180"/>
    </row>
    <row r="110" spans="1:15" s="73" customFormat="1" ht="29.25" hidden="1" customHeight="1" x14ac:dyDescent="0.2">
      <c r="A110" s="692"/>
      <c r="B110" s="692"/>
      <c r="C110" s="218" t="s">
        <v>224</v>
      </c>
      <c r="D110" s="213">
        <v>171905</v>
      </c>
      <c r="E110" s="180"/>
      <c r="F110" s="180"/>
      <c r="G110" s="180"/>
      <c r="H110" s="180"/>
      <c r="I110" s="269"/>
      <c r="J110" s="269"/>
      <c r="K110" s="269"/>
      <c r="L110" s="269"/>
      <c r="M110" s="269"/>
      <c r="N110" s="269"/>
      <c r="O110" s="180">
        <f t="shared" ref="O110:O124" si="14">SUM(E110:N110)</f>
        <v>0</v>
      </c>
    </row>
    <row r="111" spans="1:15" s="73" customFormat="1" ht="14.1" hidden="1" customHeight="1" x14ac:dyDescent="0.2">
      <c r="A111" s="692"/>
      <c r="B111" s="692"/>
      <c r="C111" s="219" t="s">
        <v>225</v>
      </c>
      <c r="D111" s="213">
        <v>171909</v>
      </c>
      <c r="E111" s="180"/>
      <c r="F111" s="180"/>
      <c r="G111" s="180"/>
      <c r="H111" s="180"/>
      <c r="I111" s="269"/>
      <c r="J111" s="269"/>
      <c r="K111" s="269"/>
      <c r="L111" s="269"/>
      <c r="M111" s="269"/>
      <c r="N111" s="269"/>
      <c r="O111" s="180">
        <f t="shared" si="14"/>
        <v>0</v>
      </c>
    </row>
    <row r="112" spans="1:15" s="73" customFormat="1" ht="14.1" hidden="1" customHeight="1" x14ac:dyDescent="0.2">
      <c r="A112" s="692"/>
      <c r="B112" s="692"/>
      <c r="C112" s="219" t="s">
        <v>226</v>
      </c>
      <c r="D112" s="213">
        <v>171904</v>
      </c>
      <c r="E112" s="180"/>
      <c r="F112" s="180"/>
      <c r="G112" s="180"/>
      <c r="H112" s="180"/>
      <c r="I112" s="269"/>
      <c r="J112" s="269"/>
      <c r="K112" s="269"/>
      <c r="L112" s="269"/>
      <c r="M112" s="269"/>
      <c r="N112" s="269"/>
      <c r="O112" s="180">
        <f t="shared" si="14"/>
        <v>0</v>
      </c>
    </row>
    <row r="113" spans="1:15" s="73" customFormat="1" ht="14.1" hidden="1" customHeight="1" x14ac:dyDescent="0.2">
      <c r="A113" s="692"/>
      <c r="B113" s="692"/>
      <c r="C113" s="759" t="s">
        <v>1089</v>
      </c>
      <c r="D113" s="669">
        <v>172901</v>
      </c>
      <c r="E113" s="656"/>
      <c r="F113" s="656"/>
      <c r="G113" s="656"/>
      <c r="H113" s="656"/>
      <c r="I113" s="656"/>
      <c r="J113" s="657"/>
      <c r="K113" s="657"/>
      <c r="L113" s="657"/>
      <c r="M113" s="657"/>
      <c r="N113" s="657"/>
      <c r="O113" s="180">
        <f t="shared" si="14"/>
        <v>0</v>
      </c>
    </row>
    <row r="114" spans="1:15" s="73" customFormat="1" ht="14.1" hidden="1" customHeight="1" x14ac:dyDescent="0.2">
      <c r="A114" s="692"/>
      <c r="B114" s="692"/>
      <c r="C114" s="219" t="s">
        <v>781</v>
      </c>
      <c r="D114" s="213">
        <v>172909</v>
      </c>
      <c r="E114" s="180"/>
      <c r="F114" s="180"/>
      <c r="G114" s="180"/>
      <c r="H114" s="180"/>
      <c r="I114" s="269"/>
      <c r="J114" s="269"/>
      <c r="K114" s="269"/>
      <c r="L114" s="269"/>
      <c r="M114" s="269"/>
      <c r="N114" s="269"/>
      <c r="O114" s="180">
        <f t="shared" si="14"/>
        <v>0</v>
      </c>
    </row>
    <row r="115" spans="1:15" s="73" customFormat="1" ht="14.1" hidden="1" customHeight="1" x14ac:dyDescent="0.2">
      <c r="A115" s="801"/>
      <c r="B115" s="801"/>
      <c r="C115" s="807" t="s">
        <v>1127</v>
      </c>
      <c r="D115" s="802">
        <v>172920</v>
      </c>
      <c r="E115" s="796"/>
      <c r="F115" s="796"/>
      <c r="G115" s="796"/>
      <c r="H115" s="796"/>
      <c r="I115" s="797"/>
      <c r="J115" s="797"/>
      <c r="K115" s="797"/>
      <c r="L115" s="797"/>
      <c r="M115" s="797"/>
      <c r="N115" s="797"/>
      <c r="O115" s="180">
        <f t="shared" si="14"/>
        <v>0</v>
      </c>
    </row>
    <row r="116" spans="1:15" s="73" customFormat="1" ht="14.1" hidden="1" customHeight="1" x14ac:dyDescent="0.2">
      <c r="A116" s="801"/>
      <c r="B116" s="801"/>
      <c r="C116" s="807" t="s">
        <v>1128</v>
      </c>
      <c r="D116" s="802">
        <v>172921</v>
      </c>
      <c r="E116" s="796"/>
      <c r="F116" s="796"/>
      <c r="G116" s="796"/>
      <c r="H116" s="796"/>
      <c r="I116" s="796"/>
      <c r="J116" s="797"/>
      <c r="K116" s="797"/>
      <c r="L116" s="797"/>
      <c r="M116" s="797"/>
      <c r="N116" s="797"/>
      <c r="O116" s="180">
        <f t="shared" si="14"/>
        <v>0</v>
      </c>
    </row>
    <row r="117" spans="1:15" s="73" customFormat="1" ht="14.1" hidden="1" customHeight="1" x14ac:dyDescent="0.2">
      <c r="A117" s="692"/>
      <c r="B117" s="692"/>
      <c r="C117" s="219" t="s">
        <v>227</v>
      </c>
      <c r="D117" s="213">
        <v>131857</v>
      </c>
      <c r="E117" s="180"/>
      <c r="F117" s="180"/>
      <c r="G117" s="180"/>
      <c r="H117" s="180"/>
      <c r="I117" s="269"/>
      <c r="J117" s="269"/>
      <c r="K117" s="269"/>
      <c r="L117" s="269"/>
      <c r="M117" s="269"/>
      <c r="N117" s="269"/>
      <c r="O117" s="180">
        <f t="shared" si="14"/>
        <v>0</v>
      </c>
    </row>
    <row r="118" spans="1:15" s="73" customFormat="1" ht="14.1" hidden="1" customHeight="1" x14ac:dyDescent="0.2">
      <c r="A118" s="692"/>
      <c r="B118" s="692"/>
      <c r="C118" s="219" t="s">
        <v>228</v>
      </c>
      <c r="D118" s="213">
        <v>172922</v>
      </c>
      <c r="E118" s="180"/>
      <c r="F118" s="180"/>
      <c r="G118" s="180"/>
      <c r="H118" s="180"/>
      <c r="I118" s="269"/>
      <c r="J118" s="269"/>
      <c r="K118" s="269"/>
      <c r="L118" s="269"/>
      <c r="M118" s="269"/>
      <c r="N118" s="269"/>
      <c r="O118" s="180">
        <f t="shared" si="14"/>
        <v>0</v>
      </c>
    </row>
    <row r="119" spans="1:15" s="73" customFormat="1" ht="14.1" hidden="1" customHeight="1" x14ac:dyDescent="0.2">
      <c r="A119" s="692"/>
      <c r="B119" s="692"/>
      <c r="C119" s="219" t="s">
        <v>717</v>
      </c>
      <c r="D119" s="213">
        <v>171977</v>
      </c>
      <c r="E119" s="180"/>
      <c r="F119" s="180"/>
      <c r="G119" s="180"/>
      <c r="H119" s="180"/>
      <c r="I119" s="269"/>
      <c r="J119" s="269"/>
      <c r="K119" s="269"/>
      <c r="L119" s="269"/>
      <c r="M119" s="269"/>
      <c r="N119" s="269"/>
      <c r="O119" s="180">
        <f t="shared" si="14"/>
        <v>0</v>
      </c>
    </row>
    <row r="120" spans="1:15" s="73" customFormat="1" ht="14.1" hidden="1" customHeight="1" x14ac:dyDescent="0.2">
      <c r="A120" s="692"/>
      <c r="B120" s="692"/>
      <c r="C120" s="219" t="s">
        <v>702</v>
      </c>
      <c r="D120" s="213">
        <v>171978</v>
      </c>
      <c r="E120" s="180"/>
      <c r="F120" s="180"/>
      <c r="G120" s="180"/>
      <c r="H120" s="180"/>
      <c r="I120" s="269"/>
      <c r="J120" s="269"/>
      <c r="K120" s="269"/>
      <c r="L120" s="269"/>
      <c r="M120" s="269"/>
      <c r="N120" s="269"/>
      <c r="O120" s="180">
        <f t="shared" si="14"/>
        <v>0</v>
      </c>
    </row>
    <row r="121" spans="1:15" s="73" customFormat="1" ht="15.6" hidden="1" customHeight="1" x14ac:dyDescent="0.2">
      <c r="A121" s="692"/>
      <c r="B121" s="692"/>
      <c r="C121" s="220" t="s">
        <v>729</v>
      </c>
      <c r="D121" s="213">
        <v>171979</v>
      </c>
      <c r="E121" s="180"/>
      <c r="F121" s="180"/>
      <c r="G121" s="180"/>
      <c r="H121" s="180"/>
      <c r="I121" s="269"/>
      <c r="J121" s="269"/>
      <c r="K121" s="269"/>
      <c r="L121" s="269"/>
      <c r="M121" s="269"/>
      <c r="N121" s="269"/>
      <c r="O121" s="180">
        <f t="shared" si="14"/>
        <v>0</v>
      </c>
    </row>
    <row r="122" spans="1:15" s="73" customFormat="1" ht="14.1" hidden="1" customHeight="1" x14ac:dyDescent="0.2">
      <c r="A122" s="692"/>
      <c r="B122" s="692"/>
      <c r="C122" s="219" t="s">
        <v>1129</v>
      </c>
      <c r="D122" s="213">
        <v>171982</v>
      </c>
      <c r="E122" s="180"/>
      <c r="F122" s="180"/>
      <c r="G122" s="180"/>
      <c r="H122" s="180"/>
      <c r="I122" s="269"/>
      <c r="J122" s="269"/>
      <c r="K122" s="269"/>
      <c r="L122" s="269"/>
      <c r="M122" s="269"/>
      <c r="N122" s="269"/>
      <c r="O122" s="180">
        <f t="shared" si="14"/>
        <v>0</v>
      </c>
    </row>
    <row r="123" spans="1:15" s="73" customFormat="1" ht="14.1" hidden="1" customHeight="1" x14ac:dyDescent="0.2">
      <c r="A123" s="692"/>
      <c r="B123" s="692"/>
      <c r="C123" s="670" t="s">
        <v>549</v>
      </c>
      <c r="D123" s="669">
        <v>171902</v>
      </c>
      <c r="E123" s="656"/>
      <c r="F123" s="656"/>
      <c r="G123" s="656"/>
      <c r="H123" s="656"/>
      <c r="I123" s="657"/>
      <c r="J123" s="657"/>
      <c r="K123" s="657"/>
      <c r="L123" s="657"/>
      <c r="M123" s="657"/>
      <c r="N123" s="657"/>
      <c r="O123" s="180">
        <f t="shared" si="14"/>
        <v>0</v>
      </c>
    </row>
    <row r="124" spans="1:15" s="73" customFormat="1" ht="25.5" hidden="1" customHeight="1" x14ac:dyDescent="0.2">
      <c r="A124" s="692"/>
      <c r="B124" s="692"/>
      <c r="C124" s="728" t="s">
        <v>999</v>
      </c>
      <c r="D124" s="669">
        <v>171986</v>
      </c>
      <c r="E124" s="656"/>
      <c r="F124" s="656"/>
      <c r="G124" s="656"/>
      <c r="H124" s="656"/>
      <c r="I124" s="656"/>
      <c r="J124" s="657"/>
      <c r="K124" s="657"/>
      <c r="L124" s="657"/>
      <c r="M124" s="657"/>
      <c r="N124" s="657"/>
      <c r="O124" s="180">
        <f t="shared" si="14"/>
        <v>0</v>
      </c>
    </row>
    <row r="125" spans="1:15" s="73" customFormat="1" ht="24.95" hidden="1" customHeight="1" x14ac:dyDescent="0.2">
      <c r="A125" s="74"/>
      <c r="B125" s="74"/>
      <c r="C125" s="220" t="s">
        <v>229</v>
      </c>
      <c r="D125" s="215"/>
      <c r="E125" s="180"/>
      <c r="F125" s="180"/>
      <c r="G125" s="180"/>
      <c r="H125" s="269"/>
      <c r="I125" s="269"/>
      <c r="J125" s="269"/>
      <c r="K125" s="269"/>
      <c r="L125" s="269"/>
      <c r="M125" s="269"/>
      <c r="N125" s="269"/>
      <c r="O125" s="180"/>
    </row>
    <row r="126" spans="1:15" s="73" customFormat="1" ht="15" hidden="1" customHeight="1" x14ac:dyDescent="0.2">
      <c r="A126" s="74"/>
      <c r="B126" s="74"/>
      <c r="C126" s="88" t="s">
        <v>230</v>
      </c>
      <c r="D126" s="213">
        <v>171901</v>
      </c>
      <c r="E126" s="180"/>
      <c r="F126" s="180"/>
      <c r="G126" s="180"/>
      <c r="H126" s="180"/>
      <c r="I126" s="269"/>
      <c r="J126" s="269"/>
      <c r="K126" s="269"/>
      <c r="L126" s="269"/>
      <c r="M126" s="269"/>
      <c r="N126" s="269"/>
      <c r="O126" s="180">
        <f>SUM(E126:N126)</f>
        <v>0</v>
      </c>
    </row>
    <row r="127" spans="1:15" s="73" customFormat="1" ht="24.95" hidden="1" customHeight="1" x14ac:dyDescent="0.2">
      <c r="A127" s="81"/>
      <c r="B127" s="81"/>
      <c r="C127" s="221" t="s">
        <v>231</v>
      </c>
      <c r="D127" s="222"/>
      <c r="E127" s="180"/>
      <c r="F127" s="180"/>
      <c r="G127" s="180"/>
      <c r="H127" s="180"/>
      <c r="I127" s="269"/>
      <c r="J127" s="269"/>
      <c r="K127" s="269"/>
      <c r="L127" s="269"/>
      <c r="M127" s="269"/>
      <c r="N127" s="269"/>
      <c r="O127" s="180"/>
    </row>
    <row r="128" spans="1:15" s="73" customFormat="1" ht="22.15" hidden="1" customHeight="1" x14ac:dyDescent="0.2">
      <c r="A128" s="81"/>
      <c r="B128" s="81"/>
      <c r="C128" s="220" t="s">
        <v>782</v>
      </c>
      <c r="D128" s="223">
        <v>171908</v>
      </c>
      <c r="E128" s="180"/>
      <c r="F128" s="180"/>
      <c r="G128" s="180"/>
      <c r="H128" s="180"/>
      <c r="I128" s="269"/>
      <c r="J128" s="269"/>
      <c r="K128" s="269"/>
      <c r="L128" s="269"/>
      <c r="M128" s="269"/>
      <c r="N128" s="269"/>
      <c r="O128" s="180">
        <f>SUM(E128:N128)</f>
        <v>0</v>
      </c>
    </row>
    <row r="129" spans="1:15" s="73" customFormat="1" ht="22.15" hidden="1" customHeight="1" x14ac:dyDescent="0.2">
      <c r="A129" s="692"/>
      <c r="B129" s="692"/>
      <c r="C129" s="670" t="s">
        <v>1000</v>
      </c>
      <c r="D129" s="669">
        <v>171912</v>
      </c>
      <c r="E129" s="656"/>
      <c r="F129" s="656"/>
      <c r="G129" s="656"/>
      <c r="H129" s="656"/>
      <c r="I129" s="657"/>
      <c r="J129" s="657"/>
      <c r="K129" s="657"/>
      <c r="L129" s="657"/>
      <c r="M129" s="657"/>
      <c r="N129" s="657"/>
      <c r="O129" s="180">
        <f>SUM(E129:N129)</f>
        <v>0</v>
      </c>
    </row>
    <row r="130" spans="1:15" s="73" customFormat="1" ht="15.75" hidden="1" customHeight="1" x14ac:dyDescent="0.2">
      <c r="A130" s="81"/>
      <c r="B130" s="81"/>
      <c r="C130" s="293" t="s">
        <v>232</v>
      </c>
      <c r="D130" s="217"/>
      <c r="E130" s="180"/>
      <c r="F130" s="180"/>
      <c r="G130" s="180"/>
      <c r="H130" s="269"/>
      <c r="I130" s="269"/>
      <c r="J130" s="269"/>
      <c r="K130" s="269"/>
      <c r="L130" s="269"/>
      <c r="M130" s="269"/>
      <c r="N130" s="269"/>
      <c r="O130" s="180"/>
    </row>
    <row r="131" spans="1:15" s="73" customFormat="1" ht="15.75" hidden="1" customHeight="1" x14ac:dyDescent="0.2">
      <c r="A131" s="81"/>
      <c r="B131" s="81"/>
      <c r="C131" s="84" t="s">
        <v>233</v>
      </c>
      <c r="D131" s="212"/>
      <c r="E131" s="180"/>
      <c r="F131" s="180"/>
      <c r="G131" s="180"/>
      <c r="H131" s="269"/>
      <c r="I131" s="269"/>
      <c r="J131" s="269"/>
      <c r="K131" s="269"/>
      <c r="L131" s="269"/>
      <c r="M131" s="269"/>
      <c r="N131" s="269"/>
      <c r="O131" s="180"/>
    </row>
    <row r="132" spans="1:15" s="73" customFormat="1" ht="24.95" hidden="1" customHeight="1" x14ac:dyDescent="0.2">
      <c r="A132" s="81"/>
      <c r="B132" s="81"/>
      <c r="C132" s="214" t="s">
        <v>698</v>
      </c>
      <c r="D132" s="223">
        <v>121401</v>
      </c>
      <c r="E132" s="180"/>
      <c r="F132" s="180"/>
      <c r="G132" s="180"/>
      <c r="H132" s="269"/>
      <c r="I132" s="269"/>
      <c r="J132" s="269"/>
      <c r="K132" s="180"/>
      <c r="L132" s="269"/>
      <c r="M132" s="269"/>
      <c r="N132" s="269"/>
      <c r="O132" s="180">
        <f>SUM(E132:N132)</f>
        <v>0</v>
      </c>
    </row>
    <row r="133" spans="1:15" s="73" customFormat="1" ht="24.6" hidden="1" customHeight="1" x14ac:dyDescent="0.2">
      <c r="A133" s="81"/>
      <c r="B133" s="81"/>
      <c r="C133" s="214" t="s">
        <v>638</v>
      </c>
      <c r="D133" s="215"/>
      <c r="E133" s="180"/>
      <c r="F133" s="180"/>
      <c r="G133" s="180"/>
      <c r="H133" s="269"/>
      <c r="I133" s="269"/>
      <c r="J133" s="269"/>
      <c r="K133" s="269"/>
      <c r="L133" s="269"/>
      <c r="M133" s="269"/>
      <c r="N133" s="269"/>
      <c r="O133" s="180"/>
    </row>
    <row r="134" spans="1:15" s="73" customFormat="1" ht="16.5" hidden="1" customHeight="1" x14ac:dyDescent="0.2">
      <c r="A134" s="81"/>
      <c r="B134" s="81"/>
      <c r="C134" s="220" t="s">
        <v>234</v>
      </c>
      <c r="D134" s="223">
        <v>176902</v>
      </c>
      <c r="E134" s="180"/>
      <c r="F134" s="180"/>
      <c r="G134" s="180"/>
      <c r="H134" s="269"/>
      <c r="I134" s="269"/>
      <c r="J134" s="269"/>
      <c r="K134" s="269"/>
      <c r="L134" s="269"/>
      <c r="M134" s="180"/>
      <c r="N134" s="180"/>
      <c r="O134" s="180">
        <f>SUM(E134:N134)</f>
        <v>0</v>
      </c>
    </row>
    <row r="135" spans="1:15" s="73" customFormat="1" ht="12.6" hidden="1" customHeight="1" x14ac:dyDescent="0.2">
      <c r="A135" s="85"/>
      <c r="B135" s="85"/>
      <c r="C135" s="209" t="s">
        <v>235</v>
      </c>
      <c r="D135" s="85"/>
      <c r="E135" s="210">
        <f t="shared" ref="E135:O135" si="15">SUM(E102:E134)</f>
        <v>0</v>
      </c>
      <c r="F135" s="210">
        <f t="shared" si="15"/>
        <v>0</v>
      </c>
      <c r="G135" s="210">
        <f t="shared" si="15"/>
        <v>0</v>
      </c>
      <c r="H135" s="210">
        <f t="shared" si="15"/>
        <v>0</v>
      </c>
      <c r="I135" s="210">
        <f t="shared" si="15"/>
        <v>0</v>
      </c>
      <c r="J135" s="210">
        <f t="shared" si="15"/>
        <v>0</v>
      </c>
      <c r="K135" s="210">
        <f t="shared" si="15"/>
        <v>0</v>
      </c>
      <c r="L135" s="210">
        <f t="shared" si="15"/>
        <v>0</v>
      </c>
      <c r="M135" s="210">
        <f t="shared" si="15"/>
        <v>0</v>
      </c>
      <c r="N135" s="210">
        <f t="shared" si="15"/>
        <v>0</v>
      </c>
      <c r="O135" s="210">
        <f t="shared" si="15"/>
        <v>0</v>
      </c>
    </row>
    <row r="136" spans="1:15" s="73" customFormat="1" ht="16.899999999999999" customHeight="1" x14ac:dyDescent="0.2">
      <c r="A136" s="86">
        <v>1</v>
      </c>
      <c r="B136" s="86">
        <v>18</v>
      </c>
      <c r="C136" s="214" t="s">
        <v>236</v>
      </c>
      <c r="D136" s="215"/>
      <c r="E136" s="224"/>
      <c r="F136" s="224"/>
      <c r="G136" s="224"/>
      <c r="H136" s="224"/>
      <c r="I136" s="224"/>
      <c r="J136" s="224"/>
      <c r="K136" s="224"/>
      <c r="L136" s="224"/>
      <c r="M136" s="224"/>
      <c r="N136" s="224"/>
      <c r="O136" s="224"/>
    </row>
    <row r="137" spans="1:15" s="73" customFormat="1" ht="24.95" customHeight="1" x14ac:dyDescent="0.2">
      <c r="A137" s="81"/>
      <c r="B137" s="81"/>
      <c r="C137" s="84" t="s">
        <v>215</v>
      </c>
      <c r="D137" s="212"/>
      <c r="E137" s="208"/>
      <c r="F137" s="208"/>
      <c r="G137" s="208"/>
      <c r="H137" s="180"/>
      <c r="I137" s="180"/>
      <c r="J137" s="180"/>
      <c r="K137" s="180"/>
      <c r="L137" s="180"/>
      <c r="M137" s="180"/>
      <c r="N137" s="180"/>
      <c r="O137" s="180"/>
    </row>
    <row r="138" spans="1:15" s="73" customFormat="1" ht="24.95" customHeight="1" x14ac:dyDescent="0.2">
      <c r="A138" s="81"/>
      <c r="B138" s="81"/>
      <c r="C138" s="84" t="s">
        <v>237</v>
      </c>
      <c r="D138" s="212" t="s">
        <v>238</v>
      </c>
      <c r="E138" s="208"/>
      <c r="F138" s="208"/>
      <c r="G138" s="208"/>
      <c r="H138" s="208">
        <v>2740</v>
      </c>
      <c r="I138" s="271"/>
      <c r="J138" s="208"/>
      <c r="K138" s="208"/>
      <c r="L138" s="208"/>
      <c r="M138" s="208"/>
      <c r="N138" s="208"/>
      <c r="O138" s="180">
        <f t="shared" ref="O138:O142" si="16">SUM(E138:N138)</f>
        <v>2740</v>
      </c>
    </row>
    <row r="139" spans="1:15" s="73" customFormat="1" ht="12.6" customHeight="1" x14ac:dyDescent="0.2">
      <c r="A139" s="81"/>
      <c r="B139" s="81"/>
      <c r="C139" s="214" t="s">
        <v>239</v>
      </c>
      <c r="D139" s="223">
        <v>181905</v>
      </c>
      <c r="E139" s="208"/>
      <c r="F139" s="208"/>
      <c r="G139" s="208"/>
      <c r="H139" s="208"/>
      <c r="I139" s="271"/>
      <c r="J139" s="208"/>
      <c r="K139" s="208"/>
      <c r="L139" s="208"/>
      <c r="M139" s="208"/>
      <c r="N139" s="208"/>
      <c r="O139" s="180">
        <f t="shared" si="16"/>
        <v>0</v>
      </c>
    </row>
    <row r="140" spans="1:15" s="73" customFormat="1" ht="15" customHeight="1" x14ac:dyDescent="0.2">
      <c r="A140" s="81"/>
      <c r="B140" s="81"/>
      <c r="C140" s="84" t="s">
        <v>240</v>
      </c>
      <c r="D140" s="212">
        <v>181903</v>
      </c>
      <c r="E140" s="208"/>
      <c r="F140" s="208"/>
      <c r="G140" s="208">
        <v>408</v>
      </c>
      <c r="H140" s="208"/>
      <c r="I140" s="271"/>
      <c r="J140" s="208"/>
      <c r="K140" s="208"/>
      <c r="L140" s="208"/>
      <c r="M140" s="208"/>
      <c r="N140" s="208"/>
      <c r="O140" s="180">
        <f t="shared" si="16"/>
        <v>408</v>
      </c>
    </row>
    <row r="141" spans="1:15" s="73" customFormat="1" ht="22.5" customHeight="1" x14ac:dyDescent="0.2">
      <c r="A141" s="81"/>
      <c r="B141" s="81"/>
      <c r="C141" s="84" t="s">
        <v>241</v>
      </c>
      <c r="D141" s="212">
        <v>181904</v>
      </c>
      <c r="E141" s="208"/>
      <c r="F141" s="208"/>
      <c r="G141" s="208"/>
      <c r="H141" s="208">
        <v>617</v>
      </c>
      <c r="I141" s="271"/>
      <c r="J141" s="208"/>
      <c r="K141" s="208"/>
      <c r="L141" s="208"/>
      <c r="M141" s="208"/>
      <c r="N141" s="208"/>
      <c r="O141" s="180">
        <f t="shared" si="16"/>
        <v>617</v>
      </c>
    </row>
    <row r="142" spans="1:15" s="73" customFormat="1" ht="15" customHeight="1" x14ac:dyDescent="0.2">
      <c r="A142" s="81" t="s">
        <v>82</v>
      </c>
      <c r="B142" s="81"/>
      <c r="C142" s="214" t="s">
        <v>242</v>
      </c>
      <c r="D142" s="223">
        <v>181902</v>
      </c>
      <c r="E142" s="208"/>
      <c r="F142" s="208"/>
      <c r="G142" s="208"/>
      <c r="H142" s="208"/>
      <c r="I142" s="271"/>
      <c r="J142" s="208"/>
      <c r="K142" s="208"/>
      <c r="L142" s="208"/>
      <c r="M142" s="208"/>
      <c r="N142" s="208"/>
      <c r="O142" s="180">
        <f t="shared" si="16"/>
        <v>0</v>
      </c>
    </row>
    <row r="143" spans="1:15" s="73" customFormat="1" ht="16.899999999999999" customHeight="1" x14ac:dyDescent="0.2">
      <c r="A143" s="85"/>
      <c r="B143" s="85"/>
      <c r="C143" s="209" t="s">
        <v>243</v>
      </c>
      <c r="D143" s="85"/>
      <c r="E143" s="225">
        <f t="shared" ref="E143:O143" si="17">SUM(E138:E142)</f>
        <v>0</v>
      </c>
      <c r="F143" s="225">
        <f t="shared" si="17"/>
        <v>0</v>
      </c>
      <c r="G143" s="225">
        <f t="shared" si="17"/>
        <v>408</v>
      </c>
      <c r="H143" s="225">
        <f t="shared" si="17"/>
        <v>3357</v>
      </c>
      <c r="I143" s="225">
        <f t="shared" si="17"/>
        <v>0</v>
      </c>
      <c r="J143" s="225">
        <f t="shared" si="17"/>
        <v>0</v>
      </c>
      <c r="K143" s="225">
        <f t="shared" si="17"/>
        <v>0</v>
      </c>
      <c r="L143" s="225">
        <f t="shared" si="17"/>
        <v>0</v>
      </c>
      <c r="M143" s="225">
        <f t="shared" si="17"/>
        <v>0</v>
      </c>
      <c r="N143" s="225">
        <f t="shared" si="17"/>
        <v>0</v>
      </c>
      <c r="O143" s="225">
        <f t="shared" si="17"/>
        <v>3765</v>
      </c>
    </row>
    <row r="144" spans="1:15" s="73" customFormat="1" ht="17.45" customHeight="1" x14ac:dyDescent="0.2">
      <c r="A144" s="81">
        <v>1</v>
      </c>
      <c r="B144" s="81">
        <v>19</v>
      </c>
      <c r="C144" s="211" t="s">
        <v>81</v>
      </c>
      <c r="D144" s="86"/>
      <c r="E144" s="180"/>
      <c r="F144" s="180"/>
      <c r="G144" s="180"/>
      <c r="H144" s="180"/>
      <c r="I144" s="180"/>
      <c r="J144" s="180"/>
      <c r="K144" s="180"/>
      <c r="L144" s="180"/>
      <c r="M144" s="180"/>
      <c r="N144" s="180"/>
      <c r="O144" s="180"/>
    </row>
    <row r="145" spans="1:15" s="73" customFormat="1" ht="26.25" hidden="1" customHeight="1" x14ac:dyDescent="0.2">
      <c r="A145" s="81"/>
      <c r="B145" s="81"/>
      <c r="C145" s="292" t="s">
        <v>244</v>
      </c>
      <c r="D145" s="222"/>
      <c r="E145" s="180"/>
      <c r="F145" s="180"/>
      <c r="G145" s="180"/>
      <c r="H145" s="180"/>
      <c r="I145" s="180"/>
      <c r="J145" s="180"/>
      <c r="K145" s="180"/>
      <c r="L145" s="180"/>
      <c r="M145" s="180"/>
      <c r="N145" s="180"/>
      <c r="O145" s="180"/>
    </row>
    <row r="146" spans="1:15" s="73" customFormat="1" ht="15.6" hidden="1" customHeight="1" x14ac:dyDescent="0.2">
      <c r="A146" s="81"/>
      <c r="B146" s="81"/>
      <c r="C146" s="88" t="s">
        <v>783</v>
      </c>
      <c r="D146" s="213">
        <v>196919</v>
      </c>
      <c r="E146" s="208"/>
      <c r="F146" s="208"/>
      <c r="G146" s="208"/>
      <c r="H146" s="208"/>
      <c r="I146" s="208"/>
      <c r="J146" s="208"/>
      <c r="K146" s="208"/>
      <c r="L146" s="208"/>
      <c r="M146" s="208"/>
      <c r="N146" s="208"/>
      <c r="O146" s="180">
        <f>SUM(H146:N146)</f>
        <v>0</v>
      </c>
    </row>
    <row r="147" spans="1:15" s="73" customFormat="1" ht="24.95" hidden="1" customHeight="1" x14ac:dyDescent="0.2">
      <c r="A147" s="81"/>
      <c r="B147" s="81"/>
      <c r="C147" s="214" t="s">
        <v>190</v>
      </c>
      <c r="D147" s="215"/>
      <c r="E147" s="208"/>
      <c r="F147" s="208"/>
      <c r="G147" s="208"/>
      <c r="H147" s="208"/>
      <c r="I147" s="208"/>
      <c r="J147" s="208"/>
      <c r="K147" s="208"/>
      <c r="L147" s="208"/>
      <c r="M147" s="208"/>
      <c r="N147" s="208"/>
      <c r="O147" s="180"/>
    </row>
    <row r="148" spans="1:15" s="73" customFormat="1" ht="25.5" x14ac:dyDescent="0.2">
      <c r="A148" s="81" t="s">
        <v>82</v>
      </c>
      <c r="B148" s="81"/>
      <c r="C148" s="214" t="s">
        <v>245</v>
      </c>
      <c r="D148" s="213">
        <v>191102</v>
      </c>
      <c r="E148" s="208"/>
      <c r="F148" s="208"/>
      <c r="G148" s="208"/>
      <c r="H148" s="208">
        <v>3000</v>
      </c>
      <c r="I148" s="208"/>
      <c r="J148" s="208"/>
      <c r="K148" s="208"/>
      <c r="L148" s="208"/>
      <c r="M148" s="208"/>
      <c r="N148" s="208"/>
      <c r="O148" s="180">
        <f t="shared" ref="O148:O151" si="18">SUM(E148:N148)</f>
        <v>3000</v>
      </c>
    </row>
    <row r="149" spans="1:15" s="73" customFormat="1" ht="17.25" customHeight="1" x14ac:dyDescent="0.2">
      <c r="A149" s="81"/>
      <c r="B149" s="81"/>
      <c r="C149" s="88" t="s">
        <v>246</v>
      </c>
      <c r="D149" s="213">
        <v>191103</v>
      </c>
      <c r="E149" s="208"/>
      <c r="F149" s="208"/>
      <c r="G149" s="208"/>
      <c r="H149" s="208">
        <v>21532</v>
      </c>
      <c r="I149" s="208"/>
      <c r="J149" s="208"/>
      <c r="K149" s="208"/>
      <c r="L149" s="208"/>
      <c r="M149" s="208"/>
      <c r="N149" s="208"/>
      <c r="O149" s="180">
        <f t="shared" si="18"/>
        <v>21532</v>
      </c>
    </row>
    <row r="150" spans="1:15" s="73" customFormat="1" ht="25.5" hidden="1" x14ac:dyDescent="0.2">
      <c r="A150" s="81"/>
      <c r="B150" s="81"/>
      <c r="C150" s="214" t="s">
        <v>863</v>
      </c>
      <c r="D150" s="223">
        <v>191196</v>
      </c>
      <c r="E150" s="208"/>
      <c r="F150" s="208"/>
      <c r="G150" s="208"/>
      <c r="H150" s="208"/>
      <c r="I150" s="208"/>
      <c r="J150" s="208"/>
      <c r="K150" s="208"/>
      <c r="L150" s="208"/>
      <c r="M150" s="338"/>
      <c r="N150" s="338"/>
      <c r="O150" s="180">
        <f t="shared" si="18"/>
        <v>0</v>
      </c>
    </row>
    <row r="151" spans="1:15" s="73" customFormat="1" ht="25.5" hidden="1" x14ac:dyDescent="0.2">
      <c r="A151" s="340"/>
      <c r="B151" s="340"/>
      <c r="C151" s="350" t="s">
        <v>864</v>
      </c>
      <c r="D151" s="345">
        <v>322909</v>
      </c>
      <c r="E151" s="338"/>
      <c r="F151" s="338"/>
      <c r="G151" s="338"/>
      <c r="H151" s="338"/>
      <c r="I151" s="338"/>
      <c r="J151" s="338"/>
      <c r="K151" s="338"/>
      <c r="L151" s="338"/>
      <c r="M151" s="338"/>
      <c r="N151" s="338"/>
      <c r="O151" s="180">
        <f t="shared" si="18"/>
        <v>0</v>
      </c>
    </row>
    <row r="152" spans="1:15" s="73" customFormat="1" ht="24.95" hidden="1" customHeight="1" x14ac:dyDescent="0.2">
      <c r="A152" s="81"/>
      <c r="B152" s="81"/>
      <c r="C152" s="214" t="s">
        <v>247</v>
      </c>
      <c r="D152" s="215"/>
      <c r="E152" s="208"/>
      <c r="F152" s="208"/>
      <c r="G152" s="208"/>
      <c r="H152" s="208"/>
      <c r="I152" s="208"/>
      <c r="J152" s="208"/>
      <c r="K152" s="208"/>
      <c r="L152" s="208"/>
      <c r="M152" s="208"/>
      <c r="N152" s="208"/>
      <c r="O152" s="180"/>
    </row>
    <row r="153" spans="1:15" s="73" customFormat="1" ht="38.25" x14ac:dyDescent="0.2">
      <c r="A153" s="81"/>
      <c r="B153" s="81"/>
      <c r="C153" s="84" t="s">
        <v>642</v>
      </c>
      <c r="D153" s="212">
        <v>191901</v>
      </c>
      <c r="E153" s="208">
        <v>41795</v>
      </c>
      <c r="F153" s="271"/>
      <c r="G153" s="271"/>
      <c r="H153" s="271"/>
      <c r="I153" s="208"/>
      <c r="J153" s="208"/>
      <c r="K153" s="208"/>
      <c r="L153" s="208"/>
      <c r="M153" s="208"/>
      <c r="N153" s="208"/>
      <c r="O153" s="180">
        <f t="shared" ref="O153:O159" si="19">SUM(E153:N153)</f>
        <v>41795</v>
      </c>
    </row>
    <row r="154" spans="1:15" s="73" customFormat="1" ht="26.45" hidden="1" customHeight="1" x14ac:dyDescent="0.2">
      <c r="A154" s="692"/>
      <c r="B154" s="692"/>
      <c r="C154" s="697" t="s">
        <v>1001</v>
      </c>
      <c r="D154" s="212">
        <v>191901</v>
      </c>
      <c r="E154" s="694"/>
      <c r="F154" s="694"/>
      <c r="G154" s="699"/>
      <c r="H154" s="699"/>
      <c r="I154" s="694"/>
      <c r="J154" s="694"/>
      <c r="K154" s="694"/>
      <c r="L154" s="694"/>
      <c r="M154" s="694"/>
      <c r="N154" s="694"/>
      <c r="O154" s="180">
        <f t="shared" si="19"/>
        <v>0</v>
      </c>
    </row>
    <row r="155" spans="1:15" s="73" customFormat="1" ht="25.5" hidden="1" x14ac:dyDescent="0.2">
      <c r="A155" s="340"/>
      <c r="B155" s="340"/>
      <c r="C155" s="347" t="s">
        <v>865</v>
      </c>
      <c r="D155" s="348">
        <v>191901</v>
      </c>
      <c r="E155" s="338"/>
      <c r="F155" s="349"/>
      <c r="G155" s="349"/>
      <c r="H155" s="349"/>
      <c r="I155" s="338"/>
      <c r="J155" s="338"/>
      <c r="K155" s="338"/>
      <c r="L155" s="338"/>
      <c r="M155" s="338"/>
      <c r="N155" s="338"/>
      <c r="O155" s="180">
        <f t="shared" si="19"/>
        <v>0</v>
      </c>
    </row>
    <row r="156" spans="1:15" s="73" customFormat="1" ht="25.5" hidden="1" x14ac:dyDescent="0.2">
      <c r="A156" s="340"/>
      <c r="B156" s="340"/>
      <c r="C156" s="347" t="s">
        <v>866</v>
      </c>
      <c r="D156" s="348">
        <v>191901</v>
      </c>
      <c r="E156" s="338"/>
      <c r="F156" s="349"/>
      <c r="G156" s="349"/>
      <c r="H156" s="349"/>
      <c r="I156" s="338"/>
      <c r="J156" s="338"/>
      <c r="K156" s="338"/>
      <c r="L156" s="338"/>
      <c r="M156" s="338"/>
      <c r="N156" s="338"/>
      <c r="O156" s="180">
        <f t="shared" si="19"/>
        <v>0</v>
      </c>
    </row>
    <row r="157" spans="1:15" s="73" customFormat="1" ht="22.15" hidden="1" customHeight="1" x14ac:dyDescent="0.2">
      <c r="A157" s="340"/>
      <c r="B157" s="340"/>
      <c r="C157" s="535" t="s">
        <v>970</v>
      </c>
      <c r="D157" s="348">
        <v>191901</v>
      </c>
      <c r="E157" s="338"/>
      <c r="F157" s="349"/>
      <c r="G157" s="349"/>
      <c r="H157" s="349"/>
      <c r="I157" s="338"/>
      <c r="J157" s="338"/>
      <c r="K157" s="338"/>
      <c r="L157" s="338"/>
      <c r="M157" s="338"/>
      <c r="N157" s="338"/>
      <c r="O157" s="180">
        <f t="shared" si="19"/>
        <v>0</v>
      </c>
    </row>
    <row r="158" spans="1:15" s="73" customFormat="1" ht="23.45" hidden="1" customHeight="1" x14ac:dyDescent="0.2">
      <c r="A158" s="692"/>
      <c r="B158" s="692"/>
      <c r="C158" s="697" t="s">
        <v>1002</v>
      </c>
      <c r="D158" s="698"/>
      <c r="E158" s="694"/>
      <c r="F158" s="699"/>
      <c r="G158" s="699"/>
      <c r="H158" s="699"/>
      <c r="I158" s="694"/>
      <c r="J158" s="694"/>
      <c r="K158" s="694"/>
      <c r="L158" s="694"/>
      <c r="M158" s="694"/>
      <c r="N158" s="694"/>
      <c r="O158" s="180"/>
    </row>
    <row r="159" spans="1:15" s="73" customFormat="1" ht="18.600000000000001" hidden="1" customHeight="1" x14ac:dyDescent="0.2">
      <c r="A159" s="692"/>
      <c r="B159" s="692"/>
      <c r="C159" s="700" t="s">
        <v>1003</v>
      </c>
      <c r="D159" s="701">
        <v>191116</v>
      </c>
      <c r="E159" s="694"/>
      <c r="F159" s="699"/>
      <c r="G159" s="699"/>
      <c r="H159" s="699"/>
      <c r="I159" s="694"/>
      <c r="J159" s="694"/>
      <c r="K159" s="694"/>
      <c r="L159" s="694"/>
      <c r="M159" s="694"/>
      <c r="N159" s="694"/>
      <c r="O159" s="180">
        <f t="shared" si="19"/>
        <v>0</v>
      </c>
    </row>
    <row r="160" spans="1:15" s="73" customFormat="1" ht="28.5" hidden="1" customHeight="1" x14ac:dyDescent="0.2">
      <c r="A160" s="81"/>
      <c r="B160" s="81"/>
      <c r="C160" s="214" t="s">
        <v>248</v>
      </c>
      <c r="D160" s="215"/>
      <c r="E160" s="208"/>
      <c r="F160" s="271"/>
      <c r="G160" s="271"/>
      <c r="H160" s="271"/>
      <c r="I160" s="208"/>
      <c r="J160" s="208"/>
      <c r="K160" s="208"/>
      <c r="L160" s="208"/>
      <c r="M160" s="208"/>
      <c r="N160" s="208"/>
      <c r="O160" s="180"/>
    </row>
    <row r="161" spans="1:15" s="73" customFormat="1" ht="14.1" hidden="1" customHeight="1" x14ac:dyDescent="0.2">
      <c r="A161" s="81"/>
      <c r="B161" s="81"/>
      <c r="C161" s="445" t="s">
        <v>249</v>
      </c>
      <c r="D161" s="213">
        <v>191907</v>
      </c>
      <c r="E161" s="208"/>
      <c r="F161" s="208"/>
      <c r="G161" s="208"/>
      <c r="H161" s="271"/>
      <c r="I161" s="208"/>
      <c r="J161" s="208"/>
      <c r="K161" s="208"/>
      <c r="L161" s="208"/>
      <c r="M161" s="208"/>
      <c r="N161" s="208"/>
      <c r="O161" s="180">
        <f t="shared" ref="O161:O165" si="20">SUM(E161:N161)</f>
        <v>0</v>
      </c>
    </row>
    <row r="162" spans="1:15" s="73" customFormat="1" ht="14.1" hidden="1" customHeight="1" x14ac:dyDescent="0.2">
      <c r="A162" s="81"/>
      <c r="B162" s="81"/>
      <c r="C162" s="445" t="s">
        <v>251</v>
      </c>
      <c r="D162" s="213">
        <v>191907</v>
      </c>
      <c r="E162" s="208"/>
      <c r="F162" s="208"/>
      <c r="G162" s="208"/>
      <c r="H162" s="271"/>
      <c r="I162" s="208"/>
      <c r="J162" s="208"/>
      <c r="K162" s="208"/>
      <c r="L162" s="208"/>
      <c r="M162" s="208"/>
      <c r="N162" s="208"/>
      <c r="O162" s="180">
        <f t="shared" si="20"/>
        <v>0</v>
      </c>
    </row>
    <row r="163" spans="1:15" s="73" customFormat="1" ht="14.1" hidden="1" customHeight="1" x14ac:dyDescent="0.2">
      <c r="A163" s="81"/>
      <c r="B163" s="81"/>
      <c r="C163" s="445" t="s">
        <v>252</v>
      </c>
      <c r="D163" s="213">
        <v>191907</v>
      </c>
      <c r="E163" s="208"/>
      <c r="F163" s="208"/>
      <c r="G163" s="208"/>
      <c r="H163" s="271"/>
      <c r="I163" s="208"/>
      <c r="J163" s="208"/>
      <c r="K163" s="208"/>
      <c r="L163" s="208"/>
      <c r="M163" s="208"/>
      <c r="N163" s="208"/>
      <c r="O163" s="180">
        <f t="shared" si="20"/>
        <v>0</v>
      </c>
    </row>
    <row r="164" spans="1:15" s="73" customFormat="1" ht="14.1" hidden="1" customHeight="1" x14ac:dyDescent="0.2">
      <c r="A164" s="81"/>
      <c r="B164" s="81"/>
      <c r="C164" s="445" t="s">
        <v>703</v>
      </c>
      <c r="D164" s="213">
        <v>191907</v>
      </c>
      <c r="E164" s="208"/>
      <c r="F164" s="208"/>
      <c r="G164" s="208"/>
      <c r="H164" s="271"/>
      <c r="I164" s="208"/>
      <c r="J164" s="208"/>
      <c r="K164" s="208"/>
      <c r="L164" s="208"/>
      <c r="M164" s="208"/>
      <c r="N164" s="208"/>
      <c r="O164" s="180">
        <f t="shared" si="20"/>
        <v>0</v>
      </c>
    </row>
    <row r="165" spans="1:15" s="73" customFormat="1" ht="14.1" hidden="1" customHeight="1" x14ac:dyDescent="0.2">
      <c r="A165" s="81"/>
      <c r="B165" s="81"/>
      <c r="C165" s="445" t="s">
        <v>250</v>
      </c>
      <c r="D165" s="213">
        <v>191907</v>
      </c>
      <c r="E165" s="208"/>
      <c r="F165" s="208"/>
      <c r="G165" s="208"/>
      <c r="H165" s="271"/>
      <c r="I165" s="208"/>
      <c r="J165" s="208"/>
      <c r="K165" s="208"/>
      <c r="L165" s="208"/>
      <c r="M165" s="208"/>
      <c r="N165" s="208"/>
      <c r="O165" s="180">
        <f t="shared" si="20"/>
        <v>0</v>
      </c>
    </row>
    <row r="166" spans="1:15" s="73" customFormat="1" ht="24.75" hidden="1" customHeight="1" x14ac:dyDescent="0.2">
      <c r="A166" s="81"/>
      <c r="B166" s="81"/>
      <c r="C166" s="84" t="s">
        <v>253</v>
      </c>
      <c r="D166" s="212"/>
      <c r="E166" s="208"/>
      <c r="F166" s="208"/>
      <c r="G166" s="208"/>
      <c r="H166" s="271"/>
      <c r="I166" s="208"/>
      <c r="J166" s="208"/>
      <c r="K166" s="208"/>
      <c r="L166" s="208"/>
      <c r="M166" s="208"/>
      <c r="N166" s="208"/>
      <c r="O166" s="180"/>
    </row>
    <row r="167" spans="1:15" s="73" customFormat="1" ht="36.75" hidden="1" customHeight="1" x14ac:dyDescent="0.2">
      <c r="A167" s="81"/>
      <c r="B167" s="81"/>
      <c r="C167" s="83" t="s">
        <v>254</v>
      </c>
      <c r="D167" s="212">
        <v>191158</v>
      </c>
      <c r="E167" s="208"/>
      <c r="F167" s="208"/>
      <c r="G167" s="208"/>
      <c r="H167" s="271"/>
      <c r="I167" s="208"/>
      <c r="J167" s="208"/>
      <c r="K167" s="208"/>
      <c r="L167" s="208"/>
      <c r="M167" s="208"/>
      <c r="N167" s="208"/>
      <c r="O167" s="180">
        <f>SUM(E167:N167)</f>
        <v>0</v>
      </c>
    </row>
    <row r="168" spans="1:15" s="73" customFormat="1" ht="15" hidden="1" customHeight="1" x14ac:dyDescent="0.2">
      <c r="A168" s="81"/>
      <c r="B168" s="81"/>
      <c r="C168" s="83" t="s">
        <v>255</v>
      </c>
      <c r="D168" s="212"/>
      <c r="E168" s="208"/>
      <c r="F168" s="208"/>
      <c r="G168" s="208"/>
      <c r="H168" s="271"/>
      <c r="I168" s="208"/>
      <c r="J168" s="208"/>
      <c r="K168" s="208"/>
      <c r="L168" s="208"/>
      <c r="M168" s="208"/>
      <c r="N168" s="208"/>
      <c r="O168" s="180"/>
    </row>
    <row r="169" spans="1:15" s="73" customFormat="1" ht="24.95" hidden="1" customHeight="1" x14ac:dyDescent="0.2">
      <c r="A169" s="81"/>
      <c r="B169" s="81"/>
      <c r="C169" s="214" t="s">
        <v>256</v>
      </c>
      <c r="D169" s="223">
        <v>191906</v>
      </c>
      <c r="E169" s="208"/>
      <c r="F169" s="208"/>
      <c r="G169" s="208"/>
      <c r="H169" s="271"/>
      <c r="I169" s="208"/>
      <c r="J169" s="208"/>
      <c r="K169" s="208"/>
      <c r="L169" s="208"/>
      <c r="M169" s="208"/>
      <c r="N169" s="208"/>
      <c r="O169" s="180">
        <f>SUM(E169:N169)</f>
        <v>0</v>
      </c>
    </row>
    <row r="170" spans="1:15" s="73" customFormat="1" ht="24.95" hidden="1" customHeight="1" x14ac:dyDescent="0.2">
      <c r="A170" s="340"/>
      <c r="B170" s="340"/>
      <c r="C170" s="441" t="s">
        <v>867</v>
      </c>
      <c r="D170" s="348">
        <v>191135</v>
      </c>
      <c r="E170" s="338"/>
      <c r="F170" s="338"/>
      <c r="G170" s="338"/>
      <c r="H170" s="349"/>
      <c r="I170" s="338"/>
      <c r="J170" s="338"/>
      <c r="K170" s="338"/>
      <c r="L170" s="338"/>
      <c r="M170" s="338"/>
      <c r="N170" s="338"/>
      <c r="O170" s="180">
        <f>SUM(E170:N170)</f>
        <v>0</v>
      </c>
    </row>
    <row r="171" spans="1:15" s="73" customFormat="1" ht="19.149999999999999" hidden="1" customHeight="1" x14ac:dyDescent="0.2">
      <c r="A171" s="331"/>
      <c r="B171" s="331"/>
      <c r="C171" s="350" t="s">
        <v>233</v>
      </c>
      <c r="D171" s="345"/>
      <c r="E171" s="332"/>
      <c r="F171" s="332"/>
      <c r="G171" s="332"/>
      <c r="H171" s="333"/>
      <c r="I171" s="332"/>
      <c r="J171" s="332"/>
      <c r="K171" s="332"/>
      <c r="L171" s="332"/>
      <c r="M171" s="332"/>
      <c r="N171" s="332"/>
      <c r="O171" s="180"/>
    </row>
    <row r="172" spans="1:15" s="73" customFormat="1" ht="17.45" hidden="1" customHeight="1" x14ac:dyDescent="0.2">
      <c r="A172" s="331"/>
      <c r="B172" s="331"/>
      <c r="C172" s="488" t="s">
        <v>579</v>
      </c>
      <c r="D172" s="345">
        <v>196901</v>
      </c>
      <c r="E172" s="332"/>
      <c r="F172" s="332"/>
      <c r="G172" s="332"/>
      <c r="H172" s="333"/>
      <c r="I172" s="332"/>
      <c r="J172" s="332"/>
      <c r="K172" s="332"/>
      <c r="L172" s="332"/>
      <c r="M172" s="332"/>
      <c r="N172" s="332"/>
      <c r="O172" s="180">
        <f t="shared" ref="O172:O176" si="21">SUM(E172:N172)</f>
        <v>0</v>
      </c>
    </row>
    <row r="173" spans="1:15" s="73" customFormat="1" ht="17.45" hidden="1" customHeight="1" x14ac:dyDescent="0.2">
      <c r="A173" s="340"/>
      <c r="B173" s="340"/>
      <c r="C173" s="544" t="s">
        <v>197</v>
      </c>
      <c r="D173" s="345"/>
      <c r="E173" s="338"/>
      <c r="F173" s="338"/>
      <c r="G173" s="338"/>
      <c r="H173" s="349"/>
      <c r="I173" s="338"/>
      <c r="J173" s="338"/>
      <c r="K173" s="338"/>
      <c r="L173" s="338"/>
      <c r="M173" s="338"/>
      <c r="N173" s="338"/>
      <c r="O173" s="180"/>
    </row>
    <row r="174" spans="1:15" s="73" customFormat="1" ht="17.45" customHeight="1" x14ac:dyDescent="0.2">
      <c r="A174" s="692"/>
      <c r="B174" s="692"/>
      <c r="C174" s="658" t="s">
        <v>580</v>
      </c>
      <c r="D174" s="758">
        <v>191104</v>
      </c>
      <c r="E174" s="694"/>
      <c r="F174" s="694"/>
      <c r="G174" s="694"/>
      <c r="H174" s="694">
        <v>3314</v>
      </c>
      <c r="I174" s="694"/>
      <c r="J174" s="694"/>
      <c r="K174" s="694"/>
      <c r="L174" s="694"/>
      <c r="M174" s="694"/>
      <c r="N174" s="694"/>
      <c r="O174" s="180">
        <f t="shared" si="21"/>
        <v>3314</v>
      </c>
    </row>
    <row r="175" spans="1:15" s="73" customFormat="1" ht="17.45" customHeight="1" x14ac:dyDescent="0.2">
      <c r="A175" s="340"/>
      <c r="B175" s="340"/>
      <c r="C175" s="646" t="s">
        <v>971</v>
      </c>
      <c r="D175" s="647">
        <v>191193</v>
      </c>
      <c r="E175" s="338"/>
      <c r="F175" s="338"/>
      <c r="G175" s="338"/>
      <c r="H175" s="349"/>
      <c r="I175" s="338"/>
      <c r="J175" s="338">
        <v>11500</v>
      </c>
      <c r="K175" s="338"/>
      <c r="L175" s="338"/>
      <c r="M175" s="338"/>
      <c r="N175" s="338"/>
      <c r="O175" s="180">
        <f t="shared" si="21"/>
        <v>11500</v>
      </c>
    </row>
    <row r="176" spans="1:15" s="73" customFormat="1" ht="17.45" hidden="1" customHeight="1" x14ac:dyDescent="0.2">
      <c r="A176" s="692"/>
      <c r="B176" s="692"/>
      <c r="C176" s="779" t="s">
        <v>1108</v>
      </c>
      <c r="D176" s="780">
        <v>192909</v>
      </c>
      <c r="E176" s="694"/>
      <c r="F176" s="694"/>
      <c r="G176" s="694"/>
      <c r="H176" s="699"/>
      <c r="I176" s="694"/>
      <c r="J176" s="694"/>
      <c r="K176" s="694"/>
      <c r="L176" s="694"/>
      <c r="M176" s="694"/>
      <c r="N176" s="694"/>
      <c r="O176" s="180">
        <f t="shared" si="21"/>
        <v>0</v>
      </c>
    </row>
    <row r="177" spans="1:15" s="73" customFormat="1" ht="15.75" customHeight="1" x14ac:dyDescent="0.2">
      <c r="A177" s="90"/>
      <c r="B177" s="85"/>
      <c r="C177" s="209" t="s">
        <v>257</v>
      </c>
      <c r="D177" s="85"/>
      <c r="E177" s="210">
        <f>SUM(E145:E176)</f>
        <v>41795</v>
      </c>
      <c r="F177" s="210">
        <f t="shared" ref="F177:O177" si="22">SUM(F145:F176)</f>
        <v>0</v>
      </c>
      <c r="G177" s="210">
        <f t="shared" si="22"/>
        <v>0</v>
      </c>
      <c r="H177" s="210">
        <f t="shared" si="22"/>
        <v>27846</v>
      </c>
      <c r="I177" s="210">
        <f t="shared" si="22"/>
        <v>0</v>
      </c>
      <c r="J177" s="210">
        <f t="shared" si="22"/>
        <v>11500</v>
      </c>
      <c r="K177" s="210">
        <f t="shared" si="22"/>
        <v>0</v>
      </c>
      <c r="L177" s="210">
        <f t="shared" si="22"/>
        <v>0</v>
      </c>
      <c r="M177" s="210">
        <f t="shared" si="22"/>
        <v>0</v>
      </c>
      <c r="N177" s="210">
        <f t="shared" si="22"/>
        <v>0</v>
      </c>
      <c r="O177" s="210">
        <f t="shared" si="22"/>
        <v>81141</v>
      </c>
    </row>
    <row r="178" spans="1:15" s="73" customFormat="1" ht="17.100000000000001" customHeight="1" x14ac:dyDescent="0.2">
      <c r="A178" s="81">
        <v>1</v>
      </c>
      <c r="B178" s="86">
        <v>22</v>
      </c>
      <c r="C178" s="211" t="s">
        <v>7</v>
      </c>
      <c r="D178" s="86"/>
      <c r="E178" s="224"/>
      <c r="F178" s="224"/>
      <c r="G178" s="224"/>
      <c r="H178" s="224"/>
      <c r="I178" s="224"/>
      <c r="J178" s="224"/>
      <c r="K178" s="224"/>
      <c r="L178" s="224"/>
      <c r="M178" s="224"/>
      <c r="N178" s="224"/>
      <c r="O178" s="224"/>
    </row>
    <row r="179" spans="1:15" s="73" customFormat="1" ht="17.100000000000001" hidden="1" customHeight="1" x14ac:dyDescent="0.2">
      <c r="A179" s="692"/>
      <c r="B179" s="654"/>
      <c r="C179" s="658" t="s">
        <v>382</v>
      </c>
      <c r="D179" s="654"/>
      <c r="E179" s="702"/>
      <c r="F179" s="702"/>
      <c r="G179" s="702"/>
      <c r="H179" s="702"/>
      <c r="I179" s="702"/>
      <c r="J179" s="702"/>
      <c r="K179" s="702"/>
      <c r="L179" s="702"/>
      <c r="M179" s="702"/>
      <c r="N179" s="702"/>
      <c r="O179" s="702"/>
    </row>
    <row r="180" spans="1:15" s="73" customFormat="1" ht="24" hidden="1" customHeight="1" x14ac:dyDescent="0.2">
      <c r="A180" s="692"/>
      <c r="B180" s="654"/>
      <c r="C180" s="704" t="s">
        <v>1004</v>
      </c>
      <c r="D180" s="669">
        <v>221966</v>
      </c>
      <c r="E180" s="702"/>
      <c r="F180" s="702"/>
      <c r="G180" s="702"/>
      <c r="H180" s="702"/>
      <c r="I180" s="702"/>
      <c r="J180" s="656"/>
      <c r="K180" s="702"/>
      <c r="L180" s="702"/>
      <c r="M180" s="702"/>
      <c r="N180" s="702"/>
      <c r="O180" s="656">
        <f>SUM(E180:N180)</f>
        <v>0</v>
      </c>
    </row>
    <row r="181" spans="1:15" s="73" customFormat="1" ht="24" hidden="1" customHeight="1" x14ac:dyDescent="0.2">
      <c r="A181" s="801"/>
      <c r="B181" s="795"/>
      <c r="C181" s="827" t="s">
        <v>317</v>
      </c>
      <c r="D181" s="795"/>
      <c r="E181" s="829"/>
      <c r="F181" s="829"/>
      <c r="G181" s="829"/>
      <c r="H181" s="829"/>
      <c r="I181" s="829"/>
      <c r="J181" s="796"/>
      <c r="K181" s="829"/>
      <c r="L181" s="829"/>
      <c r="M181" s="829"/>
      <c r="N181" s="829"/>
      <c r="O181" s="656"/>
    </row>
    <row r="182" spans="1:15" s="73" customFormat="1" ht="14.25" customHeight="1" x14ac:dyDescent="0.2">
      <c r="A182" s="801"/>
      <c r="B182" s="795"/>
      <c r="C182" s="827" t="s">
        <v>1180</v>
      </c>
      <c r="D182" s="802">
        <v>191110</v>
      </c>
      <c r="E182" s="796">
        <v>1700</v>
      </c>
      <c r="F182" s="829"/>
      <c r="G182" s="829"/>
      <c r="H182" s="829"/>
      <c r="I182" s="829"/>
      <c r="J182" s="796"/>
      <c r="K182" s="829"/>
      <c r="L182" s="829"/>
      <c r="M182" s="829"/>
      <c r="N182" s="829"/>
      <c r="O182" s="656">
        <f t="shared" ref="O182" si="23">SUM(E182:N182)</f>
        <v>1700</v>
      </c>
    </row>
    <row r="183" spans="1:15" s="73" customFormat="1" ht="16.5" hidden="1" customHeight="1" x14ac:dyDescent="0.2">
      <c r="A183" s="801"/>
      <c r="B183" s="795"/>
      <c r="C183" s="403" t="s">
        <v>190</v>
      </c>
      <c r="D183" s="802"/>
      <c r="E183" s="829"/>
      <c r="F183" s="829"/>
      <c r="G183" s="829"/>
      <c r="H183" s="829"/>
      <c r="I183" s="829"/>
      <c r="J183" s="796"/>
      <c r="K183" s="829"/>
      <c r="L183" s="829"/>
      <c r="M183" s="829"/>
      <c r="N183" s="829"/>
      <c r="O183" s="796"/>
    </row>
    <row r="184" spans="1:15" s="73" customFormat="1" ht="24" hidden="1" customHeight="1" x14ac:dyDescent="0.2">
      <c r="A184" s="692"/>
      <c r="B184" s="654"/>
      <c r="C184" s="663" t="s">
        <v>962</v>
      </c>
      <c r="D184" s="669">
        <v>221982</v>
      </c>
      <c r="E184" s="656"/>
      <c r="F184" s="702"/>
      <c r="G184" s="702"/>
      <c r="H184" s="702"/>
      <c r="I184" s="702"/>
      <c r="J184" s="656"/>
      <c r="K184" s="702"/>
      <c r="L184" s="702"/>
      <c r="M184" s="702"/>
      <c r="N184" s="702"/>
      <c r="O184" s="656">
        <f>SUM(E184:N184)</f>
        <v>0</v>
      </c>
    </row>
    <row r="185" spans="1:15" s="73" customFormat="1" ht="24" hidden="1" customHeight="1" x14ac:dyDescent="0.2">
      <c r="A185" s="801"/>
      <c r="B185" s="795"/>
      <c r="C185" s="827" t="s">
        <v>607</v>
      </c>
      <c r="D185" s="802"/>
      <c r="E185" s="796">
        <v>867</v>
      </c>
      <c r="F185" s="829"/>
      <c r="G185" s="829"/>
      <c r="H185" s="829"/>
      <c r="I185" s="829"/>
      <c r="J185" s="796"/>
      <c r="K185" s="829"/>
      <c r="L185" s="829"/>
      <c r="M185" s="829"/>
      <c r="N185" s="829"/>
      <c r="O185" s="656">
        <f>SUM(E185:N185)</f>
        <v>867</v>
      </c>
    </row>
    <row r="186" spans="1:15" s="73" customFormat="1" ht="17.100000000000001" customHeight="1" x14ac:dyDescent="0.2">
      <c r="A186" s="90"/>
      <c r="B186" s="85"/>
      <c r="C186" s="209" t="s">
        <v>258</v>
      </c>
      <c r="D186" s="85"/>
      <c r="E186" s="210">
        <f>SUM(E180:E185)</f>
        <v>2567</v>
      </c>
      <c r="F186" s="210">
        <f t="shared" ref="F186:O186" si="24">SUM(F180:F185)</f>
        <v>0</v>
      </c>
      <c r="G186" s="210">
        <f t="shared" si="24"/>
        <v>0</v>
      </c>
      <c r="H186" s="210">
        <f t="shared" si="24"/>
        <v>0</v>
      </c>
      <c r="I186" s="210">
        <f t="shared" si="24"/>
        <v>0</v>
      </c>
      <c r="J186" s="210">
        <f t="shared" si="24"/>
        <v>0</v>
      </c>
      <c r="K186" s="210">
        <f t="shared" si="24"/>
        <v>0</v>
      </c>
      <c r="L186" s="210">
        <f t="shared" si="24"/>
        <v>0</v>
      </c>
      <c r="M186" s="210">
        <f t="shared" si="24"/>
        <v>0</v>
      </c>
      <c r="N186" s="210">
        <f t="shared" si="24"/>
        <v>0</v>
      </c>
      <c r="O186" s="210">
        <f t="shared" si="24"/>
        <v>2567</v>
      </c>
    </row>
    <row r="187" spans="1:15" s="73" customFormat="1" ht="24.95" customHeight="1" x14ac:dyDescent="0.2">
      <c r="A187" s="85"/>
      <c r="B187" s="85"/>
      <c r="C187" s="91" t="s">
        <v>10</v>
      </c>
      <c r="D187" s="226"/>
      <c r="E187" s="210">
        <f t="shared" ref="E187:O187" si="25">SUM(E8+E29+E34+E60+E101+E135+E143+E177+E186)</f>
        <v>116910</v>
      </c>
      <c r="F187" s="210">
        <f t="shared" si="25"/>
        <v>391269</v>
      </c>
      <c r="G187" s="210">
        <f t="shared" si="25"/>
        <v>408</v>
      </c>
      <c r="H187" s="210">
        <f t="shared" si="25"/>
        <v>61179</v>
      </c>
      <c r="I187" s="210">
        <f t="shared" si="25"/>
        <v>0</v>
      </c>
      <c r="J187" s="210">
        <f t="shared" si="25"/>
        <v>21815</v>
      </c>
      <c r="K187" s="210">
        <f t="shared" si="25"/>
        <v>223</v>
      </c>
      <c r="L187" s="210">
        <f t="shared" si="25"/>
        <v>0</v>
      </c>
      <c r="M187" s="210">
        <f t="shared" si="25"/>
        <v>0</v>
      </c>
      <c r="N187" s="210">
        <f t="shared" si="25"/>
        <v>0</v>
      </c>
      <c r="O187" s="210">
        <f t="shared" si="25"/>
        <v>591804</v>
      </c>
    </row>
    <row r="188" spans="1:15" s="73" customFormat="1" ht="15.95" customHeight="1" x14ac:dyDescent="0.2">
      <c r="A188" s="81">
        <v>2</v>
      </c>
      <c r="B188" s="81"/>
      <c r="C188" s="227" t="s">
        <v>161</v>
      </c>
      <c r="D188" s="228"/>
      <c r="E188" s="180">
        <f>táj3!D22</f>
        <v>33380</v>
      </c>
      <c r="F188" s="180">
        <f>táj3!E22</f>
        <v>860</v>
      </c>
      <c r="G188" s="180">
        <f>táj3!F22</f>
        <v>0</v>
      </c>
      <c r="H188" s="180">
        <f>táj3!G22</f>
        <v>53513</v>
      </c>
      <c r="I188" s="180">
        <f>táj3!H22</f>
        <v>2413</v>
      </c>
      <c r="J188" s="180">
        <f>táj3!I22</f>
        <v>220</v>
      </c>
      <c r="K188" s="180">
        <f>táj3!J22</f>
        <v>988</v>
      </c>
      <c r="L188" s="180"/>
      <c r="M188" s="180">
        <f>táj3!K22</f>
        <v>0</v>
      </c>
      <c r="N188" s="180"/>
      <c r="O188" s="180">
        <f>SUM(E188:N188)</f>
        <v>91374</v>
      </c>
    </row>
    <row r="189" spans="1:15" s="73" customFormat="1" ht="15.95" customHeight="1" x14ac:dyDescent="0.2">
      <c r="A189" s="85"/>
      <c r="B189" s="85"/>
      <c r="C189" s="229" t="s">
        <v>151</v>
      </c>
      <c r="D189" s="85"/>
      <c r="E189" s="210">
        <f>SUM(E187:E188)</f>
        <v>150290</v>
      </c>
      <c r="F189" s="210">
        <f>SUM(F187:F188)</f>
        <v>392129</v>
      </c>
      <c r="G189" s="210">
        <f t="shared" ref="G189:O189" si="26">SUM(G187:G188)</f>
        <v>408</v>
      </c>
      <c r="H189" s="210">
        <f t="shared" si="26"/>
        <v>114692</v>
      </c>
      <c r="I189" s="210">
        <f t="shared" si="26"/>
        <v>2413</v>
      </c>
      <c r="J189" s="210">
        <f t="shared" si="26"/>
        <v>22035</v>
      </c>
      <c r="K189" s="210">
        <f t="shared" si="26"/>
        <v>1211</v>
      </c>
      <c r="L189" s="210">
        <f t="shared" si="26"/>
        <v>0</v>
      </c>
      <c r="M189" s="210">
        <f t="shared" si="26"/>
        <v>0</v>
      </c>
      <c r="N189" s="210">
        <f t="shared" si="26"/>
        <v>0</v>
      </c>
      <c r="O189" s="210">
        <f t="shared" si="26"/>
        <v>683178</v>
      </c>
    </row>
  </sheetData>
  <mergeCells count="8">
    <mergeCell ref="C58:D58"/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2025.  ÉVI BEVÉTELI ELŐIRÁNYZATAINAK MÓDOSÍTÁSA&amp;R&amp;"Times New Roman,Félkövér dőlt"1. tájékoztató tábla
Adatok ezer Ft-ban</oddHeader>
    <oddFooter>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55"/>
  <sheetViews>
    <sheetView topLeftCell="D1" zoomScale="89" zoomScaleNormal="89" zoomScaleSheetLayoutView="120" workbookViewId="0">
      <pane ySplit="2" topLeftCell="A608" activePane="bottomLeft" state="frozen"/>
      <selection activeCell="G28" sqref="G28"/>
      <selection pane="bottomLeft" activeCell="D73" sqref="A73:XFD75"/>
    </sheetView>
  </sheetViews>
  <sheetFormatPr defaultRowHeight="12" x14ac:dyDescent="0.2"/>
  <cols>
    <col min="1" max="2" width="4.5" style="1" customWidth="1"/>
    <col min="3" max="3" width="9.5" style="1" customWidth="1"/>
    <col min="4" max="4" width="49.1640625" style="1" customWidth="1"/>
    <col min="5" max="5" width="3.1640625" style="1" customWidth="1"/>
    <col min="6" max="6" width="10.1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11.5" style="1" customWidth="1"/>
    <col min="12" max="12" width="12.33203125" style="1" customWidth="1"/>
    <col min="13" max="13" width="10.5" style="178" customWidth="1"/>
    <col min="14" max="14" width="8.83203125" style="178" customWidth="1"/>
    <col min="15" max="15" width="10.33203125" style="1" customWidth="1"/>
    <col min="16" max="16" width="12.33203125" style="1" customWidth="1"/>
    <col min="17" max="17" width="11" style="1" customWidth="1"/>
    <col min="18" max="18" width="10.83203125" style="1" customWidth="1"/>
    <col min="19" max="234" width="8.83203125" style="1"/>
    <col min="235" max="236" width="4.5" style="1" customWidth="1"/>
    <col min="237" max="237" width="8.6640625" style="1" customWidth="1"/>
    <col min="238" max="238" width="49.1640625" style="1" customWidth="1"/>
    <col min="239" max="239" width="3.1640625" style="1" customWidth="1"/>
    <col min="240" max="240" width="8.6640625" style="1" customWidth="1"/>
    <col min="241" max="241" width="10.5" style="1" customWidth="1"/>
    <col min="242" max="242" width="10.1640625" style="1" customWidth="1"/>
    <col min="243" max="243" width="11" style="1" customWidth="1"/>
    <col min="244" max="244" width="10.33203125" style="1" customWidth="1"/>
    <col min="245" max="245" width="9.83203125" style="1" customWidth="1"/>
    <col min="246" max="246" width="11.1640625" style="1" customWidth="1"/>
    <col min="247" max="247" width="10.5" style="1" customWidth="1"/>
    <col min="248" max="248" width="8.83203125" style="1" customWidth="1"/>
    <col min="249" max="249" width="10.33203125" style="1" customWidth="1"/>
    <col min="250" max="250" width="10.6640625" style="1" customWidth="1"/>
    <col min="251" max="251" width="12.5" style="1" customWidth="1"/>
    <col min="252" max="252" width="11.83203125" style="1" customWidth="1"/>
    <col min="253" max="253" width="11.1640625" style="1" customWidth="1"/>
    <col min="254" max="254" width="11" style="1" customWidth="1"/>
    <col min="255" max="255" width="11.1640625" style="1" customWidth="1"/>
    <col min="256" max="256" width="10.1640625" style="1" customWidth="1"/>
    <col min="257" max="257" width="11.83203125" style="1" customWidth="1"/>
    <col min="258" max="258" width="8.83203125" style="1"/>
    <col min="259" max="259" width="10.1640625" style="1" customWidth="1"/>
    <col min="260" max="260" width="10" style="1" customWidth="1"/>
    <col min="261" max="261" width="10.83203125" style="1" customWidth="1"/>
    <col min="262" max="262" width="11.33203125" style="1" customWidth="1"/>
    <col min="263" max="490" width="8.83203125" style="1"/>
    <col min="491" max="492" width="4.5" style="1" customWidth="1"/>
    <col min="493" max="493" width="8.6640625" style="1" customWidth="1"/>
    <col min="494" max="494" width="49.1640625" style="1" customWidth="1"/>
    <col min="495" max="495" width="3.1640625" style="1" customWidth="1"/>
    <col min="496" max="496" width="8.6640625" style="1" customWidth="1"/>
    <col min="497" max="497" width="10.5" style="1" customWidth="1"/>
    <col min="498" max="498" width="10.1640625" style="1" customWidth="1"/>
    <col min="499" max="499" width="11" style="1" customWidth="1"/>
    <col min="500" max="500" width="10.33203125" style="1" customWidth="1"/>
    <col min="501" max="501" width="9.83203125" style="1" customWidth="1"/>
    <col min="502" max="502" width="11.1640625" style="1" customWidth="1"/>
    <col min="503" max="503" width="10.5" style="1" customWidth="1"/>
    <col min="504" max="504" width="8.83203125" style="1" customWidth="1"/>
    <col min="505" max="505" width="10.33203125" style="1" customWidth="1"/>
    <col min="506" max="506" width="10.6640625" style="1" customWidth="1"/>
    <col min="507" max="507" width="12.5" style="1" customWidth="1"/>
    <col min="508" max="508" width="11.83203125" style="1" customWidth="1"/>
    <col min="509" max="509" width="11.1640625" style="1" customWidth="1"/>
    <col min="510" max="510" width="11" style="1" customWidth="1"/>
    <col min="511" max="511" width="11.1640625" style="1" customWidth="1"/>
    <col min="512" max="512" width="10.1640625" style="1" customWidth="1"/>
    <col min="513" max="513" width="11.83203125" style="1" customWidth="1"/>
    <col min="514" max="514" width="8.83203125" style="1"/>
    <col min="515" max="515" width="10.1640625" style="1" customWidth="1"/>
    <col min="516" max="516" width="10" style="1" customWidth="1"/>
    <col min="517" max="517" width="10.83203125" style="1" customWidth="1"/>
    <col min="518" max="518" width="11.33203125" style="1" customWidth="1"/>
    <col min="519" max="746" width="8.83203125" style="1"/>
    <col min="747" max="748" width="4.5" style="1" customWidth="1"/>
    <col min="749" max="749" width="8.6640625" style="1" customWidth="1"/>
    <col min="750" max="750" width="49.1640625" style="1" customWidth="1"/>
    <col min="751" max="751" width="3.1640625" style="1" customWidth="1"/>
    <col min="752" max="752" width="8.6640625" style="1" customWidth="1"/>
    <col min="753" max="753" width="10.5" style="1" customWidth="1"/>
    <col min="754" max="754" width="10.1640625" style="1" customWidth="1"/>
    <col min="755" max="755" width="11" style="1" customWidth="1"/>
    <col min="756" max="756" width="10.33203125" style="1" customWidth="1"/>
    <col min="757" max="757" width="9.83203125" style="1" customWidth="1"/>
    <col min="758" max="758" width="11.1640625" style="1" customWidth="1"/>
    <col min="759" max="759" width="10.5" style="1" customWidth="1"/>
    <col min="760" max="760" width="8.83203125" style="1" customWidth="1"/>
    <col min="761" max="761" width="10.33203125" style="1" customWidth="1"/>
    <col min="762" max="762" width="10.6640625" style="1" customWidth="1"/>
    <col min="763" max="763" width="12.5" style="1" customWidth="1"/>
    <col min="764" max="764" width="11.83203125" style="1" customWidth="1"/>
    <col min="765" max="765" width="11.1640625" style="1" customWidth="1"/>
    <col min="766" max="766" width="11" style="1" customWidth="1"/>
    <col min="767" max="767" width="11.1640625" style="1" customWidth="1"/>
    <col min="768" max="768" width="10.1640625" style="1" customWidth="1"/>
    <col min="769" max="769" width="11.83203125" style="1" customWidth="1"/>
    <col min="770" max="770" width="8.83203125" style="1"/>
    <col min="771" max="771" width="10.1640625" style="1" customWidth="1"/>
    <col min="772" max="772" width="10" style="1" customWidth="1"/>
    <col min="773" max="773" width="10.83203125" style="1" customWidth="1"/>
    <col min="774" max="774" width="11.33203125" style="1" customWidth="1"/>
    <col min="775" max="1002" width="8.83203125" style="1"/>
    <col min="1003" max="1004" width="4.5" style="1" customWidth="1"/>
    <col min="1005" max="1005" width="8.6640625" style="1" customWidth="1"/>
    <col min="1006" max="1006" width="49.1640625" style="1" customWidth="1"/>
    <col min="1007" max="1007" width="3.1640625" style="1" customWidth="1"/>
    <col min="1008" max="1008" width="8.6640625" style="1" customWidth="1"/>
    <col min="1009" max="1009" width="10.5" style="1" customWidth="1"/>
    <col min="1010" max="1010" width="10.1640625" style="1" customWidth="1"/>
    <col min="1011" max="1011" width="11" style="1" customWidth="1"/>
    <col min="1012" max="1012" width="10.33203125" style="1" customWidth="1"/>
    <col min="1013" max="1013" width="9.83203125" style="1" customWidth="1"/>
    <col min="1014" max="1014" width="11.1640625" style="1" customWidth="1"/>
    <col min="1015" max="1015" width="10.5" style="1" customWidth="1"/>
    <col min="1016" max="1016" width="8.83203125" style="1" customWidth="1"/>
    <col min="1017" max="1017" width="10.33203125" style="1" customWidth="1"/>
    <col min="1018" max="1018" width="10.6640625" style="1" customWidth="1"/>
    <col min="1019" max="1019" width="12.5" style="1" customWidth="1"/>
    <col min="1020" max="1020" width="11.83203125" style="1" customWidth="1"/>
    <col min="1021" max="1021" width="11.1640625" style="1" customWidth="1"/>
    <col min="1022" max="1022" width="11" style="1" customWidth="1"/>
    <col min="1023" max="1023" width="11.1640625" style="1" customWidth="1"/>
    <col min="1024" max="1024" width="10.1640625" style="1" customWidth="1"/>
    <col min="1025" max="1025" width="11.83203125" style="1" customWidth="1"/>
    <col min="1026" max="1026" width="8.83203125" style="1"/>
    <col min="1027" max="1027" width="10.1640625" style="1" customWidth="1"/>
    <col min="1028" max="1028" width="10" style="1" customWidth="1"/>
    <col min="1029" max="1029" width="10.83203125" style="1" customWidth="1"/>
    <col min="1030" max="1030" width="11.33203125" style="1" customWidth="1"/>
    <col min="1031" max="1258" width="8.83203125" style="1"/>
    <col min="1259" max="1260" width="4.5" style="1" customWidth="1"/>
    <col min="1261" max="1261" width="8.6640625" style="1" customWidth="1"/>
    <col min="1262" max="1262" width="49.1640625" style="1" customWidth="1"/>
    <col min="1263" max="1263" width="3.1640625" style="1" customWidth="1"/>
    <col min="1264" max="1264" width="8.6640625" style="1" customWidth="1"/>
    <col min="1265" max="1265" width="10.5" style="1" customWidth="1"/>
    <col min="1266" max="1266" width="10.1640625" style="1" customWidth="1"/>
    <col min="1267" max="1267" width="11" style="1" customWidth="1"/>
    <col min="1268" max="1268" width="10.33203125" style="1" customWidth="1"/>
    <col min="1269" max="1269" width="9.83203125" style="1" customWidth="1"/>
    <col min="1270" max="1270" width="11.1640625" style="1" customWidth="1"/>
    <col min="1271" max="1271" width="10.5" style="1" customWidth="1"/>
    <col min="1272" max="1272" width="8.83203125" style="1" customWidth="1"/>
    <col min="1273" max="1273" width="10.33203125" style="1" customWidth="1"/>
    <col min="1274" max="1274" width="10.6640625" style="1" customWidth="1"/>
    <col min="1275" max="1275" width="12.5" style="1" customWidth="1"/>
    <col min="1276" max="1276" width="11.83203125" style="1" customWidth="1"/>
    <col min="1277" max="1277" width="11.1640625" style="1" customWidth="1"/>
    <col min="1278" max="1278" width="11" style="1" customWidth="1"/>
    <col min="1279" max="1279" width="11.1640625" style="1" customWidth="1"/>
    <col min="1280" max="1280" width="10.1640625" style="1" customWidth="1"/>
    <col min="1281" max="1281" width="11.83203125" style="1" customWidth="1"/>
    <col min="1282" max="1282" width="8.83203125" style="1"/>
    <col min="1283" max="1283" width="10.1640625" style="1" customWidth="1"/>
    <col min="1284" max="1284" width="10" style="1" customWidth="1"/>
    <col min="1285" max="1285" width="10.83203125" style="1" customWidth="1"/>
    <col min="1286" max="1286" width="11.33203125" style="1" customWidth="1"/>
    <col min="1287" max="1514" width="8.83203125" style="1"/>
    <col min="1515" max="1516" width="4.5" style="1" customWidth="1"/>
    <col min="1517" max="1517" width="8.6640625" style="1" customWidth="1"/>
    <col min="1518" max="1518" width="49.1640625" style="1" customWidth="1"/>
    <col min="1519" max="1519" width="3.1640625" style="1" customWidth="1"/>
    <col min="1520" max="1520" width="8.6640625" style="1" customWidth="1"/>
    <col min="1521" max="1521" width="10.5" style="1" customWidth="1"/>
    <col min="1522" max="1522" width="10.1640625" style="1" customWidth="1"/>
    <col min="1523" max="1523" width="11" style="1" customWidth="1"/>
    <col min="1524" max="1524" width="10.33203125" style="1" customWidth="1"/>
    <col min="1525" max="1525" width="9.83203125" style="1" customWidth="1"/>
    <col min="1526" max="1526" width="11.1640625" style="1" customWidth="1"/>
    <col min="1527" max="1527" width="10.5" style="1" customWidth="1"/>
    <col min="1528" max="1528" width="8.83203125" style="1" customWidth="1"/>
    <col min="1529" max="1529" width="10.33203125" style="1" customWidth="1"/>
    <col min="1530" max="1530" width="10.6640625" style="1" customWidth="1"/>
    <col min="1531" max="1531" width="12.5" style="1" customWidth="1"/>
    <col min="1532" max="1532" width="11.83203125" style="1" customWidth="1"/>
    <col min="1533" max="1533" width="11.1640625" style="1" customWidth="1"/>
    <col min="1534" max="1534" width="11" style="1" customWidth="1"/>
    <col min="1535" max="1535" width="11.1640625" style="1" customWidth="1"/>
    <col min="1536" max="1536" width="10.1640625" style="1" customWidth="1"/>
    <col min="1537" max="1537" width="11.83203125" style="1" customWidth="1"/>
    <col min="1538" max="1538" width="8.83203125" style="1"/>
    <col min="1539" max="1539" width="10.1640625" style="1" customWidth="1"/>
    <col min="1540" max="1540" width="10" style="1" customWidth="1"/>
    <col min="1541" max="1541" width="10.83203125" style="1" customWidth="1"/>
    <col min="1542" max="1542" width="11.33203125" style="1" customWidth="1"/>
    <col min="1543" max="1770" width="8.83203125" style="1"/>
    <col min="1771" max="1772" width="4.5" style="1" customWidth="1"/>
    <col min="1773" max="1773" width="8.6640625" style="1" customWidth="1"/>
    <col min="1774" max="1774" width="49.1640625" style="1" customWidth="1"/>
    <col min="1775" max="1775" width="3.1640625" style="1" customWidth="1"/>
    <col min="1776" max="1776" width="8.6640625" style="1" customWidth="1"/>
    <col min="1777" max="1777" width="10.5" style="1" customWidth="1"/>
    <col min="1778" max="1778" width="10.1640625" style="1" customWidth="1"/>
    <col min="1779" max="1779" width="11" style="1" customWidth="1"/>
    <col min="1780" max="1780" width="10.33203125" style="1" customWidth="1"/>
    <col min="1781" max="1781" width="9.83203125" style="1" customWidth="1"/>
    <col min="1782" max="1782" width="11.1640625" style="1" customWidth="1"/>
    <col min="1783" max="1783" width="10.5" style="1" customWidth="1"/>
    <col min="1784" max="1784" width="8.83203125" style="1" customWidth="1"/>
    <col min="1785" max="1785" width="10.33203125" style="1" customWidth="1"/>
    <col min="1786" max="1786" width="10.6640625" style="1" customWidth="1"/>
    <col min="1787" max="1787" width="12.5" style="1" customWidth="1"/>
    <col min="1788" max="1788" width="11.83203125" style="1" customWidth="1"/>
    <col min="1789" max="1789" width="11.1640625" style="1" customWidth="1"/>
    <col min="1790" max="1790" width="11" style="1" customWidth="1"/>
    <col min="1791" max="1791" width="11.1640625" style="1" customWidth="1"/>
    <col min="1792" max="1792" width="10.1640625" style="1" customWidth="1"/>
    <col min="1793" max="1793" width="11.83203125" style="1" customWidth="1"/>
    <col min="1794" max="1794" width="8.83203125" style="1"/>
    <col min="1795" max="1795" width="10.1640625" style="1" customWidth="1"/>
    <col min="1796" max="1796" width="10" style="1" customWidth="1"/>
    <col min="1797" max="1797" width="10.83203125" style="1" customWidth="1"/>
    <col min="1798" max="1798" width="11.33203125" style="1" customWidth="1"/>
    <col min="1799" max="2026" width="8.83203125" style="1"/>
    <col min="2027" max="2028" width="4.5" style="1" customWidth="1"/>
    <col min="2029" max="2029" width="8.6640625" style="1" customWidth="1"/>
    <col min="2030" max="2030" width="49.1640625" style="1" customWidth="1"/>
    <col min="2031" max="2031" width="3.1640625" style="1" customWidth="1"/>
    <col min="2032" max="2032" width="8.6640625" style="1" customWidth="1"/>
    <col min="2033" max="2033" width="10.5" style="1" customWidth="1"/>
    <col min="2034" max="2034" width="10.1640625" style="1" customWidth="1"/>
    <col min="2035" max="2035" width="11" style="1" customWidth="1"/>
    <col min="2036" max="2036" width="10.33203125" style="1" customWidth="1"/>
    <col min="2037" max="2037" width="9.83203125" style="1" customWidth="1"/>
    <col min="2038" max="2038" width="11.1640625" style="1" customWidth="1"/>
    <col min="2039" max="2039" width="10.5" style="1" customWidth="1"/>
    <col min="2040" max="2040" width="8.83203125" style="1" customWidth="1"/>
    <col min="2041" max="2041" width="10.33203125" style="1" customWidth="1"/>
    <col min="2042" max="2042" width="10.6640625" style="1" customWidth="1"/>
    <col min="2043" max="2043" width="12.5" style="1" customWidth="1"/>
    <col min="2044" max="2044" width="11.83203125" style="1" customWidth="1"/>
    <col min="2045" max="2045" width="11.1640625" style="1" customWidth="1"/>
    <col min="2046" max="2046" width="11" style="1" customWidth="1"/>
    <col min="2047" max="2047" width="11.1640625" style="1" customWidth="1"/>
    <col min="2048" max="2048" width="10.1640625" style="1" customWidth="1"/>
    <col min="2049" max="2049" width="11.83203125" style="1" customWidth="1"/>
    <col min="2050" max="2050" width="8.83203125" style="1"/>
    <col min="2051" max="2051" width="10.1640625" style="1" customWidth="1"/>
    <col min="2052" max="2052" width="10" style="1" customWidth="1"/>
    <col min="2053" max="2053" width="10.83203125" style="1" customWidth="1"/>
    <col min="2054" max="2054" width="11.33203125" style="1" customWidth="1"/>
    <col min="2055" max="2282" width="8.83203125" style="1"/>
    <col min="2283" max="2284" width="4.5" style="1" customWidth="1"/>
    <col min="2285" max="2285" width="8.6640625" style="1" customWidth="1"/>
    <col min="2286" max="2286" width="49.1640625" style="1" customWidth="1"/>
    <col min="2287" max="2287" width="3.1640625" style="1" customWidth="1"/>
    <col min="2288" max="2288" width="8.6640625" style="1" customWidth="1"/>
    <col min="2289" max="2289" width="10.5" style="1" customWidth="1"/>
    <col min="2290" max="2290" width="10.1640625" style="1" customWidth="1"/>
    <col min="2291" max="2291" width="11" style="1" customWidth="1"/>
    <col min="2292" max="2292" width="10.33203125" style="1" customWidth="1"/>
    <col min="2293" max="2293" width="9.83203125" style="1" customWidth="1"/>
    <col min="2294" max="2294" width="11.1640625" style="1" customWidth="1"/>
    <col min="2295" max="2295" width="10.5" style="1" customWidth="1"/>
    <col min="2296" max="2296" width="8.83203125" style="1" customWidth="1"/>
    <col min="2297" max="2297" width="10.33203125" style="1" customWidth="1"/>
    <col min="2298" max="2298" width="10.6640625" style="1" customWidth="1"/>
    <col min="2299" max="2299" width="12.5" style="1" customWidth="1"/>
    <col min="2300" max="2300" width="11.83203125" style="1" customWidth="1"/>
    <col min="2301" max="2301" width="11.1640625" style="1" customWidth="1"/>
    <col min="2302" max="2302" width="11" style="1" customWidth="1"/>
    <col min="2303" max="2303" width="11.1640625" style="1" customWidth="1"/>
    <col min="2304" max="2304" width="10.1640625" style="1" customWidth="1"/>
    <col min="2305" max="2305" width="11.83203125" style="1" customWidth="1"/>
    <col min="2306" max="2306" width="8.83203125" style="1"/>
    <col min="2307" max="2307" width="10.1640625" style="1" customWidth="1"/>
    <col min="2308" max="2308" width="10" style="1" customWidth="1"/>
    <col min="2309" max="2309" width="10.83203125" style="1" customWidth="1"/>
    <col min="2310" max="2310" width="11.33203125" style="1" customWidth="1"/>
    <col min="2311" max="2538" width="8.83203125" style="1"/>
    <col min="2539" max="2540" width="4.5" style="1" customWidth="1"/>
    <col min="2541" max="2541" width="8.6640625" style="1" customWidth="1"/>
    <col min="2542" max="2542" width="49.1640625" style="1" customWidth="1"/>
    <col min="2543" max="2543" width="3.1640625" style="1" customWidth="1"/>
    <col min="2544" max="2544" width="8.6640625" style="1" customWidth="1"/>
    <col min="2545" max="2545" width="10.5" style="1" customWidth="1"/>
    <col min="2546" max="2546" width="10.1640625" style="1" customWidth="1"/>
    <col min="2547" max="2547" width="11" style="1" customWidth="1"/>
    <col min="2548" max="2548" width="10.33203125" style="1" customWidth="1"/>
    <col min="2549" max="2549" width="9.83203125" style="1" customWidth="1"/>
    <col min="2550" max="2550" width="11.1640625" style="1" customWidth="1"/>
    <col min="2551" max="2551" width="10.5" style="1" customWidth="1"/>
    <col min="2552" max="2552" width="8.83203125" style="1" customWidth="1"/>
    <col min="2553" max="2553" width="10.33203125" style="1" customWidth="1"/>
    <col min="2554" max="2554" width="10.6640625" style="1" customWidth="1"/>
    <col min="2555" max="2555" width="12.5" style="1" customWidth="1"/>
    <col min="2556" max="2556" width="11.83203125" style="1" customWidth="1"/>
    <col min="2557" max="2557" width="11.1640625" style="1" customWidth="1"/>
    <col min="2558" max="2558" width="11" style="1" customWidth="1"/>
    <col min="2559" max="2559" width="11.1640625" style="1" customWidth="1"/>
    <col min="2560" max="2560" width="10.1640625" style="1" customWidth="1"/>
    <col min="2561" max="2561" width="11.83203125" style="1" customWidth="1"/>
    <col min="2562" max="2562" width="8.83203125" style="1"/>
    <col min="2563" max="2563" width="10.1640625" style="1" customWidth="1"/>
    <col min="2564" max="2564" width="10" style="1" customWidth="1"/>
    <col min="2565" max="2565" width="10.83203125" style="1" customWidth="1"/>
    <col min="2566" max="2566" width="11.33203125" style="1" customWidth="1"/>
    <col min="2567" max="2794" width="8.83203125" style="1"/>
    <col min="2795" max="2796" width="4.5" style="1" customWidth="1"/>
    <col min="2797" max="2797" width="8.6640625" style="1" customWidth="1"/>
    <col min="2798" max="2798" width="49.1640625" style="1" customWidth="1"/>
    <col min="2799" max="2799" width="3.1640625" style="1" customWidth="1"/>
    <col min="2800" max="2800" width="8.6640625" style="1" customWidth="1"/>
    <col min="2801" max="2801" width="10.5" style="1" customWidth="1"/>
    <col min="2802" max="2802" width="10.1640625" style="1" customWidth="1"/>
    <col min="2803" max="2803" width="11" style="1" customWidth="1"/>
    <col min="2804" max="2804" width="10.33203125" style="1" customWidth="1"/>
    <col min="2805" max="2805" width="9.83203125" style="1" customWidth="1"/>
    <col min="2806" max="2806" width="11.1640625" style="1" customWidth="1"/>
    <col min="2807" max="2807" width="10.5" style="1" customWidth="1"/>
    <col min="2808" max="2808" width="8.83203125" style="1" customWidth="1"/>
    <col min="2809" max="2809" width="10.33203125" style="1" customWidth="1"/>
    <col min="2810" max="2810" width="10.6640625" style="1" customWidth="1"/>
    <col min="2811" max="2811" width="12.5" style="1" customWidth="1"/>
    <col min="2812" max="2812" width="11.83203125" style="1" customWidth="1"/>
    <col min="2813" max="2813" width="11.1640625" style="1" customWidth="1"/>
    <col min="2814" max="2814" width="11" style="1" customWidth="1"/>
    <col min="2815" max="2815" width="11.1640625" style="1" customWidth="1"/>
    <col min="2816" max="2816" width="10.1640625" style="1" customWidth="1"/>
    <col min="2817" max="2817" width="11.83203125" style="1" customWidth="1"/>
    <col min="2818" max="2818" width="8.83203125" style="1"/>
    <col min="2819" max="2819" width="10.1640625" style="1" customWidth="1"/>
    <col min="2820" max="2820" width="10" style="1" customWidth="1"/>
    <col min="2821" max="2821" width="10.83203125" style="1" customWidth="1"/>
    <col min="2822" max="2822" width="11.33203125" style="1" customWidth="1"/>
    <col min="2823" max="3050" width="8.83203125" style="1"/>
    <col min="3051" max="3052" width="4.5" style="1" customWidth="1"/>
    <col min="3053" max="3053" width="8.6640625" style="1" customWidth="1"/>
    <col min="3054" max="3054" width="49.1640625" style="1" customWidth="1"/>
    <col min="3055" max="3055" width="3.1640625" style="1" customWidth="1"/>
    <col min="3056" max="3056" width="8.6640625" style="1" customWidth="1"/>
    <col min="3057" max="3057" width="10.5" style="1" customWidth="1"/>
    <col min="3058" max="3058" width="10.1640625" style="1" customWidth="1"/>
    <col min="3059" max="3059" width="11" style="1" customWidth="1"/>
    <col min="3060" max="3060" width="10.33203125" style="1" customWidth="1"/>
    <col min="3061" max="3061" width="9.83203125" style="1" customWidth="1"/>
    <col min="3062" max="3062" width="11.1640625" style="1" customWidth="1"/>
    <col min="3063" max="3063" width="10.5" style="1" customWidth="1"/>
    <col min="3064" max="3064" width="8.83203125" style="1" customWidth="1"/>
    <col min="3065" max="3065" width="10.33203125" style="1" customWidth="1"/>
    <col min="3066" max="3066" width="10.6640625" style="1" customWidth="1"/>
    <col min="3067" max="3067" width="12.5" style="1" customWidth="1"/>
    <col min="3068" max="3068" width="11.83203125" style="1" customWidth="1"/>
    <col min="3069" max="3069" width="11.1640625" style="1" customWidth="1"/>
    <col min="3070" max="3070" width="11" style="1" customWidth="1"/>
    <col min="3071" max="3071" width="11.1640625" style="1" customWidth="1"/>
    <col min="3072" max="3072" width="10.1640625" style="1" customWidth="1"/>
    <col min="3073" max="3073" width="11.83203125" style="1" customWidth="1"/>
    <col min="3074" max="3074" width="8.83203125" style="1"/>
    <col min="3075" max="3075" width="10.1640625" style="1" customWidth="1"/>
    <col min="3076" max="3076" width="10" style="1" customWidth="1"/>
    <col min="3077" max="3077" width="10.83203125" style="1" customWidth="1"/>
    <col min="3078" max="3078" width="11.33203125" style="1" customWidth="1"/>
    <col min="3079" max="3306" width="8.83203125" style="1"/>
    <col min="3307" max="3308" width="4.5" style="1" customWidth="1"/>
    <col min="3309" max="3309" width="8.6640625" style="1" customWidth="1"/>
    <col min="3310" max="3310" width="49.1640625" style="1" customWidth="1"/>
    <col min="3311" max="3311" width="3.1640625" style="1" customWidth="1"/>
    <col min="3312" max="3312" width="8.6640625" style="1" customWidth="1"/>
    <col min="3313" max="3313" width="10.5" style="1" customWidth="1"/>
    <col min="3314" max="3314" width="10.1640625" style="1" customWidth="1"/>
    <col min="3315" max="3315" width="11" style="1" customWidth="1"/>
    <col min="3316" max="3316" width="10.33203125" style="1" customWidth="1"/>
    <col min="3317" max="3317" width="9.83203125" style="1" customWidth="1"/>
    <col min="3318" max="3318" width="11.1640625" style="1" customWidth="1"/>
    <col min="3319" max="3319" width="10.5" style="1" customWidth="1"/>
    <col min="3320" max="3320" width="8.83203125" style="1" customWidth="1"/>
    <col min="3321" max="3321" width="10.33203125" style="1" customWidth="1"/>
    <col min="3322" max="3322" width="10.6640625" style="1" customWidth="1"/>
    <col min="3323" max="3323" width="12.5" style="1" customWidth="1"/>
    <col min="3324" max="3324" width="11.83203125" style="1" customWidth="1"/>
    <col min="3325" max="3325" width="11.1640625" style="1" customWidth="1"/>
    <col min="3326" max="3326" width="11" style="1" customWidth="1"/>
    <col min="3327" max="3327" width="11.1640625" style="1" customWidth="1"/>
    <col min="3328" max="3328" width="10.1640625" style="1" customWidth="1"/>
    <col min="3329" max="3329" width="11.83203125" style="1" customWidth="1"/>
    <col min="3330" max="3330" width="8.83203125" style="1"/>
    <col min="3331" max="3331" width="10.1640625" style="1" customWidth="1"/>
    <col min="3332" max="3332" width="10" style="1" customWidth="1"/>
    <col min="3333" max="3333" width="10.83203125" style="1" customWidth="1"/>
    <col min="3334" max="3334" width="11.33203125" style="1" customWidth="1"/>
    <col min="3335" max="3562" width="8.83203125" style="1"/>
    <col min="3563" max="3564" width="4.5" style="1" customWidth="1"/>
    <col min="3565" max="3565" width="8.6640625" style="1" customWidth="1"/>
    <col min="3566" max="3566" width="49.1640625" style="1" customWidth="1"/>
    <col min="3567" max="3567" width="3.1640625" style="1" customWidth="1"/>
    <col min="3568" max="3568" width="8.6640625" style="1" customWidth="1"/>
    <col min="3569" max="3569" width="10.5" style="1" customWidth="1"/>
    <col min="3570" max="3570" width="10.1640625" style="1" customWidth="1"/>
    <col min="3571" max="3571" width="11" style="1" customWidth="1"/>
    <col min="3572" max="3572" width="10.33203125" style="1" customWidth="1"/>
    <col min="3573" max="3573" width="9.83203125" style="1" customWidth="1"/>
    <col min="3574" max="3574" width="11.1640625" style="1" customWidth="1"/>
    <col min="3575" max="3575" width="10.5" style="1" customWidth="1"/>
    <col min="3576" max="3576" width="8.83203125" style="1" customWidth="1"/>
    <col min="3577" max="3577" width="10.33203125" style="1" customWidth="1"/>
    <col min="3578" max="3578" width="10.6640625" style="1" customWidth="1"/>
    <col min="3579" max="3579" width="12.5" style="1" customWidth="1"/>
    <col min="3580" max="3580" width="11.83203125" style="1" customWidth="1"/>
    <col min="3581" max="3581" width="11.1640625" style="1" customWidth="1"/>
    <col min="3582" max="3582" width="11" style="1" customWidth="1"/>
    <col min="3583" max="3583" width="11.1640625" style="1" customWidth="1"/>
    <col min="3584" max="3584" width="10.1640625" style="1" customWidth="1"/>
    <col min="3585" max="3585" width="11.83203125" style="1" customWidth="1"/>
    <col min="3586" max="3586" width="8.83203125" style="1"/>
    <col min="3587" max="3587" width="10.1640625" style="1" customWidth="1"/>
    <col min="3588" max="3588" width="10" style="1" customWidth="1"/>
    <col min="3589" max="3589" width="10.83203125" style="1" customWidth="1"/>
    <col min="3590" max="3590" width="11.33203125" style="1" customWidth="1"/>
    <col min="3591" max="3818" width="8.83203125" style="1"/>
    <col min="3819" max="3820" width="4.5" style="1" customWidth="1"/>
    <col min="3821" max="3821" width="8.6640625" style="1" customWidth="1"/>
    <col min="3822" max="3822" width="49.1640625" style="1" customWidth="1"/>
    <col min="3823" max="3823" width="3.1640625" style="1" customWidth="1"/>
    <col min="3824" max="3824" width="8.6640625" style="1" customWidth="1"/>
    <col min="3825" max="3825" width="10.5" style="1" customWidth="1"/>
    <col min="3826" max="3826" width="10.1640625" style="1" customWidth="1"/>
    <col min="3827" max="3827" width="11" style="1" customWidth="1"/>
    <col min="3828" max="3828" width="10.33203125" style="1" customWidth="1"/>
    <col min="3829" max="3829" width="9.83203125" style="1" customWidth="1"/>
    <col min="3830" max="3830" width="11.1640625" style="1" customWidth="1"/>
    <col min="3831" max="3831" width="10.5" style="1" customWidth="1"/>
    <col min="3832" max="3832" width="8.83203125" style="1" customWidth="1"/>
    <col min="3833" max="3833" width="10.33203125" style="1" customWidth="1"/>
    <col min="3834" max="3834" width="10.6640625" style="1" customWidth="1"/>
    <col min="3835" max="3835" width="12.5" style="1" customWidth="1"/>
    <col min="3836" max="3836" width="11.83203125" style="1" customWidth="1"/>
    <col min="3837" max="3837" width="11.1640625" style="1" customWidth="1"/>
    <col min="3838" max="3838" width="11" style="1" customWidth="1"/>
    <col min="3839" max="3839" width="11.1640625" style="1" customWidth="1"/>
    <col min="3840" max="3840" width="10.1640625" style="1" customWidth="1"/>
    <col min="3841" max="3841" width="11.83203125" style="1" customWidth="1"/>
    <col min="3842" max="3842" width="8.83203125" style="1"/>
    <col min="3843" max="3843" width="10.1640625" style="1" customWidth="1"/>
    <col min="3844" max="3844" width="10" style="1" customWidth="1"/>
    <col min="3845" max="3845" width="10.83203125" style="1" customWidth="1"/>
    <col min="3846" max="3846" width="11.33203125" style="1" customWidth="1"/>
    <col min="3847" max="4074" width="8.83203125" style="1"/>
    <col min="4075" max="4076" width="4.5" style="1" customWidth="1"/>
    <col min="4077" max="4077" width="8.6640625" style="1" customWidth="1"/>
    <col min="4078" max="4078" width="49.1640625" style="1" customWidth="1"/>
    <col min="4079" max="4079" width="3.1640625" style="1" customWidth="1"/>
    <col min="4080" max="4080" width="8.6640625" style="1" customWidth="1"/>
    <col min="4081" max="4081" width="10.5" style="1" customWidth="1"/>
    <col min="4082" max="4082" width="10.1640625" style="1" customWidth="1"/>
    <col min="4083" max="4083" width="11" style="1" customWidth="1"/>
    <col min="4084" max="4084" width="10.33203125" style="1" customWidth="1"/>
    <col min="4085" max="4085" width="9.83203125" style="1" customWidth="1"/>
    <col min="4086" max="4086" width="11.1640625" style="1" customWidth="1"/>
    <col min="4087" max="4087" width="10.5" style="1" customWidth="1"/>
    <col min="4088" max="4088" width="8.83203125" style="1" customWidth="1"/>
    <col min="4089" max="4089" width="10.33203125" style="1" customWidth="1"/>
    <col min="4090" max="4090" width="10.6640625" style="1" customWidth="1"/>
    <col min="4091" max="4091" width="12.5" style="1" customWidth="1"/>
    <col min="4092" max="4092" width="11.83203125" style="1" customWidth="1"/>
    <col min="4093" max="4093" width="11.1640625" style="1" customWidth="1"/>
    <col min="4094" max="4094" width="11" style="1" customWidth="1"/>
    <col min="4095" max="4095" width="11.1640625" style="1" customWidth="1"/>
    <col min="4096" max="4096" width="10.1640625" style="1" customWidth="1"/>
    <col min="4097" max="4097" width="11.83203125" style="1" customWidth="1"/>
    <col min="4098" max="4098" width="8.83203125" style="1"/>
    <col min="4099" max="4099" width="10.1640625" style="1" customWidth="1"/>
    <col min="4100" max="4100" width="10" style="1" customWidth="1"/>
    <col min="4101" max="4101" width="10.83203125" style="1" customWidth="1"/>
    <col min="4102" max="4102" width="11.33203125" style="1" customWidth="1"/>
    <col min="4103" max="4330" width="8.83203125" style="1"/>
    <col min="4331" max="4332" width="4.5" style="1" customWidth="1"/>
    <col min="4333" max="4333" width="8.6640625" style="1" customWidth="1"/>
    <col min="4334" max="4334" width="49.1640625" style="1" customWidth="1"/>
    <col min="4335" max="4335" width="3.1640625" style="1" customWidth="1"/>
    <col min="4336" max="4336" width="8.6640625" style="1" customWidth="1"/>
    <col min="4337" max="4337" width="10.5" style="1" customWidth="1"/>
    <col min="4338" max="4338" width="10.1640625" style="1" customWidth="1"/>
    <col min="4339" max="4339" width="11" style="1" customWidth="1"/>
    <col min="4340" max="4340" width="10.33203125" style="1" customWidth="1"/>
    <col min="4341" max="4341" width="9.83203125" style="1" customWidth="1"/>
    <col min="4342" max="4342" width="11.1640625" style="1" customWidth="1"/>
    <col min="4343" max="4343" width="10.5" style="1" customWidth="1"/>
    <col min="4344" max="4344" width="8.83203125" style="1" customWidth="1"/>
    <col min="4345" max="4345" width="10.33203125" style="1" customWidth="1"/>
    <col min="4346" max="4346" width="10.6640625" style="1" customWidth="1"/>
    <col min="4347" max="4347" width="12.5" style="1" customWidth="1"/>
    <col min="4348" max="4348" width="11.83203125" style="1" customWidth="1"/>
    <col min="4349" max="4349" width="11.1640625" style="1" customWidth="1"/>
    <col min="4350" max="4350" width="11" style="1" customWidth="1"/>
    <col min="4351" max="4351" width="11.1640625" style="1" customWidth="1"/>
    <col min="4352" max="4352" width="10.1640625" style="1" customWidth="1"/>
    <col min="4353" max="4353" width="11.83203125" style="1" customWidth="1"/>
    <col min="4354" max="4354" width="8.83203125" style="1"/>
    <col min="4355" max="4355" width="10.1640625" style="1" customWidth="1"/>
    <col min="4356" max="4356" width="10" style="1" customWidth="1"/>
    <col min="4357" max="4357" width="10.83203125" style="1" customWidth="1"/>
    <col min="4358" max="4358" width="11.33203125" style="1" customWidth="1"/>
    <col min="4359" max="4586" width="8.83203125" style="1"/>
    <col min="4587" max="4588" width="4.5" style="1" customWidth="1"/>
    <col min="4589" max="4589" width="8.6640625" style="1" customWidth="1"/>
    <col min="4590" max="4590" width="49.1640625" style="1" customWidth="1"/>
    <col min="4591" max="4591" width="3.1640625" style="1" customWidth="1"/>
    <col min="4592" max="4592" width="8.6640625" style="1" customWidth="1"/>
    <col min="4593" max="4593" width="10.5" style="1" customWidth="1"/>
    <col min="4594" max="4594" width="10.1640625" style="1" customWidth="1"/>
    <col min="4595" max="4595" width="11" style="1" customWidth="1"/>
    <col min="4596" max="4596" width="10.33203125" style="1" customWidth="1"/>
    <col min="4597" max="4597" width="9.83203125" style="1" customWidth="1"/>
    <col min="4598" max="4598" width="11.1640625" style="1" customWidth="1"/>
    <col min="4599" max="4599" width="10.5" style="1" customWidth="1"/>
    <col min="4600" max="4600" width="8.83203125" style="1" customWidth="1"/>
    <col min="4601" max="4601" width="10.33203125" style="1" customWidth="1"/>
    <col min="4602" max="4602" width="10.6640625" style="1" customWidth="1"/>
    <col min="4603" max="4603" width="12.5" style="1" customWidth="1"/>
    <col min="4604" max="4604" width="11.83203125" style="1" customWidth="1"/>
    <col min="4605" max="4605" width="11.1640625" style="1" customWidth="1"/>
    <col min="4606" max="4606" width="11" style="1" customWidth="1"/>
    <col min="4607" max="4607" width="11.1640625" style="1" customWidth="1"/>
    <col min="4608" max="4608" width="10.1640625" style="1" customWidth="1"/>
    <col min="4609" max="4609" width="11.83203125" style="1" customWidth="1"/>
    <col min="4610" max="4610" width="8.83203125" style="1"/>
    <col min="4611" max="4611" width="10.1640625" style="1" customWidth="1"/>
    <col min="4612" max="4612" width="10" style="1" customWidth="1"/>
    <col min="4613" max="4613" width="10.83203125" style="1" customWidth="1"/>
    <col min="4614" max="4614" width="11.33203125" style="1" customWidth="1"/>
    <col min="4615" max="4842" width="8.83203125" style="1"/>
    <col min="4843" max="4844" width="4.5" style="1" customWidth="1"/>
    <col min="4845" max="4845" width="8.6640625" style="1" customWidth="1"/>
    <col min="4846" max="4846" width="49.1640625" style="1" customWidth="1"/>
    <col min="4847" max="4847" width="3.1640625" style="1" customWidth="1"/>
    <col min="4848" max="4848" width="8.6640625" style="1" customWidth="1"/>
    <col min="4849" max="4849" width="10.5" style="1" customWidth="1"/>
    <col min="4850" max="4850" width="10.1640625" style="1" customWidth="1"/>
    <col min="4851" max="4851" width="11" style="1" customWidth="1"/>
    <col min="4852" max="4852" width="10.33203125" style="1" customWidth="1"/>
    <col min="4853" max="4853" width="9.83203125" style="1" customWidth="1"/>
    <col min="4854" max="4854" width="11.1640625" style="1" customWidth="1"/>
    <col min="4855" max="4855" width="10.5" style="1" customWidth="1"/>
    <col min="4856" max="4856" width="8.83203125" style="1" customWidth="1"/>
    <col min="4857" max="4857" width="10.33203125" style="1" customWidth="1"/>
    <col min="4858" max="4858" width="10.6640625" style="1" customWidth="1"/>
    <col min="4859" max="4859" width="12.5" style="1" customWidth="1"/>
    <col min="4860" max="4860" width="11.83203125" style="1" customWidth="1"/>
    <col min="4861" max="4861" width="11.1640625" style="1" customWidth="1"/>
    <col min="4862" max="4862" width="11" style="1" customWidth="1"/>
    <col min="4863" max="4863" width="11.1640625" style="1" customWidth="1"/>
    <col min="4864" max="4864" width="10.1640625" style="1" customWidth="1"/>
    <col min="4865" max="4865" width="11.83203125" style="1" customWidth="1"/>
    <col min="4866" max="4866" width="8.83203125" style="1"/>
    <col min="4867" max="4867" width="10.1640625" style="1" customWidth="1"/>
    <col min="4868" max="4868" width="10" style="1" customWidth="1"/>
    <col min="4869" max="4869" width="10.83203125" style="1" customWidth="1"/>
    <col min="4870" max="4870" width="11.33203125" style="1" customWidth="1"/>
    <col min="4871" max="5098" width="8.83203125" style="1"/>
    <col min="5099" max="5100" width="4.5" style="1" customWidth="1"/>
    <col min="5101" max="5101" width="8.6640625" style="1" customWidth="1"/>
    <col min="5102" max="5102" width="49.1640625" style="1" customWidth="1"/>
    <col min="5103" max="5103" width="3.1640625" style="1" customWidth="1"/>
    <col min="5104" max="5104" width="8.6640625" style="1" customWidth="1"/>
    <col min="5105" max="5105" width="10.5" style="1" customWidth="1"/>
    <col min="5106" max="5106" width="10.1640625" style="1" customWidth="1"/>
    <col min="5107" max="5107" width="11" style="1" customWidth="1"/>
    <col min="5108" max="5108" width="10.33203125" style="1" customWidth="1"/>
    <col min="5109" max="5109" width="9.83203125" style="1" customWidth="1"/>
    <col min="5110" max="5110" width="11.1640625" style="1" customWidth="1"/>
    <col min="5111" max="5111" width="10.5" style="1" customWidth="1"/>
    <col min="5112" max="5112" width="8.83203125" style="1" customWidth="1"/>
    <col min="5113" max="5113" width="10.33203125" style="1" customWidth="1"/>
    <col min="5114" max="5114" width="10.6640625" style="1" customWidth="1"/>
    <col min="5115" max="5115" width="12.5" style="1" customWidth="1"/>
    <col min="5116" max="5116" width="11.83203125" style="1" customWidth="1"/>
    <col min="5117" max="5117" width="11.1640625" style="1" customWidth="1"/>
    <col min="5118" max="5118" width="11" style="1" customWidth="1"/>
    <col min="5119" max="5119" width="11.1640625" style="1" customWidth="1"/>
    <col min="5120" max="5120" width="10.1640625" style="1" customWidth="1"/>
    <col min="5121" max="5121" width="11.83203125" style="1" customWidth="1"/>
    <col min="5122" max="5122" width="8.83203125" style="1"/>
    <col min="5123" max="5123" width="10.1640625" style="1" customWidth="1"/>
    <col min="5124" max="5124" width="10" style="1" customWidth="1"/>
    <col min="5125" max="5125" width="10.83203125" style="1" customWidth="1"/>
    <col min="5126" max="5126" width="11.33203125" style="1" customWidth="1"/>
    <col min="5127" max="5354" width="8.83203125" style="1"/>
    <col min="5355" max="5356" width="4.5" style="1" customWidth="1"/>
    <col min="5357" max="5357" width="8.6640625" style="1" customWidth="1"/>
    <col min="5358" max="5358" width="49.1640625" style="1" customWidth="1"/>
    <col min="5359" max="5359" width="3.1640625" style="1" customWidth="1"/>
    <col min="5360" max="5360" width="8.6640625" style="1" customWidth="1"/>
    <col min="5361" max="5361" width="10.5" style="1" customWidth="1"/>
    <col min="5362" max="5362" width="10.1640625" style="1" customWidth="1"/>
    <col min="5363" max="5363" width="11" style="1" customWidth="1"/>
    <col min="5364" max="5364" width="10.33203125" style="1" customWidth="1"/>
    <col min="5365" max="5365" width="9.83203125" style="1" customWidth="1"/>
    <col min="5366" max="5366" width="11.1640625" style="1" customWidth="1"/>
    <col min="5367" max="5367" width="10.5" style="1" customWidth="1"/>
    <col min="5368" max="5368" width="8.83203125" style="1" customWidth="1"/>
    <col min="5369" max="5369" width="10.33203125" style="1" customWidth="1"/>
    <col min="5370" max="5370" width="10.6640625" style="1" customWidth="1"/>
    <col min="5371" max="5371" width="12.5" style="1" customWidth="1"/>
    <col min="5372" max="5372" width="11.83203125" style="1" customWidth="1"/>
    <col min="5373" max="5373" width="11.1640625" style="1" customWidth="1"/>
    <col min="5374" max="5374" width="11" style="1" customWidth="1"/>
    <col min="5375" max="5375" width="11.1640625" style="1" customWidth="1"/>
    <col min="5376" max="5376" width="10.1640625" style="1" customWidth="1"/>
    <col min="5377" max="5377" width="11.83203125" style="1" customWidth="1"/>
    <col min="5378" max="5378" width="8.83203125" style="1"/>
    <col min="5379" max="5379" width="10.1640625" style="1" customWidth="1"/>
    <col min="5380" max="5380" width="10" style="1" customWidth="1"/>
    <col min="5381" max="5381" width="10.83203125" style="1" customWidth="1"/>
    <col min="5382" max="5382" width="11.33203125" style="1" customWidth="1"/>
    <col min="5383" max="5610" width="8.83203125" style="1"/>
    <col min="5611" max="5612" width="4.5" style="1" customWidth="1"/>
    <col min="5613" max="5613" width="8.6640625" style="1" customWidth="1"/>
    <col min="5614" max="5614" width="49.1640625" style="1" customWidth="1"/>
    <col min="5615" max="5615" width="3.1640625" style="1" customWidth="1"/>
    <col min="5616" max="5616" width="8.6640625" style="1" customWidth="1"/>
    <col min="5617" max="5617" width="10.5" style="1" customWidth="1"/>
    <col min="5618" max="5618" width="10.1640625" style="1" customWidth="1"/>
    <col min="5619" max="5619" width="11" style="1" customWidth="1"/>
    <col min="5620" max="5620" width="10.33203125" style="1" customWidth="1"/>
    <col min="5621" max="5621" width="9.83203125" style="1" customWidth="1"/>
    <col min="5622" max="5622" width="11.1640625" style="1" customWidth="1"/>
    <col min="5623" max="5623" width="10.5" style="1" customWidth="1"/>
    <col min="5624" max="5624" width="8.83203125" style="1" customWidth="1"/>
    <col min="5625" max="5625" width="10.33203125" style="1" customWidth="1"/>
    <col min="5626" max="5626" width="10.6640625" style="1" customWidth="1"/>
    <col min="5627" max="5627" width="12.5" style="1" customWidth="1"/>
    <col min="5628" max="5628" width="11.83203125" style="1" customWidth="1"/>
    <col min="5629" max="5629" width="11.1640625" style="1" customWidth="1"/>
    <col min="5630" max="5630" width="11" style="1" customWidth="1"/>
    <col min="5631" max="5631" width="11.1640625" style="1" customWidth="1"/>
    <col min="5632" max="5632" width="10.1640625" style="1" customWidth="1"/>
    <col min="5633" max="5633" width="11.83203125" style="1" customWidth="1"/>
    <col min="5634" max="5634" width="8.83203125" style="1"/>
    <col min="5635" max="5635" width="10.1640625" style="1" customWidth="1"/>
    <col min="5636" max="5636" width="10" style="1" customWidth="1"/>
    <col min="5637" max="5637" width="10.83203125" style="1" customWidth="1"/>
    <col min="5638" max="5638" width="11.33203125" style="1" customWidth="1"/>
    <col min="5639" max="5866" width="8.83203125" style="1"/>
    <col min="5867" max="5868" width="4.5" style="1" customWidth="1"/>
    <col min="5869" max="5869" width="8.6640625" style="1" customWidth="1"/>
    <col min="5870" max="5870" width="49.1640625" style="1" customWidth="1"/>
    <col min="5871" max="5871" width="3.1640625" style="1" customWidth="1"/>
    <col min="5872" max="5872" width="8.6640625" style="1" customWidth="1"/>
    <col min="5873" max="5873" width="10.5" style="1" customWidth="1"/>
    <col min="5874" max="5874" width="10.1640625" style="1" customWidth="1"/>
    <col min="5875" max="5875" width="11" style="1" customWidth="1"/>
    <col min="5876" max="5876" width="10.33203125" style="1" customWidth="1"/>
    <col min="5877" max="5877" width="9.83203125" style="1" customWidth="1"/>
    <col min="5878" max="5878" width="11.1640625" style="1" customWidth="1"/>
    <col min="5879" max="5879" width="10.5" style="1" customWidth="1"/>
    <col min="5880" max="5880" width="8.83203125" style="1" customWidth="1"/>
    <col min="5881" max="5881" width="10.33203125" style="1" customWidth="1"/>
    <col min="5882" max="5882" width="10.6640625" style="1" customWidth="1"/>
    <col min="5883" max="5883" width="12.5" style="1" customWidth="1"/>
    <col min="5884" max="5884" width="11.83203125" style="1" customWidth="1"/>
    <col min="5885" max="5885" width="11.1640625" style="1" customWidth="1"/>
    <col min="5886" max="5886" width="11" style="1" customWidth="1"/>
    <col min="5887" max="5887" width="11.1640625" style="1" customWidth="1"/>
    <col min="5888" max="5888" width="10.1640625" style="1" customWidth="1"/>
    <col min="5889" max="5889" width="11.83203125" style="1" customWidth="1"/>
    <col min="5890" max="5890" width="8.83203125" style="1"/>
    <col min="5891" max="5891" width="10.1640625" style="1" customWidth="1"/>
    <col min="5892" max="5892" width="10" style="1" customWidth="1"/>
    <col min="5893" max="5893" width="10.83203125" style="1" customWidth="1"/>
    <col min="5894" max="5894" width="11.33203125" style="1" customWidth="1"/>
    <col min="5895" max="6122" width="8.83203125" style="1"/>
    <col min="6123" max="6124" width="4.5" style="1" customWidth="1"/>
    <col min="6125" max="6125" width="8.6640625" style="1" customWidth="1"/>
    <col min="6126" max="6126" width="49.1640625" style="1" customWidth="1"/>
    <col min="6127" max="6127" width="3.1640625" style="1" customWidth="1"/>
    <col min="6128" max="6128" width="8.6640625" style="1" customWidth="1"/>
    <col min="6129" max="6129" width="10.5" style="1" customWidth="1"/>
    <col min="6130" max="6130" width="10.1640625" style="1" customWidth="1"/>
    <col min="6131" max="6131" width="11" style="1" customWidth="1"/>
    <col min="6132" max="6132" width="10.33203125" style="1" customWidth="1"/>
    <col min="6133" max="6133" width="9.83203125" style="1" customWidth="1"/>
    <col min="6134" max="6134" width="11.1640625" style="1" customWidth="1"/>
    <col min="6135" max="6135" width="10.5" style="1" customWidth="1"/>
    <col min="6136" max="6136" width="8.83203125" style="1" customWidth="1"/>
    <col min="6137" max="6137" width="10.33203125" style="1" customWidth="1"/>
    <col min="6138" max="6138" width="10.6640625" style="1" customWidth="1"/>
    <col min="6139" max="6139" width="12.5" style="1" customWidth="1"/>
    <col min="6140" max="6140" width="11.83203125" style="1" customWidth="1"/>
    <col min="6141" max="6141" width="11.1640625" style="1" customWidth="1"/>
    <col min="6142" max="6142" width="11" style="1" customWidth="1"/>
    <col min="6143" max="6143" width="11.1640625" style="1" customWidth="1"/>
    <col min="6144" max="6144" width="10.1640625" style="1" customWidth="1"/>
    <col min="6145" max="6145" width="11.83203125" style="1" customWidth="1"/>
    <col min="6146" max="6146" width="8.83203125" style="1"/>
    <col min="6147" max="6147" width="10.1640625" style="1" customWidth="1"/>
    <col min="6148" max="6148" width="10" style="1" customWidth="1"/>
    <col min="6149" max="6149" width="10.83203125" style="1" customWidth="1"/>
    <col min="6150" max="6150" width="11.33203125" style="1" customWidth="1"/>
    <col min="6151" max="6378" width="8.83203125" style="1"/>
    <col min="6379" max="6380" width="4.5" style="1" customWidth="1"/>
    <col min="6381" max="6381" width="8.6640625" style="1" customWidth="1"/>
    <col min="6382" max="6382" width="49.1640625" style="1" customWidth="1"/>
    <col min="6383" max="6383" width="3.1640625" style="1" customWidth="1"/>
    <col min="6384" max="6384" width="8.6640625" style="1" customWidth="1"/>
    <col min="6385" max="6385" width="10.5" style="1" customWidth="1"/>
    <col min="6386" max="6386" width="10.1640625" style="1" customWidth="1"/>
    <col min="6387" max="6387" width="11" style="1" customWidth="1"/>
    <col min="6388" max="6388" width="10.33203125" style="1" customWidth="1"/>
    <col min="6389" max="6389" width="9.83203125" style="1" customWidth="1"/>
    <col min="6390" max="6390" width="11.1640625" style="1" customWidth="1"/>
    <col min="6391" max="6391" width="10.5" style="1" customWidth="1"/>
    <col min="6392" max="6392" width="8.83203125" style="1" customWidth="1"/>
    <col min="6393" max="6393" width="10.33203125" style="1" customWidth="1"/>
    <col min="6394" max="6394" width="10.6640625" style="1" customWidth="1"/>
    <col min="6395" max="6395" width="12.5" style="1" customWidth="1"/>
    <col min="6396" max="6396" width="11.83203125" style="1" customWidth="1"/>
    <col min="6397" max="6397" width="11.1640625" style="1" customWidth="1"/>
    <col min="6398" max="6398" width="11" style="1" customWidth="1"/>
    <col min="6399" max="6399" width="11.1640625" style="1" customWidth="1"/>
    <col min="6400" max="6400" width="10.1640625" style="1" customWidth="1"/>
    <col min="6401" max="6401" width="11.83203125" style="1" customWidth="1"/>
    <col min="6402" max="6402" width="8.83203125" style="1"/>
    <col min="6403" max="6403" width="10.1640625" style="1" customWidth="1"/>
    <col min="6404" max="6404" width="10" style="1" customWidth="1"/>
    <col min="6405" max="6405" width="10.83203125" style="1" customWidth="1"/>
    <col min="6406" max="6406" width="11.33203125" style="1" customWidth="1"/>
    <col min="6407" max="6634" width="8.83203125" style="1"/>
    <col min="6635" max="6636" width="4.5" style="1" customWidth="1"/>
    <col min="6637" max="6637" width="8.6640625" style="1" customWidth="1"/>
    <col min="6638" max="6638" width="49.1640625" style="1" customWidth="1"/>
    <col min="6639" max="6639" width="3.1640625" style="1" customWidth="1"/>
    <col min="6640" max="6640" width="8.6640625" style="1" customWidth="1"/>
    <col min="6641" max="6641" width="10.5" style="1" customWidth="1"/>
    <col min="6642" max="6642" width="10.1640625" style="1" customWidth="1"/>
    <col min="6643" max="6643" width="11" style="1" customWidth="1"/>
    <col min="6644" max="6644" width="10.33203125" style="1" customWidth="1"/>
    <col min="6645" max="6645" width="9.83203125" style="1" customWidth="1"/>
    <col min="6646" max="6646" width="11.1640625" style="1" customWidth="1"/>
    <col min="6647" max="6647" width="10.5" style="1" customWidth="1"/>
    <col min="6648" max="6648" width="8.83203125" style="1" customWidth="1"/>
    <col min="6649" max="6649" width="10.33203125" style="1" customWidth="1"/>
    <col min="6650" max="6650" width="10.6640625" style="1" customWidth="1"/>
    <col min="6651" max="6651" width="12.5" style="1" customWidth="1"/>
    <col min="6652" max="6652" width="11.83203125" style="1" customWidth="1"/>
    <col min="6653" max="6653" width="11.1640625" style="1" customWidth="1"/>
    <col min="6654" max="6654" width="11" style="1" customWidth="1"/>
    <col min="6655" max="6655" width="11.1640625" style="1" customWidth="1"/>
    <col min="6656" max="6656" width="10.1640625" style="1" customWidth="1"/>
    <col min="6657" max="6657" width="11.83203125" style="1" customWidth="1"/>
    <col min="6658" max="6658" width="8.83203125" style="1"/>
    <col min="6659" max="6659" width="10.1640625" style="1" customWidth="1"/>
    <col min="6660" max="6660" width="10" style="1" customWidth="1"/>
    <col min="6661" max="6661" width="10.83203125" style="1" customWidth="1"/>
    <col min="6662" max="6662" width="11.33203125" style="1" customWidth="1"/>
    <col min="6663" max="6890" width="8.83203125" style="1"/>
    <col min="6891" max="6892" width="4.5" style="1" customWidth="1"/>
    <col min="6893" max="6893" width="8.6640625" style="1" customWidth="1"/>
    <col min="6894" max="6894" width="49.1640625" style="1" customWidth="1"/>
    <col min="6895" max="6895" width="3.1640625" style="1" customWidth="1"/>
    <col min="6896" max="6896" width="8.6640625" style="1" customWidth="1"/>
    <col min="6897" max="6897" width="10.5" style="1" customWidth="1"/>
    <col min="6898" max="6898" width="10.1640625" style="1" customWidth="1"/>
    <col min="6899" max="6899" width="11" style="1" customWidth="1"/>
    <col min="6900" max="6900" width="10.33203125" style="1" customWidth="1"/>
    <col min="6901" max="6901" width="9.83203125" style="1" customWidth="1"/>
    <col min="6902" max="6902" width="11.1640625" style="1" customWidth="1"/>
    <col min="6903" max="6903" width="10.5" style="1" customWidth="1"/>
    <col min="6904" max="6904" width="8.83203125" style="1" customWidth="1"/>
    <col min="6905" max="6905" width="10.33203125" style="1" customWidth="1"/>
    <col min="6906" max="6906" width="10.6640625" style="1" customWidth="1"/>
    <col min="6907" max="6907" width="12.5" style="1" customWidth="1"/>
    <col min="6908" max="6908" width="11.83203125" style="1" customWidth="1"/>
    <col min="6909" max="6909" width="11.1640625" style="1" customWidth="1"/>
    <col min="6910" max="6910" width="11" style="1" customWidth="1"/>
    <col min="6911" max="6911" width="11.1640625" style="1" customWidth="1"/>
    <col min="6912" max="6912" width="10.1640625" style="1" customWidth="1"/>
    <col min="6913" max="6913" width="11.83203125" style="1" customWidth="1"/>
    <col min="6914" max="6914" width="8.83203125" style="1"/>
    <col min="6915" max="6915" width="10.1640625" style="1" customWidth="1"/>
    <col min="6916" max="6916" width="10" style="1" customWidth="1"/>
    <col min="6917" max="6917" width="10.83203125" style="1" customWidth="1"/>
    <col min="6918" max="6918" width="11.33203125" style="1" customWidth="1"/>
    <col min="6919" max="7146" width="8.83203125" style="1"/>
    <col min="7147" max="7148" width="4.5" style="1" customWidth="1"/>
    <col min="7149" max="7149" width="8.6640625" style="1" customWidth="1"/>
    <col min="7150" max="7150" width="49.1640625" style="1" customWidth="1"/>
    <col min="7151" max="7151" width="3.1640625" style="1" customWidth="1"/>
    <col min="7152" max="7152" width="8.6640625" style="1" customWidth="1"/>
    <col min="7153" max="7153" width="10.5" style="1" customWidth="1"/>
    <col min="7154" max="7154" width="10.1640625" style="1" customWidth="1"/>
    <col min="7155" max="7155" width="11" style="1" customWidth="1"/>
    <col min="7156" max="7156" width="10.33203125" style="1" customWidth="1"/>
    <col min="7157" max="7157" width="9.83203125" style="1" customWidth="1"/>
    <col min="7158" max="7158" width="11.1640625" style="1" customWidth="1"/>
    <col min="7159" max="7159" width="10.5" style="1" customWidth="1"/>
    <col min="7160" max="7160" width="8.83203125" style="1" customWidth="1"/>
    <col min="7161" max="7161" width="10.33203125" style="1" customWidth="1"/>
    <col min="7162" max="7162" width="10.6640625" style="1" customWidth="1"/>
    <col min="7163" max="7163" width="12.5" style="1" customWidth="1"/>
    <col min="7164" max="7164" width="11.83203125" style="1" customWidth="1"/>
    <col min="7165" max="7165" width="11.1640625" style="1" customWidth="1"/>
    <col min="7166" max="7166" width="11" style="1" customWidth="1"/>
    <col min="7167" max="7167" width="11.1640625" style="1" customWidth="1"/>
    <col min="7168" max="7168" width="10.1640625" style="1" customWidth="1"/>
    <col min="7169" max="7169" width="11.83203125" style="1" customWidth="1"/>
    <col min="7170" max="7170" width="8.83203125" style="1"/>
    <col min="7171" max="7171" width="10.1640625" style="1" customWidth="1"/>
    <col min="7172" max="7172" width="10" style="1" customWidth="1"/>
    <col min="7173" max="7173" width="10.83203125" style="1" customWidth="1"/>
    <col min="7174" max="7174" width="11.33203125" style="1" customWidth="1"/>
    <col min="7175" max="7402" width="8.83203125" style="1"/>
    <col min="7403" max="7404" width="4.5" style="1" customWidth="1"/>
    <col min="7405" max="7405" width="8.6640625" style="1" customWidth="1"/>
    <col min="7406" max="7406" width="49.1640625" style="1" customWidth="1"/>
    <col min="7407" max="7407" width="3.1640625" style="1" customWidth="1"/>
    <col min="7408" max="7408" width="8.6640625" style="1" customWidth="1"/>
    <col min="7409" max="7409" width="10.5" style="1" customWidth="1"/>
    <col min="7410" max="7410" width="10.1640625" style="1" customWidth="1"/>
    <col min="7411" max="7411" width="11" style="1" customWidth="1"/>
    <col min="7412" max="7412" width="10.33203125" style="1" customWidth="1"/>
    <col min="7413" max="7413" width="9.83203125" style="1" customWidth="1"/>
    <col min="7414" max="7414" width="11.1640625" style="1" customWidth="1"/>
    <col min="7415" max="7415" width="10.5" style="1" customWidth="1"/>
    <col min="7416" max="7416" width="8.83203125" style="1" customWidth="1"/>
    <col min="7417" max="7417" width="10.33203125" style="1" customWidth="1"/>
    <col min="7418" max="7418" width="10.6640625" style="1" customWidth="1"/>
    <col min="7419" max="7419" width="12.5" style="1" customWidth="1"/>
    <col min="7420" max="7420" width="11.83203125" style="1" customWidth="1"/>
    <col min="7421" max="7421" width="11.1640625" style="1" customWidth="1"/>
    <col min="7422" max="7422" width="11" style="1" customWidth="1"/>
    <col min="7423" max="7423" width="11.1640625" style="1" customWidth="1"/>
    <col min="7424" max="7424" width="10.1640625" style="1" customWidth="1"/>
    <col min="7425" max="7425" width="11.83203125" style="1" customWidth="1"/>
    <col min="7426" max="7426" width="8.83203125" style="1"/>
    <col min="7427" max="7427" width="10.1640625" style="1" customWidth="1"/>
    <col min="7428" max="7428" width="10" style="1" customWidth="1"/>
    <col min="7429" max="7429" width="10.83203125" style="1" customWidth="1"/>
    <col min="7430" max="7430" width="11.33203125" style="1" customWidth="1"/>
    <col min="7431" max="7658" width="8.83203125" style="1"/>
    <col min="7659" max="7660" width="4.5" style="1" customWidth="1"/>
    <col min="7661" max="7661" width="8.6640625" style="1" customWidth="1"/>
    <col min="7662" max="7662" width="49.1640625" style="1" customWidth="1"/>
    <col min="7663" max="7663" width="3.1640625" style="1" customWidth="1"/>
    <col min="7664" max="7664" width="8.6640625" style="1" customWidth="1"/>
    <col min="7665" max="7665" width="10.5" style="1" customWidth="1"/>
    <col min="7666" max="7666" width="10.1640625" style="1" customWidth="1"/>
    <col min="7667" max="7667" width="11" style="1" customWidth="1"/>
    <col min="7668" max="7668" width="10.33203125" style="1" customWidth="1"/>
    <col min="7669" max="7669" width="9.83203125" style="1" customWidth="1"/>
    <col min="7670" max="7670" width="11.1640625" style="1" customWidth="1"/>
    <col min="7671" max="7671" width="10.5" style="1" customWidth="1"/>
    <col min="7672" max="7672" width="8.83203125" style="1" customWidth="1"/>
    <col min="7673" max="7673" width="10.33203125" style="1" customWidth="1"/>
    <col min="7674" max="7674" width="10.6640625" style="1" customWidth="1"/>
    <col min="7675" max="7675" width="12.5" style="1" customWidth="1"/>
    <col min="7676" max="7676" width="11.83203125" style="1" customWidth="1"/>
    <col min="7677" max="7677" width="11.1640625" style="1" customWidth="1"/>
    <col min="7678" max="7678" width="11" style="1" customWidth="1"/>
    <col min="7679" max="7679" width="11.1640625" style="1" customWidth="1"/>
    <col min="7680" max="7680" width="10.1640625" style="1" customWidth="1"/>
    <col min="7681" max="7681" width="11.83203125" style="1" customWidth="1"/>
    <col min="7682" max="7682" width="8.83203125" style="1"/>
    <col min="7683" max="7683" width="10.1640625" style="1" customWidth="1"/>
    <col min="7684" max="7684" width="10" style="1" customWidth="1"/>
    <col min="7685" max="7685" width="10.83203125" style="1" customWidth="1"/>
    <col min="7686" max="7686" width="11.33203125" style="1" customWidth="1"/>
    <col min="7687" max="7914" width="8.83203125" style="1"/>
    <col min="7915" max="7916" width="4.5" style="1" customWidth="1"/>
    <col min="7917" max="7917" width="8.6640625" style="1" customWidth="1"/>
    <col min="7918" max="7918" width="49.1640625" style="1" customWidth="1"/>
    <col min="7919" max="7919" width="3.1640625" style="1" customWidth="1"/>
    <col min="7920" max="7920" width="8.6640625" style="1" customWidth="1"/>
    <col min="7921" max="7921" width="10.5" style="1" customWidth="1"/>
    <col min="7922" max="7922" width="10.1640625" style="1" customWidth="1"/>
    <col min="7923" max="7923" width="11" style="1" customWidth="1"/>
    <col min="7924" max="7924" width="10.33203125" style="1" customWidth="1"/>
    <col min="7925" max="7925" width="9.83203125" style="1" customWidth="1"/>
    <col min="7926" max="7926" width="11.1640625" style="1" customWidth="1"/>
    <col min="7927" max="7927" width="10.5" style="1" customWidth="1"/>
    <col min="7928" max="7928" width="8.83203125" style="1" customWidth="1"/>
    <col min="7929" max="7929" width="10.33203125" style="1" customWidth="1"/>
    <col min="7930" max="7930" width="10.6640625" style="1" customWidth="1"/>
    <col min="7931" max="7931" width="12.5" style="1" customWidth="1"/>
    <col min="7932" max="7932" width="11.83203125" style="1" customWidth="1"/>
    <col min="7933" max="7933" width="11.1640625" style="1" customWidth="1"/>
    <col min="7934" max="7934" width="11" style="1" customWidth="1"/>
    <col min="7935" max="7935" width="11.1640625" style="1" customWidth="1"/>
    <col min="7936" max="7936" width="10.1640625" style="1" customWidth="1"/>
    <col min="7937" max="7937" width="11.83203125" style="1" customWidth="1"/>
    <col min="7938" max="7938" width="8.83203125" style="1"/>
    <col min="7939" max="7939" width="10.1640625" style="1" customWidth="1"/>
    <col min="7940" max="7940" width="10" style="1" customWidth="1"/>
    <col min="7941" max="7941" width="10.83203125" style="1" customWidth="1"/>
    <col min="7942" max="7942" width="11.33203125" style="1" customWidth="1"/>
    <col min="7943" max="8170" width="8.83203125" style="1"/>
    <col min="8171" max="8172" width="4.5" style="1" customWidth="1"/>
    <col min="8173" max="8173" width="8.6640625" style="1" customWidth="1"/>
    <col min="8174" max="8174" width="49.1640625" style="1" customWidth="1"/>
    <col min="8175" max="8175" width="3.1640625" style="1" customWidth="1"/>
    <col min="8176" max="8176" width="8.6640625" style="1" customWidth="1"/>
    <col min="8177" max="8177" width="10.5" style="1" customWidth="1"/>
    <col min="8178" max="8178" width="10.1640625" style="1" customWidth="1"/>
    <col min="8179" max="8179" width="11" style="1" customWidth="1"/>
    <col min="8180" max="8180" width="10.33203125" style="1" customWidth="1"/>
    <col min="8181" max="8181" width="9.83203125" style="1" customWidth="1"/>
    <col min="8182" max="8182" width="11.1640625" style="1" customWidth="1"/>
    <col min="8183" max="8183" width="10.5" style="1" customWidth="1"/>
    <col min="8184" max="8184" width="8.83203125" style="1" customWidth="1"/>
    <col min="8185" max="8185" width="10.33203125" style="1" customWidth="1"/>
    <col min="8186" max="8186" width="10.6640625" style="1" customWidth="1"/>
    <col min="8187" max="8187" width="12.5" style="1" customWidth="1"/>
    <col min="8188" max="8188" width="11.83203125" style="1" customWidth="1"/>
    <col min="8189" max="8189" width="11.1640625" style="1" customWidth="1"/>
    <col min="8190" max="8190" width="11" style="1" customWidth="1"/>
    <col min="8191" max="8191" width="11.1640625" style="1" customWidth="1"/>
    <col min="8192" max="8192" width="10.1640625" style="1" customWidth="1"/>
    <col min="8193" max="8193" width="11.83203125" style="1" customWidth="1"/>
    <col min="8194" max="8194" width="8.83203125" style="1"/>
    <col min="8195" max="8195" width="10.1640625" style="1" customWidth="1"/>
    <col min="8196" max="8196" width="10" style="1" customWidth="1"/>
    <col min="8197" max="8197" width="10.83203125" style="1" customWidth="1"/>
    <col min="8198" max="8198" width="11.33203125" style="1" customWidth="1"/>
    <col min="8199" max="8426" width="8.83203125" style="1"/>
    <col min="8427" max="8428" width="4.5" style="1" customWidth="1"/>
    <col min="8429" max="8429" width="8.6640625" style="1" customWidth="1"/>
    <col min="8430" max="8430" width="49.1640625" style="1" customWidth="1"/>
    <col min="8431" max="8431" width="3.1640625" style="1" customWidth="1"/>
    <col min="8432" max="8432" width="8.6640625" style="1" customWidth="1"/>
    <col min="8433" max="8433" width="10.5" style="1" customWidth="1"/>
    <col min="8434" max="8434" width="10.1640625" style="1" customWidth="1"/>
    <col min="8435" max="8435" width="11" style="1" customWidth="1"/>
    <col min="8436" max="8436" width="10.33203125" style="1" customWidth="1"/>
    <col min="8437" max="8437" width="9.83203125" style="1" customWidth="1"/>
    <col min="8438" max="8438" width="11.1640625" style="1" customWidth="1"/>
    <col min="8439" max="8439" width="10.5" style="1" customWidth="1"/>
    <col min="8440" max="8440" width="8.83203125" style="1" customWidth="1"/>
    <col min="8441" max="8441" width="10.33203125" style="1" customWidth="1"/>
    <col min="8442" max="8442" width="10.6640625" style="1" customWidth="1"/>
    <col min="8443" max="8443" width="12.5" style="1" customWidth="1"/>
    <col min="8444" max="8444" width="11.83203125" style="1" customWidth="1"/>
    <col min="8445" max="8445" width="11.1640625" style="1" customWidth="1"/>
    <col min="8446" max="8446" width="11" style="1" customWidth="1"/>
    <col min="8447" max="8447" width="11.1640625" style="1" customWidth="1"/>
    <col min="8448" max="8448" width="10.1640625" style="1" customWidth="1"/>
    <col min="8449" max="8449" width="11.83203125" style="1" customWidth="1"/>
    <col min="8450" max="8450" width="8.83203125" style="1"/>
    <col min="8451" max="8451" width="10.1640625" style="1" customWidth="1"/>
    <col min="8452" max="8452" width="10" style="1" customWidth="1"/>
    <col min="8453" max="8453" width="10.83203125" style="1" customWidth="1"/>
    <col min="8454" max="8454" width="11.33203125" style="1" customWidth="1"/>
    <col min="8455" max="8682" width="8.83203125" style="1"/>
    <col min="8683" max="8684" width="4.5" style="1" customWidth="1"/>
    <col min="8685" max="8685" width="8.6640625" style="1" customWidth="1"/>
    <col min="8686" max="8686" width="49.1640625" style="1" customWidth="1"/>
    <col min="8687" max="8687" width="3.1640625" style="1" customWidth="1"/>
    <col min="8688" max="8688" width="8.6640625" style="1" customWidth="1"/>
    <col min="8689" max="8689" width="10.5" style="1" customWidth="1"/>
    <col min="8690" max="8690" width="10.1640625" style="1" customWidth="1"/>
    <col min="8691" max="8691" width="11" style="1" customWidth="1"/>
    <col min="8692" max="8692" width="10.33203125" style="1" customWidth="1"/>
    <col min="8693" max="8693" width="9.83203125" style="1" customWidth="1"/>
    <col min="8694" max="8694" width="11.1640625" style="1" customWidth="1"/>
    <col min="8695" max="8695" width="10.5" style="1" customWidth="1"/>
    <col min="8696" max="8696" width="8.83203125" style="1" customWidth="1"/>
    <col min="8697" max="8697" width="10.33203125" style="1" customWidth="1"/>
    <col min="8698" max="8698" width="10.6640625" style="1" customWidth="1"/>
    <col min="8699" max="8699" width="12.5" style="1" customWidth="1"/>
    <col min="8700" max="8700" width="11.83203125" style="1" customWidth="1"/>
    <col min="8701" max="8701" width="11.1640625" style="1" customWidth="1"/>
    <col min="8702" max="8702" width="11" style="1" customWidth="1"/>
    <col min="8703" max="8703" width="11.1640625" style="1" customWidth="1"/>
    <col min="8704" max="8704" width="10.1640625" style="1" customWidth="1"/>
    <col min="8705" max="8705" width="11.83203125" style="1" customWidth="1"/>
    <col min="8706" max="8706" width="8.83203125" style="1"/>
    <col min="8707" max="8707" width="10.1640625" style="1" customWidth="1"/>
    <col min="8708" max="8708" width="10" style="1" customWidth="1"/>
    <col min="8709" max="8709" width="10.83203125" style="1" customWidth="1"/>
    <col min="8710" max="8710" width="11.33203125" style="1" customWidth="1"/>
    <col min="8711" max="8938" width="8.83203125" style="1"/>
    <col min="8939" max="8940" width="4.5" style="1" customWidth="1"/>
    <col min="8941" max="8941" width="8.6640625" style="1" customWidth="1"/>
    <col min="8942" max="8942" width="49.1640625" style="1" customWidth="1"/>
    <col min="8943" max="8943" width="3.1640625" style="1" customWidth="1"/>
    <col min="8944" max="8944" width="8.6640625" style="1" customWidth="1"/>
    <col min="8945" max="8945" width="10.5" style="1" customWidth="1"/>
    <col min="8946" max="8946" width="10.1640625" style="1" customWidth="1"/>
    <col min="8947" max="8947" width="11" style="1" customWidth="1"/>
    <col min="8948" max="8948" width="10.33203125" style="1" customWidth="1"/>
    <col min="8949" max="8949" width="9.83203125" style="1" customWidth="1"/>
    <col min="8950" max="8950" width="11.1640625" style="1" customWidth="1"/>
    <col min="8951" max="8951" width="10.5" style="1" customWidth="1"/>
    <col min="8952" max="8952" width="8.83203125" style="1" customWidth="1"/>
    <col min="8953" max="8953" width="10.33203125" style="1" customWidth="1"/>
    <col min="8954" max="8954" width="10.6640625" style="1" customWidth="1"/>
    <col min="8955" max="8955" width="12.5" style="1" customWidth="1"/>
    <col min="8956" max="8956" width="11.83203125" style="1" customWidth="1"/>
    <col min="8957" max="8957" width="11.1640625" style="1" customWidth="1"/>
    <col min="8958" max="8958" width="11" style="1" customWidth="1"/>
    <col min="8959" max="8959" width="11.1640625" style="1" customWidth="1"/>
    <col min="8960" max="8960" width="10.1640625" style="1" customWidth="1"/>
    <col min="8961" max="8961" width="11.83203125" style="1" customWidth="1"/>
    <col min="8962" max="8962" width="8.83203125" style="1"/>
    <col min="8963" max="8963" width="10.1640625" style="1" customWidth="1"/>
    <col min="8964" max="8964" width="10" style="1" customWidth="1"/>
    <col min="8965" max="8965" width="10.83203125" style="1" customWidth="1"/>
    <col min="8966" max="8966" width="11.33203125" style="1" customWidth="1"/>
    <col min="8967" max="9194" width="8.83203125" style="1"/>
    <col min="9195" max="9196" width="4.5" style="1" customWidth="1"/>
    <col min="9197" max="9197" width="8.6640625" style="1" customWidth="1"/>
    <col min="9198" max="9198" width="49.1640625" style="1" customWidth="1"/>
    <col min="9199" max="9199" width="3.1640625" style="1" customWidth="1"/>
    <col min="9200" max="9200" width="8.6640625" style="1" customWidth="1"/>
    <col min="9201" max="9201" width="10.5" style="1" customWidth="1"/>
    <col min="9202" max="9202" width="10.1640625" style="1" customWidth="1"/>
    <col min="9203" max="9203" width="11" style="1" customWidth="1"/>
    <col min="9204" max="9204" width="10.33203125" style="1" customWidth="1"/>
    <col min="9205" max="9205" width="9.83203125" style="1" customWidth="1"/>
    <col min="9206" max="9206" width="11.1640625" style="1" customWidth="1"/>
    <col min="9207" max="9207" width="10.5" style="1" customWidth="1"/>
    <col min="9208" max="9208" width="8.83203125" style="1" customWidth="1"/>
    <col min="9209" max="9209" width="10.33203125" style="1" customWidth="1"/>
    <col min="9210" max="9210" width="10.6640625" style="1" customWidth="1"/>
    <col min="9211" max="9211" width="12.5" style="1" customWidth="1"/>
    <col min="9212" max="9212" width="11.83203125" style="1" customWidth="1"/>
    <col min="9213" max="9213" width="11.1640625" style="1" customWidth="1"/>
    <col min="9214" max="9214" width="11" style="1" customWidth="1"/>
    <col min="9215" max="9215" width="11.1640625" style="1" customWidth="1"/>
    <col min="9216" max="9216" width="10.1640625" style="1" customWidth="1"/>
    <col min="9217" max="9217" width="11.83203125" style="1" customWidth="1"/>
    <col min="9218" max="9218" width="8.83203125" style="1"/>
    <col min="9219" max="9219" width="10.1640625" style="1" customWidth="1"/>
    <col min="9220" max="9220" width="10" style="1" customWidth="1"/>
    <col min="9221" max="9221" width="10.83203125" style="1" customWidth="1"/>
    <col min="9222" max="9222" width="11.33203125" style="1" customWidth="1"/>
    <col min="9223" max="9450" width="8.83203125" style="1"/>
    <col min="9451" max="9452" width="4.5" style="1" customWidth="1"/>
    <col min="9453" max="9453" width="8.6640625" style="1" customWidth="1"/>
    <col min="9454" max="9454" width="49.1640625" style="1" customWidth="1"/>
    <col min="9455" max="9455" width="3.1640625" style="1" customWidth="1"/>
    <col min="9456" max="9456" width="8.6640625" style="1" customWidth="1"/>
    <col min="9457" max="9457" width="10.5" style="1" customWidth="1"/>
    <col min="9458" max="9458" width="10.1640625" style="1" customWidth="1"/>
    <col min="9459" max="9459" width="11" style="1" customWidth="1"/>
    <col min="9460" max="9460" width="10.33203125" style="1" customWidth="1"/>
    <col min="9461" max="9461" width="9.83203125" style="1" customWidth="1"/>
    <col min="9462" max="9462" width="11.1640625" style="1" customWidth="1"/>
    <col min="9463" max="9463" width="10.5" style="1" customWidth="1"/>
    <col min="9464" max="9464" width="8.83203125" style="1" customWidth="1"/>
    <col min="9465" max="9465" width="10.33203125" style="1" customWidth="1"/>
    <col min="9466" max="9466" width="10.6640625" style="1" customWidth="1"/>
    <col min="9467" max="9467" width="12.5" style="1" customWidth="1"/>
    <col min="9468" max="9468" width="11.83203125" style="1" customWidth="1"/>
    <col min="9469" max="9469" width="11.1640625" style="1" customWidth="1"/>
    <col min="9470" max="9470" width="11" style="1" customWidth="1"/>
    <col min="9471" max="9471" width="11.1640625" style="1" customWidth="1"/>
    <col min="9472" max="9472" width="10.1640625" style="1" customWidth="1"/>
    <col min="9473" max="9473" width="11.83203125" style="1" customWidth="1"/>
    <col min="9474" max="9474" width="8.83203125" style="1"/>
    <col min="9475" max="9475" width="10.1640625" style="1" customWidth="1"/>
    <col min="9476" max="9476" width="10" style="1" customWidth="1"/>
    <col min="9477" max="9477" width="10.83203125" style="1" customWidth="1"/>
    <col min="9478" max="9478" width="11.33203125" style="1" customWidth="1"/>
    <col min="9479" max="9706" width="8.83203125" style="1"/>
    <col min="9707" max="9708" width="4.5" style="1" customWidth="1"/>
    <col min="9709" max="9709" width="8.6640625" style="1" customWidth="1"/>
    <col min="9710" max="9710" width="49.1640625" style="1" customWidth="1"/>
    <col min="9711" max="9711" width="3.1640625" style="1" customWidth="1"/>
    <col min="9712" max="9712" width="8.6640625" style="1" customWidth="1"/>
    <col min="9713" max="9713" width="10.5" style="1" customWidth="1"/>
    <col min="9714" max="9714" width="10.1640625" style="1" customWidth="1"/>
    <col min="9715" max="9715" width="11" style="1" customWidth="1"/>
    <col min="9716" max="9716" width="10.33203125" style="1" customWidth="1"/>
    <col min="9717" max="9717" width="9.83203125" style="1" customWidth="1"/>
    <col min="9718" max="9718" width="11.1640625" style="1" customWidth="1"/>
    <col min="9719" max="9719" width="10.5" style="1" customWidth="1"/>
    <col min="9720" max="9720" width="8.83203125" style="1" customWidth="1"/>
    <col min="9721" max="9721" width="10.33203125" style="1" customWidth="1"/>
    <col min="9722" max="9722" width="10.6640625" style="1" customWidth="1"/>
    <col min="9723" max="9723" width="12.5" style="1" customWidth="1"/>
    <col min="9724" max="9724" width="11.83203125" style="1" customWidth="1"/>
    <col min="9725" max="9725" width="11.1640625" style="1" customWidth="1"/>
    <col min="9726" max="9726" width="11" style="1" customWidth="1"/>
    <col min="9727" max="9727" width="11.1640625" style="1" customWidth="1"/>
    <col min="9728" max="9728" width="10.1640625" style="1" customWidth="1"/>
    <col min="9729" max="9729" width="11.83203125" style="1" customWidth="1"/>
    <col min="9730" max="9730" width="8.83203125" style="1"/>
    <col min="9731" max="9731" width="10.1640625" style="1" customWidth="1"/>
    <col min="9732" max="9732" width="10" style="1" customWidth="1"/>
    <col min="9733" max="9733" width="10.83203125" style="1" customWidth="1"/>
    <col min="9734" max="9734" width="11.33203125" style="1" customWidth="1"/>
    <col min="9735" max="9962" width="8.83203125" style="1"/>
    <col min="9963" max="9964" width="4.5" style="1" customWidth="1"/>
    <col min="9965" max="9965" width="8.6640625" style="1" customWidth="1"/>
    <col min="9966" max="9966" width="49.1640625" style="1" customWidth="1"/>
    <col min="9967" max="9967" width="3.1640625" style="1" customWidth="1"/>
    <col min="9968" max="9968" width="8.6640625" style="1" customWidth="1"/>
    <col min="9969" max="9969" width="10.5" style="1" customWidth="1"/>
    <col min="9970" max="9970" width="10.1640625" style="1" customWidth="1"/>
    <col min="9971" max="9971" width="11" style="1" customWidth="1"/>
    <col min="9972" max="9972" width="10.33203125" style="1" customWidth="1"/>
    <col min="9973" max="9973" width="9.83203125" style="1" customWidth="1"/>
    <col min="9974" max="9974" width="11.1640625" style="1" customWidth="1"/>
    <col min="9975" max="9975" width="10.5" style="1" customWidth="1"/>
    <col min="9976" max="9976" width="8.83203125" style="1" customWidth="1"/>
    <col min="9977" max="9977" width="10.33203125" style="1" customWidth="1"/>
    <col min="9978" max="9978" width="10.6640625" style="1" customWidth="1"/>
    <col min="9979" max="9979" width="12.5" style="1" customWidth="1"/>
    <col min="9980" max="9980" width="11.83203125" style="1" customWidth="1"/>
    <col min="9981" max="9981" width="11.1640625" style="1" customWidth="1"/>
    <col min="9982" max="9982" width="11" style="1" customWidth="1"/>
    <col min="9983" max="9983" width="11.1640625" style="1" customWidth="1"/>
    <col min="9984" max="9984" width="10.1640625" style="1" customWidth="1"/>
    <col min="9985" max="9985" width="11.83203125" style="1" customWidth="1"/>
    <col min="9986" max="9986" width="8.83203125" style="1"/>
    <col min="9987" max="9987" width="10.1640625" style="1" customWidth="1"/>
    <col min="9988" max="9988" width="10" style="1" customWidth="1"/>
    <col min="9989" max="9989" width="10.83203125" style="1" customWidth="1"/>
    <col min="9990" max="9990" width="11.33203125" style="1" customWidth="1"/>
    <col min="9991" max="10218" width="8.83203125" style="1"/>
    <col min="10219" max="10220" width="4.5" style="1" customWidth="1"/>
    <col min="10221" max="10221" width="8.6640625" style="1" customWidth="1"/>
    <col min="10222" max="10222" width="49.1640625" style="1" customWidth="1"/>
    <col min="10223" max="10223" width="3.1640625" style="1" customWidth="1"/>
    <col min="10224" max="10224" width="8.6640625" style="1" customWidth="1"/>
    <col min="10225" max="10225" width="10.5" style="1" customWidth="1"/>
    <col min="10226" max="10226" width="10.1640625" style="1" customWidth="1"/>
    <col min="10227" max="10227" width="11" style="1" customWidth="1"/>
    <col min="10228" max="10228" width="10.33203125" style="1" customWidth="1"/>
    <col min="10229" max="10229" width="9.83203125" style="1" customWidth="1"/>
    <col min="10230" max="10230" width="11.1640625" style="1" customWidth="1"/>
    <col min="10231" max="10231" width="10.5" style="1" customWidth="1"/>
    <col min="10232" max="10232" width="8.83203125" style="1" customWidth="1"/>
    <col min="10233" max="10233" width="10.33203125" style="1" customWidth="1"/>
    <col min="10234" max="10234" width="10.6640625" style="1" customWidth="1"/>
    <col min="10235" max="10235" width="12.5" style="1" customWidth="1"/>
    <col min="10236" max="10236" width="11.83203125" style="1" customWidth="1"/>
    <col min="10237" max="10237" width="11.1640625" style="1" customWidth="1"/>
    <col min="10238" max="10238" width="11" style="1" customWidth="1"/>
    <col min="10239" max="10239" width="11.1640625" style="1" customWidth="1"/>
    <col min="10240" max="10240" width="10.1640625" style="1" customWidth="1"/>
    <col min="10241" max="10241" width="11.83203125" style="1" customWidth="1"/>
    <col min="10242" max="10242" width="8.83203125" style="1"/>
    <col min="10243" max="10243" width="10.1640625" style="1" customWidth="1"/>
    <col min="10244" max="10244" width="10" style="1" customWidth="1"/>
    <col min="10245" max="10245" width="10.83203125" style="1" customWidth="1"/>
    <col min="10246" max="10246" width="11.33203125" style="1" customWidth="1"/>
    <col min="10247" max="10474" width="8.83203125" style="1"/>
    <col min="10475" max="10476" width="4.5" style="1" customWidth="1"/>
    <col min="10477" max="10477" width="8.6640625" style="1" customWidth="1"/>
    <col min="10478" max="10478" width="49.1640625" style="1" customWidth="1"/>
    <col min="10479" max="10479" width="3.1640625" style="1" customWidth="1"/>
    <col min="10480" max="10480" width="8.6640625" style="1" customWidth="1"/>
    <col min="10481" max="10481" width="10.5" style="1" customWidth="1"/>
    <col min="10482" max="10482" width="10.1640625" style="1" customWidth="1"/>
    <col min="10483" max="10483" width="11" style="1" customWidth="1"/>
    <col min="10484" max="10484" width="10.33203125" style="1" customWidth="1"/>
    <col min="10485" max="10485" width="9.83203125" style="1" customWidth="1"/>
    <col min="10486" max="10486" width="11.1640625" style="1" customWidth="1"/>
    <col min="10487" max="10487" width="10.5" style="1" customWidth="1"/>
    <col min="10488" max="10488" width="8.83203125" style="1" customWidth="1"/>
    <col min="10489" max="10489" width="10.33203125" style="1" customWidth="1"/>
    <col min="10490" max="10490" width="10.6640625" style="1" customWidth="1"/>
    <col min="10491" max="10491" width="12.5" style="1" customWidth="1"/>
    <col min="10492" max="10492" width="11.83203125" style="1" customWidth="1"/>
    <col min="10493" max="10493" width="11.1640625" style="1" customWidth="1"/>
    <col min="10494" max="10494" width="11" style="1" customWidth="1"/>
    <col min="10495" max="10495" width="11.1640625" style="1" customWidth="1"/>
    <col min="10496" max="10496" width="10.1640625" style="1" customWidth="1"/>
    <col min="10497" max="10497" width="11.83203125" style="1" customWidth="1"/>
    <col min="10498" max="10498" width="8.83203125" style="1"/>
    <col min="10499" max="10499" width="10.1640625" style="1" customWidth="1"/>
    <col min="10500" max="10500" width="10" style="1" customWidth="1"/>
    <col min="10501" max="10501" width="10.83203125" style="1" customWidth="1"/>
    <col min="10502" max="10502" width="11.33203125" style="1" customWidth="1"/>
    <col min="10503" max="10730" width="8.83203125" style="1"/>
    <col min="10731" max="10732" width="4.5" style="1" customWidth="1"/>
    <col min="10733" max="10733" width="8.6640625" style="1" customWidth="1"/>
    <col min="10734" max="10734" width="49.1640625" style="1" customWidth="1"/>
    <col min="10735" max="10735" width="3.1640625" style="1" customWidth="1"/>
    <col min="10736" max="10736" width="8.6640625" style="1" customWidth="1"/>
    <col min="10737" max="10737" width="10.5" style="1" customWidth="1"/>
    <col min="10738" max="10738" width="10.1640625" style="1" customWidth="1"/>
    <col min="10739" max="10739" width="11" style="1" customWidth="1"/>
    <col min="10740" max="10740" width="10.33203125" style="1" customWidth="1"/>
    <col min="10741" max="10741" width="9.83203125" style="1" customWidth="1"/>
    <col min="10742" max="10742" width="11.1640625" style="1" customWidth="1"/>
    <col min="10743" max="10743" width="10.5" style="1" customWidth="1"/>
    <col min="10744" max="10744" width="8.83203125" style="1" customWidth="1"/>
    <col min="10745" max="10745" width="10.33203125" style="1" customWidth="1"/>
    <col min="10746" max="10746" width="10.6640625" style="1" customWidth="1"/>
    <col min="10747" max="10747" width="12.5" style="1" customWidth="1"/>
    <col min="10748" max="10748" width="11.83203125" style="1" customWidth="1"/>
    <col min="10749" max="10749" width="11.1640625" style="1" customWidth="1"/>
    <col min="10750" max="10750" width="11" style="1" customWidth="1"/>
    <col min="10751" max="10751" width="11.1640625" style="1" customWidth="1"/>
    <col min="10752" max="10752" width="10.1640625" style="1" customWidth="1"/>
    <col min="10753" max="10753" width="11.83203125" style="1" customWidth="1"/>
    <col min="10754" max="10754" width="8.83203125" style="1"/>
    <col min="10755" max="10755" width="10.1640625" style="1" customWidth="1"/>
    <col min="10756" max="10756" width="10" style="1" customWidth="1"/>
    <col min="10757" max="10757" width="10.83203125" style="1" customWidth="1"/>
    <col min="10758" max="10758" width="11.33203125" style="1" customWidth="1"/>
    <col min="10759" max="10986" width="8.83203125" style="1"/>
    <col min="10987" max="10988" width="4.5" style="1" customWidth="1"/>
    <col min="10989" max="10989" width="8.6640625" style="1" customWidth="1"/>
    <col min="10990" max="10990" width="49.1640625" style="1" customWidth="1"/>
    <col min="10991" max="10991" width="3.1640625" style="1" customWidth="1"/>
    <col min="10992" max="10992" width="8.6640625" style="1" customWidth="1"/>
    <col min="10993" max="10993" width="10.5" style="1" customWidth="1"/>
    <col min="10994" max="10994" width="10.1640625" style="1" customWidth="1"/>
    <col min="10995" max="10995" width="11" style="1" customWidth="1"/>
    <col min="10996" max="10996" width="10.33203125" style="1" customWidth="1"/>
    <col min="10997" max="10997" width="9.83203125" style="1" customWidth="1"/>
    <col min="10998" max="10998" width="11.1640625" style="1" customWidth="1"/>
    <col min="10999" max="10999" width="10.5" style="1" customWidth="1"/>
    <col min="11000" max="11000" width="8.83203125" style="1" customWidth="1"/>
    <col min="11001" max="11001" width="10.33203125" style="1" customWidth="1"/>
    <col min="11002" max="11002" width="10.6640625" style="1" customWidth="1"/>
    <col min="11003" max="11003" width="12.5" style="1" customWidth="1"/>
    <col min="11004" max="11004" width="11.83203125" style="1" customWidth="1"/>
    <col min="11005" max="11005" width="11.1640625" style="1" customWidth="1"/>
    <col min="11006" max="11006" width="11" style="1" customWidth="1"/>
    <col min="11007" max="11007" width="11.1640625" style="1" customWidth="1"/>
    <col min="11008" max="11008" width="10.1640625" style="1" customWidth="1"/>
    <col min="11009" max="11009" width="11.83203125" style="1" customWidth="1"/>
    <col min="11010" max="11010" width="8.83203125" style="1"/>
    <col min="11011" max="11011" width="10.1640625" style="1" customWidth="1"/>
    <col min="11012" max="11012" width="10" style="1" customWidth="1"/>
    <col min="11013" max="11013" width="10.83203125" style="1" customWidth="1"/>
    <col min="11014" max="11014" width="11.33203125" style="1" customWidth="1"/>
    <col min="11015" max="11242" width="8.83203125" style="1"/>
    <col min="11243" max="11244" width="4.5" style="1" customWidth="1"/>
    <col min="11245" max="11245" width="8.6640625" style="1" customWidth="1"/>
    <col min="11246" max="11246" width="49.1640625" style="1" customWidth="1"/>
    <col min="11247" max="11247" width="3.1640625" style="1" customWidth="1"/>
    <col min="11248" max="11248" width="8.6640625" style="1" customWidth="1"/>
    <col min="11249" max="11249" width="10.5" style="1" customWidth="1"/>
    <col min="11250" max="11250" width="10.1640625" style="1" customWidth="1"/>
    <col min="11251" max="11251" width="11" style="1" customWidth="1"/>
    <col min="11252" max="11252" width="10.33203125" style="1" customWidth="1"/>
    <col min="11253" max="11253" width="9.83203125" style="1" customWidth="1"/>
    <col min="11254" max="11254" width="11.1640625" style="1" customWidth="1"/>
    <col min="11255" max="11255" width="10.5" style="1" customWidth="1"/>
    <col min="11256" max="11256" width="8.83203125" style="1" customWidth="1"/>
    <col min="11257" max="11257" width="10.33203125" style="1" customWidth="1"/>
    <col min="11258" max="11258" width="10.6640625" style="1" customWidth="1"/>
    <col min="11259" max="11259" width="12.5" style="1" customWidth="1"/>
    <col min="11260" max="11260" width="11.83203125" style="1" customWidth="1"/>
    <col min="11261" max="11261" width="11.1640625" style="1" customWidth="1"/>
    <col min="11262" max="11262" width="11" style="1" customWidth="1"/>
    <col min="11263" max="11263" width="11.1640625" style="1" customWidth="1"/>
    <col min="11264" max="11264" width="10.1640625" style="1" customWidth="1"/>
    <col min="11265" max="11265" width="11.83203125" style="1" customWidth="1"/>
    <col min="11266" max="11266" width="8.83203125" style="1"/>
    <col min="11267" max="11267" width="10.1640625" style="1" customWidth="1"/>
    <col min="11268" max="11268" width="10" style="1" customWidth="1"/>
    <col min="11269" max="11269" width="10.83203125" style="1" customWidth="1"/>
    <col min="11270" max="11270" width="11.33203125" style="1" customWidth="1"/>
    <col min="11271" max="11498" width="8.83203125" style="1"/>
    <col min="11499" max="11500" width="4.5" style="1" customWidth="1"/>
    <col min="11501" max="11501" width="8.6640625" style="1" customWidth="1"/>
    <col min="11502" max="11502" width="49.1640625" style="1" customWidth="1"/>
    <col min="11503" max="11503" width="3.1640625" style="1" customWidth="1"/>
    <col min="11504" max="11504" width="8.6640625" style="1" customWidth="1"/>
    <col min="11505" max="11505" width="10.5" style="1" customWidth="1"/>
    <col min="11506" max="11506" width="10.1640625" style="1" customWidth="1"/>
    <col min="11507" max="11507" width="11" style="1" customWidth="1"/>
    <col min="11508" max="11508" width="10.33203125" style="1" customWidth="1"/>
    <col min="11509" max="11509" width="9.83203125" style="1" customWidth="1"/>
    <col min="11510" max="11510" width="11.1640625" style="1" customWidth="1"/>
    <col min="11511" max="11511" width="10.5" style="1" customWidth="1"/>
    <col min="11512" max="11512" width="8.83203125" style="1" customWidth="1"/>
    <col min="11513" max="11513" width="10.33203125" style="1" customWidth="1"/>
    <col min="11514" max="11514" width="10.6640625" style="1" customWidth="1"/>
    <col min="11515" max="11515" width="12.5" style="1" customWidth="1"/>
    <col min="11516" max="11516" width="11.83203125" style="1" customWidth="1"/>
    <col min="11517" max="11517" width="11.1640625" style="1" customWidth="1"/>
    <col min="11518" max="11518" width="11" style="1" customWidth="1"/>
    <col min="11519" max="11519" width="11.1640625" style="1" customWidth="1"/>
    <col min="11520" max="11520" width="10.1640625" style="1" customWidth="1"/>
    <col min="11521" max="11521" width="11.83203125" style="1" customWidth="1"/>
    <col min="11522" max="11522" width="8.83203125" style="1"/>
    <col min="11523" max="11523" width="10.1640625" style="1" customWidth="1"/>
    <col min="11524" max="11524" width="10" style="1" customWidth="1"/>
    <col min="11525" max="11525" width="10.83203125" style="1" customWidth="1"/>
    <col min="11526" max="11526" width="11.33203125" style="1" customWidth="1"/>
    <col min="11527" max="11754" width="8.83203125" style="1"/>
    <col min="11755" max="11756" width="4.5" style="1" customWidth="1"/>
    <col min="11757" max="11757" width="8.6640625" style="1" customWidth="1"/>
    <col min="11758" max="11758" width="49.1640625" style="1" customWidth="1"/>
    <col min="11759" max="11759" width="3.1640625" style="1" customWidth="1"/>
    <col min="11760" max="11760" width="8.6640625" style="1" customWidth="1"/>
    <col min="11761" max="11761" width="10.5" style="1" customWidth="1"/>
    <col min="11762" max="11762" width="10.1640625" style="1" customWidth="1"/>
    <col min="11763" max="11763" width="11" style="1" customWidth="1"/>
    <col min="11764" max="11764" width="10.33203125" style="1" customWidth="1"/>
    <col min="11765" max="11765" width="9.83203125" style="1" customWidth="1"/>
    <col min="11766" max="11766" width="11.1640625" style="1" customWidth="1"/>
    <col min="11767" max="11767" width="10.5" style="1" customWidth="1"/>
    <col min="11768" max="11768" width="8.83203125" style="1" customWidth="1"/>
    <col min="11769" max="11769" width="10.33203125" style="1" customWidth="1"/>
    <col min="11770" max="11770" width="10.6640625" style="1" customWidth="1"/>
    <col min="11771" max="11771" width="12.5" style="1" customWidth="1"/>
    <col min="11772" max="11772" width="11.83203125" style="1" customWidth="1"/>
    <col min="11773" max="11773" width="11.1640625" style="1" customWidth="1"/>
    <col min="11774" max="11774" width="11" style="1" customWidth="1"/>
    <col min="11775" max="11775" width="11.1640625" style="1" customWidth="1"/>
    <col min="11776" max="11776" width="10.1640625" style="1" customWidth="1"/>
    <col min="11777" max="11777" width="11.83203125" style="1" customWidth="1"/>
    <col min="11778" max="11778" width="8.83203125" style="1"/>
    <col min="11779" max="11779" width="10.1640625" style="1" customWidth="1"/>
    <col min="11780" max="11780" width="10" style="1" customWidth="1"/>
    <col min="11781" max="11781" width="10.83203125" style="1" customWidth="1"/>
    <col min="11782" max="11782" width="11.33203125" style="1" customWidth="1"/>
    <col min="11783" max="12010" width="8.83203125" style="1"/>
    <col min="12011" max="12012" width="4.5" style="1" customWidth="1"/>
    <col min="12013" max="12013" width="8.6640625" style="1" customWidth="1"/>
    <col min="12014" max="12014" width="49.1640625" style="1" customWidth="1"/>
    <col min="12015" max="12015" width="3.1640625" style="1" customWidth="1"/>
    <col min="12016" max="12016" width="8.6640625" style="1" customWidth="1"/>
    <col min="12017" max="12017" width="10.5" style="1" customWidth="1"/>
    <col min="12018" max="12018" width="10.1640625" style="1" customWidth="1"/>
    <col min="12019" max="12019" width="11" style="1" customWidth="1"/>
    <col min="12020" max="12020" width="10.33203125" style="1" customWidth="1"/>
    <col min="12021" max="12021" width="9.83203125" style="1" customWidth="1"/>
    <col min="12022" max="12022" width="11.1640625" style="1" customWidth="1"/>
    <col min="12023" max="12023" width="10.5" style="1" customWidth="1"/>
    <col min="12024" max="12024" width="8.83203125" style="1" customWidth="1"/>
    <col min="12025" max="12025" width="10.33203125" style="1" customWidth="1"/>
    <col min="12026" max="12026" width="10.6640625" style="1" customWidth="1"/>
    <col min="12027" max="12027" width="12.5" style="1" customWidth="1"/>
    <col min="12028" max="12028" width="11.83203125" style="1" customWidth="1"/>
    <col min="12029" max="12029" width="11.1640625" style="1" customWidth="1"/>
    <col min="12030" max="12030" width="11" style="1" customWidth="1"/>
    <col min="12031" max="12031" width="11.1640625" style="1" customWidth="1"/>
    <col min="12032" max="12032" width="10.1640625" style="1" customWidth="1"/>
    <col min="12033" max="12033" width="11.83203125" style="1" customWidth="1"/>
    <col min="12034" max="12034" width="8.83203125" style="1"/>
    <col min="12035" max="12035" width="10.1640625" style="1" customWidth="1"/>
    <col min="12036" max="12036" width="10" style="1" customWidth="1"/>
    <col min="12037" max="12037" width="10.83203125" style="1" customWidth="1"/>
    <col min="12038" max="12038" width="11.33203125" style="1" customWidth="1"/>
    <col min="12039" max="12266" width="8.83203125" style="1"/>
    <col min="12267" max="12268" width="4.5" style="1" customWidth="1"/>
    <col min="12269" max="12269" width="8.6640625" style="1" customWidth="1"/>
    <col min="12270" max="12270" width="49.1640625" style="1" customWidth="1"/>
    <col min="12271" max="12271" width="3.1640625" style="1" customWidth="1"/>
    <col min="12272" max="12272" width="8.6640625" style="1" customWidth="1"/>
    <col min="12273" max="12273" width="10.5" style="1" customWidth="1"/>
    <col min="12274" max="12274" width="10.1640625" style="1" customWidth="1"/>
    <col min="12275" max="12275" width="11" style="1" customWidth="1"/>
    <col min="12276" max="12276" width="10.33203125" style="1" customWidth="1"/>
    <col min="12277" max="12277" width="9.83203125" style="1" customWidth="1"/>
    <col min="12278" max="12278" width="11.1640625" style="1" customWidth="1"/>
    <col min="12279" max="12279" width="10.5" style="1" customWidth="1"/>
    <col min="12280" max="12280" width="8.83203125" style="1" customWidth="1"/>
    <col min="12281" max="12281" width="10.33203125" style="1" customWidth="1"/>
    <col min="12282" max="12282" width="10.6640625" style="1" customWidth="1"/>
    <col min="12283" max="12283" width="12.5" style="1" customWidth="1"/>
    <col min="12284" max="12284" width="11.83203125" style="1" customWidth="1"/>
    <col min="12285" max="12285" width="11.1640625" style="1" customWidth="1"/>
    <col min="12286" max="12286" width="11" style="1" customWidth="1"/>
    <col min="12287" max="12287" width="11.1640625" style="1" customWidth="1"/>
    <col min="12288" max="12288" width="10.1640625" style="1" customWidth="1"/>
    <col min="12289" max="12289" width="11.83203125" style="1" customWidth="1"/>
    <col min="12290" max="12290" width="8.83203125" style="1"/>
    <col min="12291" max="12291" width="10.1640625" style="1" customWidth="1"/>
    <col min="12292" max="12292" width="10" style="1" customWidth="1"/>
    <col min="12293" max="12293" width="10.83203125" style="1" customWidth="1"/>
    <col min="12294" max="12294" width="11.33203125" style="1" customWidth="1"/>
    <col min="12295" max="12522" width="8.83203125" style="1"/>
    <col min="12523" max="12524" width="4.5" style="1" customWidth="1"/>
    <col min="12525" max="12525" width="8.6640625" style="1" customWidth="1"/>
    <col min="12526" max="12526" width="49.1640625" style="1" customWidth="1"/>
    <col min="12527" max="12527" width="3.1640625" style="1" customWidth="1"/>
    <col min="12528" max="12528" width="8.6640625" style="1" customWidth="1"/>
    <col min="12529" max="12529" width="10.5" style="1" customWidth="1"/>
    <col min="12530" max="12530" width="10.1640625" style="1" customWidth="1"/>
    <col min="12531" max="12531" width="11" style="1" customWidth="1"/>
    <col min="12532" max="12532" width="10.33203125" style="1" customWidth="1"/>
    <col min="12533" max="12533" width="9.83203125" style="1" customWidth="1"/>
    <col min="12534" max="12534" width="11.1640625" style="1" customWidth="1"/>
    <col min="12535" max="12535" width="10.5" style="1" customWidth="1"/>
    <col min="12536" max="12536" width="8.83203125" style="1" customWidth="1"/>
    <col min="12537" max="12537" width="10.33203125" style="1" customWidth="1"/>
    <col min="12538" max="12538" width="10.6640625" style="1" customWidth="1"/>
    <col min="12539" max="12539" width="12.5" style="1" customWidth="1"/>
    <col min="12540" max="12540" width="11.83203125" style="1" customWidth="1"/>
    <col min="12541" max="12541" width="11.1640625" style="1" customWidth="1"/>
    <col min="12542" max="12542" width="11" style="1" customWidth="1"/>
    <col min="12543" max="12543" width="11.1640625" style="1" customWidth="1"/>
    <col min="12544" max="12544" width="10.1640625" style="1" customWidth="1"/>
    <col min="12545" max="12545" width="11.83203125" style="1" customWidth="1"/>
    <col min="12546" max="12546" width="8.83203125" style="1"/>
    <col min="12547" max="12547" width="10.1640625" style="1" customWidth="1"/>
    <col min="12548" max="12548" width="10" style="1" customWidth="1"/>
    <col min="12549" max="12549" width="10.83203125" style="1" customWidth="1"/>
    <col min="12550" max="12550" width="11.33203125" style="1" customWidth="1"/>
    <col min="12551" max="12778" width="8.83203125" style="1"/>
    <col min="12779" max="12780" width="4.5" style="1" customWidth="1"/>
    <col min="12781" max="12781" width="8.6640625" style="1" customWidth="1"/>
    <col min="12782" max="12782" width="49.1640625" style="1" customWidth="1"/>
    <col min="12783" max="12783" width="3.1640625" style="1" customWidth="1"/>
    <col min="12784" max="12784" width="8.6640625" style="1" customWidth="1"/>
    <col min="12785" max="12785" width="10.5" style="1" customWidth="1"/>
    <col min="12786" max="12786" width="10.1640625" style="1" customWidth="1"/>
    <col min="12787" max="12787" width="11" style="1" customWidth="1"/>
    <col min="12788" max="12788" width="10.33203125" style="1" customWidth="1"/>
    <col min="12789" max="12789" width="9.83203125" style="1" customWidth="1"/>
    <col min="12790" max="12790" width="11.1640625" style="1" customWidth="1"/>
    <col min="12791" max="12791" width="10.5" style="1" customWidth="1"/>
    <col min="12792" max="12792" width="8.83203125" style="1" customWidth="1"/>
    <col min="12793" max="12793" width="10.33203125" style="1" customWidth="1"/>
    <col min="12794" max="12794" width="10.6640625" style="1" customWidth="1"/>
    <col min="12795" max="12795" width="12.5" style="1" customWidth="1"/>
    <col min="12796" max="12796" width="11.83203125" style="1" customWidth="1"/>
    <col min="12797" max="12797" width="11.1640625" style="1" customWidth="1"/>
    <col min="12798" max="12798" width="11" style="1" customWidth="1"/>
    <col min="12799" max="12799" width="11.1640625" style="1" customWidth="1"/>
    <col min="12800" max="12800" width="10.1640625" style="1" customWidth="1"/>
    <col min="12801" max="12801" width="11.83203125" style="1" customWidth="1"/>
    <col min="12802" max="12802" width="8.83203125" style="1"/>
    <col min="12803" max="12803" width="10.1640625" style="1" customWidth="1"/>
    <col min="12804" max="12804" width="10" style="1" customWidth="1"/>
    <col min="12805" max="12805" width="10.83203125" style="1" customWidth="1"/>
    <col min="12806" max="12806" width="11.33203125" style="1" customWidth="1"/>
    <col min="12807" max="13034" width="8.83203125" style="1"/>
    <col min="13035" max="13036" width="4.5" style="1" customWidth="1"/>
    <col min="13037" max="13037" width="8.6640625" style="1" customWidth="1"/>
    <col min="13038" max="13038" width="49.1640625" style="1" customWidth="1"/>
    <col min="13039" max="13039" width="3.1640625" style="1" customWidth="1"/>
    <col min="13040" max="13040" width="8.6640625" style="1" customWidth="1"/>
    <col min="13041" max="13041" width="10.5" style="1" customWidth="1"/>
    <col min="13042" max="13042" width="10.1640625" style="1" customWidth="1"/>
    <col min="13043" max="13043" width="11" style="1" customWidth="1"/>
    <col min="13044" max="13044" width="10.33203125" style="1" customWidth="1"/>
    <col min="13045" max="13045" width="9.83203125" style="1" customWidth="1"/>
    <col min="13046" max="13046" width="11.1640625" style="1" customWidth="1"/>
    <col min="13047" max="13047" width="10.5" style="1" customWidth="1"/>
    <col min="13048" max="13048" width="8.83203125" style="1" customWidth="1"/>
    <col min="13049" max="13049" width="10.33203125" style="1" customWidth="1"/>
    <col min="13050" max="13050" width="10.6640625" style="1" customWidth="1"/>
    <col min="13051" max="13051" width="12.5" style="1" customWidth="1"/>
    <col min="13052" max="13052" width="11.83203125" style="1" customWidth="1"/>
    <col min="13053" max="13053" width="11.1640625" style="1" customWidth="1"/>
    <col min="13054" max="13054" width="11" style="1" customWidth="1"/>
    <col min="13055" max="13055" width="11.1640625" style="1" customWidth="1"/>
    <col min="13056" max="13056" width="10.1640625" style="1" customWidth="1"/>
    <col min="13057" max="13057" width="11.83203125" style="1" customWidth="1"/>
    <col min="13058" max="13058" width="8.83203125" style="1"/>
    <col min="13059" max="13059" width="10.1640625" style="1" customWidth="1"/>
    <col min="13060" max="13060" width="10" style="1" customWidth="1"/>
    <col min="13061" max="13061" width="10.83203125" style="1" customWidth="1"/>
    <col min="13062" max="13062" width="11.33203125" style="1" customWidth="1"/>
    <col min="13063" max="13290" width="8.83203125" style="1"/>
    <col min="13291" max="13292" width="4.5" style="1" customWidth="1"/>
    <col min="13293" max="13293" width="8.6640625" style="1" customWidth="1"/>
    <col min="13294" max="13294" width="49.1640625" style="1" customWidth="1"/>
    <col min="13295" max="13295" width="3.1640625" style="1" customWidth="1"/>
    <col min="13296" max="13296" width="8.6640625" style="1" customWidth="1"/>
    <col min="13297" max="13297" width="10.5" style="1" customWidth="1"/>
    <col min="13298" max="13298" width="10.1640625" style="1" customWidth="1"/>
    <col min="13299" max="13299" width="11" style="1" customWidth="1"/>
    <col min="13300" max="13300" width="10.33203125" style="1" customWidth="1"/>
    <col min="13301" max="13301" width="9.83203125" style="1" customWidth="1"/>
    <col min="13302" max="13302" width="11.1640625" style="1" customWidth="1"/>
    <col min="13303" max="13303" width="10.5" style="1" customWidth="1"/>
    <col min="13304" max="13304" width="8.83203125" style="1" customWidth="1"/>
    <col min="13305" max="13305" width="10.33203125" style="1" customWidth="1"/>
    <col min="13306" max="13306" width="10.6640625" style="1" customWidth="1"/>
    <col min="13307" max="13307" width="12.5" style="1" customWidth="1"/>
    <col min="13308" max="13308" width="11.83203125" style="1" customWidth="1"/>
    <col min="13309" max="13309" width="11.1640625" style="1" customWidth="1"/>
    <col min="13310" max="13310" width="11" style="1" customWidth="1"/>
    <col min="13311" max="13311" width="11.1640625" style="1" customWidth="1"/>
    <col min="13312" max="13312" width="10.1640625" style="1" customWidth="1"/>
    <col min="13313" max="13313" width="11.83203125" style="1" customWidth="1"/>
    <col min="13314" max="13314" width="8.83203125" style="1"/>
    <col min="13315" max="13315" width="10.1640625" style="1" customWidth="1"/>
    <col min="13316" max="13316" width="10" style="1" customWidth="1"/>
    <col min="13317" max="13317" width="10.83203125" style="1" customWidth="1"/>
    <col min="13318" max="13318" width="11.33203125" style="1" customWidth="1"/>
    <col min="13319" max="13546" width="8.83203125" style="1"/>
    <col min="13547" max="13548" width="4.5" style="1" customWidth="1"/>
    <col min="13549" max="13549" width="8.6640625" style="1" customWidth="1"/>
    <col min="13550" max="13550" width="49.1640625" style="1" customWidth="1"/>
    <col min="13551" max="13551" width="3.1640625" style="1" customWidth="1"/>
    <col min="13552" max="13552" width="8.6640625" style="1" customWidth="1"/>
    <col min="13553" max="13553" width="10.5" style="1" customWidth="1"/>
    <col min="13554" max="13554" width="10.1640625" style="1" customWidth="1"/>
    <col min="13555" max="13555" width="11" style="1" customWidth="1"/>
    <col min="13556" max="13556" width="10.33203125" style="1" customWidth="1"/>
    <col min="13557" max="13557" width="9.83203125" style="1" customWidth="1"/>
    <col min="13558" max="13558" width="11.1640625" style="1" customWidth="1"/>
    <col min="13559" max="13559" width="10.5" style="1" customWidth="1"/>
    <col min="13560" max="13560" width="8.83203125" style="1" customWidth="1"/>
    <col min="13561" max="13561" width="10.33203125" style="1" customWidth="1"/>
    <col min="13562" max="13562" width="10.6640625" style="1" customWidth="1"/>
    <col min="13563" max="13563" width="12.5" style="1" customWidth="1"/>
    <col min="13564" max="13564" width="11.83203125" style="1" customWidth="1"/>
    <col min="13565" max="13565" width="11.1640625" style="1" customWidth="1"/>
    <col min="13566" max="13566" width="11" style="1" customWidth="1"/>
    <col min="13567" max="13567" width="11.1640625" style="1" customWidth="1"/>
    <col min="13568" max="13568" width="10.1640625" style="1" customWidth="1"/>
    <col min="13569" max="13569" width="11.83203125" style="1" customWidth="1"/>
    <col min="13570" max="13570" width="8.83203125" style="1"/>
    <col min="13571" max="13571" width="10.1640625" style="1" customWidth="1"/>
    <col min="13572" max="13572" width="10" style="1" customWidth="1"/>
    <col min="13573" max="13573" width="10.83203125" style="1" customWidth="1"/>
    <col min="13574" max="13574" width="11.33203125" style="1" customWidth="1"/>
    <col min="13575" max="13802" width="8.83203125" style="1"/>
    <col min="13803" max="13804" width="4.5" style="1" customWidth="1"/>
    <col min="13805" max="13805" width="8.6640625" style="1" customWidth="1"/>
    <col min="13806" max="13806" width="49.1640625" style="1" customWidth="1"/>
    <col min="13807" max="13807" width="3.1640625" style="1" customWidth="1"/>
    <col min="13808" max="13808" width="8.6640625" style="1" customWidth="1"/>
    <col min="13809" max="13809" width="10.5" style="1" customWidth="1"/>
    <col min="13810" max="13810" width="10.1640625" style="1" customWidth="1"/>
    <col min="13811" max="13811" width="11" style="1" customWidth="1"/>
    <col min="13812" max="13812" width="10.33203125" style="1" customWidth="1"/>
    <col min="13813" max="13813" width="9.83203125" style="1" customWidth="1"/>
    <col min="13814" max="13814" width="11.1640625" style="1" customWidth="1"/>
    <col min="13815" max="13815" width="10.5" style="1" customWidth="1"/>
    <col min="13816" max="13816" width="8.83203125" style="1" customWidth="1"/>
    <col min="13817" max="13817" width="10.33203125" style="1" customWidth="1"/>
    <col min="13818" max="13818" width="10.6640625" style="1" customWidth="1"/>
    <col min="13819" max="13819" width="12.5" style="1" customWidth="1"/>
    <col min="13820" max="13820" width="11.83203125" style="1" customWidth="1"/>
    <col min="13821" max="13821" width="11.1640625" style="1" customWidth="1"/>
    <col min="13822" max="13822" width="11" style="1" customWidth="1"/>
    <col min="13823" max="13823" width="11.1640625" style="1" customWidth="1"/>
    <col min="13824" max="13824" width="10.1640625" style="1" customWidth="1"/>
    <col min="13825" max="13825" width="11.83203125" style="1" customWidth="1"/>
    <col min="13826" max="13826" width="8.83203125" style="1"/>
    <col min="13827" max="13827" width="10.1640625" style="1" customWidth="1"/>
    <col min="13828" max="13828" width="10" style="1" customWidth="1"/>
    <col min="13829" max="13829" width="10.83203125" style="1" customWidth="1"/>
    <col min="13830" max="13830" width="11.33203125" style="1" customWidth="1"/>
    <col min="13831" max="14058" width="8.83203125" style="1"/>
    <col min="14059" max="14060" width="4.5" style="1" customWidth="1"/>
    <col min="14061" max="14061" width="8.6640625" style="1" customWidth="1"/>
    <col min="14062" max="14062" width="49.1640625" style="1" customWidth="1"/>
    <col min="14063" max="14063" width="3.1640625" style="1" customWidth="1"/>
    <col min="14064" max="14064" width="8.6640625" style="1" customWidth="1"/>
    <col min="14065" max="14065" width="10.5" style="1" customWidth="1"/>
    <col min="14066" max="14066" width="10.1640625" style="1" customWidth="1"/>
    <col min="14067" max="14067" width="11" style="1" customWidth="1"/>
    <col min="14068" max="14068" width="10.33203125" style="1" customWidth="1"/>
    <col min="14069" max="14069" width="9.83203125" style="1" customWidth="1"/>
    <col min="14070" max="14070" width="11.1640625" style="1" customWidth="1"/>
    <col min="14071" max="14071" width="10.5" style="1" customWidth="1"/>
    <col min="14072" max="14072" width="8.83203125" style="1" customWidth="1"/>
    <col min="14073" max="14073" width="10.33203125" style="1" customWidth="1"/>
    <col min="14074" max="14074" width="10.6640625" style="1" customWidth="1"/>
    <col min="14075" max="14075" width="12.5" style="1" customWidth="1"/>
    <col min="14076" max="14076" width="11.83203125" style="1" customWidth="1"/>
    <col min="14077" max="14077" width="11.1640625" style="1" customWidth="1"/>
    <col min="14078" max="14078" width="11" style="1" customWidth="1"/>
    <col min="14079" max="14079" width="11.1640625" style="1" customWidth="1"/>
    <col min="14080" max="14080" width="10.1640625" style="1" customWidth="1"/>
    <col min="14081" max="14081" width="11.83203125" style="1" customWidth="1"/>
    <col min="14082" max="14082" width="8.83203125" style="1"/>
    <col min="14083" max="14083" width="10.1640625" style="1" customWidth="1"/>
    <col min="14084" max="14084" width="10" style="1" customWidth="1"/>
    <col min="14085" max="14085" width="10.83203125" style="1" customWidth="1"/>
    <col min="14086" max="14086" width="11.33203125" style="1" customWidth="1"/>
    <col min="14087" max="14314" width="8.83203125" style="1"/>
    <col min="14315" max="14316" width="4.5" style="1" customWidth="1"/>
    <col min="14317" max="14317" width="8.6640625" style="1" customWidth="1"/>
    <col min="14318" max="14318" width="49.1640625" style="1" customWidth="1"/>
    <col min="14319" max="14319" width="3.1640625" style="1" customWidth="1"/>
    <col min="14320" max="14320" width="8.6640625" style="1" customWidth="1"/>
    <col min="14321" max="14321" width="10.5" style="1" customWidth="1"/>
    <col min="14322" max="14322" width="10.1640625" style="1" customWidth="1"/>
    <col min="14323" max="14323" width="11" style="1" customWidth="1"/>
    <col min="14324" max="14324" width="10.33203125" style="1" customWidth="1"/>
    <col min="14325" max="14325" width="9.83203125" style="1" customWidth="1"/>
    <col min="14326" max="14326" width="11.1640625" style="1" customWidth="1"/>
    <col min="14327" max="14327" width="10.5" style="1" customWidth="1"/>
    <col min="14328" max="14328" width="8.83203125" style="1" customWidth="1"/>
    <col min="14329" max="14329" width="10.33203125" style="1" customWidth="1"/>
    <col min="14330" max="14330" width="10.6640625" style="1" customWidth="1"/>
    <col min="14331" max="14331" width="12.5" style="1" customWidth="1"/>
    <col min="14332" max="14332" width="11.83203125" style="1" customWidth="1"/>
    <col min="14333" max="14333" width="11.1640625" style="1" customWidth="1"/>
    <col min="14334" max="14334" width="11" style="1" customWidth="1"/>
    <col min="14335" max="14335" width="11.1640625" style="1" customWidth="1"/>
    <col min="14336" max="14336" width="10.1640625" style="1" customWidth="1"/>
    <col min="14337" max="14337" width="11.83203125" style="1" customWidth="1"/>
    <col min="14338" max="14338" width="8.83203125" style="1"/>
    <col min="14339" max="14339" width="10.1640625" style="1" customWidth="1"/>
    <col min="14340" max="14340" width="10" style="1" customWidth="1"/>
    <col min="14341" max="14341" width="10.83203125" style="1" customWidth="1"/>
    <col min="14342" max="14342" width="11.33203125" style="1" customWidth="1"/>
    <col min="14343" max="14570" width="8.83203125" style="1"/>
    <col min="14571" max="14572" width="4.5" style="1" customWidth="1"/>
    <col min="14573" max="14573" width="8.6640625" style="1" customWidth="1"/>
    <col min="14574" max="14574" width="49.1640625" style="1" customWidth="1"/>
    <col min="14575" max="14575" width="3.1640625" style="1" customWidth="1"/>
    <col min="14576" max="14576" width="8.6640625" style="1" customWidth="1"/>
    <col min="14577" max="14577" width="10.5" style="1" customWidth="1"/>
    <col min="14578" max="14578" width="10.1640625" style="1" customWidth="1"/>
    <col min="14579" max="14579" width="11" style="1" customWidth="1"/>
    <col min="14580" max="14580" width="10.33203125" style="1" customWidth="1"/>
    <col min="14581" max="14581" width="9.83203125" style="1" customWidth="1"/>
    <col min="14582" max="14582" width="11.1640625" style="1" customWidth="1"/>
    <col min="14583" max="14583" width="10.5" style="1" customWidth="1"/>
    <col min="14584" max="14584" width="8.83203125" style="1" customWidth="1"/>
    <col min="14585" max="14585" width="10.33203125" style="1" customWidth="1"/>
    <col min="14586" max="14586" width="10.6640625" style="1" customWidth="1"/>
    <col min="14587" max="14587" width="12.5" style="1" customWidth="1"/>
    <col min="14588" max="14588" width="11.83203125" style="1" customWidth="1"/>
    <col min="14589" max="14589" width="11.1640625" style="1" customWidth="1"/>
    <col min="14590" max="14590" width="11" style="1" customWidth="1"/>
    <col min="14591" max="14591" width="11.1640625" style="1" customWidth="1"/>
    <col min="14592" max="14592" width="10.1640625" style="1" customWidth="1"/>
    <col min="14593" max="14593" width="11.83203125" style="1" customWidth="1"/>
    <col min="14594" max="14594" width="8.83203125" style="1"/>
    <col min="14595" max="14595" width="10.1640625" style="1" customWidth="1"/>
    <col min="14596" max="14596" width="10" style="1" customWidth="1"/>
    <col min="14597" max="14597" width="10.83203125" style="1" customWidth="1"/>
    <col min="14598" max="14598" width="11.33203125" style="1" customWidth="1"/>
    <col min="14599" max="14826" width="8.83203125" style="1"/>
    <col min="14827" max="14828" width="4.5" style="1" customWidth="1"/>
    <col min="14829" max="14829" width="8.6640625" style="1" customWidth="1"/>
    <col min="14830" max="14830" width="49.1640625" style="1" customWidth="1"/>
    <col min="14831" max="14831" width="3.1640625" style="1" customWidth="1"/>
    <col min="14832" max="14832" width="8.6640625" style="1" customWidth="1"/>
    <col min="14833" max="14833" width="10.5" style="1" customWidth="1"/>
    <col min="14834" max="14834" width="10.1640625" style="1" customWidth="1"/>
    <col min="14835" max="14835" width="11" style="1" customWidth="1"/>
    <col min="14836" max="14836" width="10.33203125" style="1" customWidth="1"/>
    <col min="14837" max="14837" width="9.83203125" style="1" customWidth="1"/>
    <col min="14838" max="14838" width="11.1640625" style="1" customWidth="1"/>
    <col min="14839" max="14839" width="10.5" style="1" customWidth="1"/>
    <col min="14840" max="14840" width="8.83203125" style="1" customWidth="1"/>
    <col min="14841" max="14841" width="10.33203125" style="1" customWidth="1"/>
    <col min="14842" max="14842" width="10.6640625" style="1" customWidth="1"/>
    <col min="14843" max="14843" width="12.5" style="1" customWidth="1"/>
    <col min="14844" max="14844" width="11.83203125" style="1" customWidth="1"/>
    <col min="14845" max="14845" width="11.1640625" style="1" customWidth="1"/>
    <col min="14846" max="14846" width="11" style="1" customWidth="1"/>
    <col min="14847" max="14847" width="11.1640625" style="1" customWidth="1"/>
    <col min="14848" max="14848" width="10.1640625" style="1" customWidth="1"/>
    <col min="14849" max="14849" width="11.83203125" style="1" customWidth="1"/>
    <col min="14850" max="14850" width="8.83203125" style="1"/>
    <col min="14851" max="14851" width="10.1640625" style="1" customWidth="1"/>
    <col min="14852" max="14852" width="10" style="1" customWidth="1"/>
    <col min="14853" max="14853" width="10.83203125" style="1" customWidth="1"/>
    <col min="14854" max="14854" width="11.33203125" style="1" customWidth="1"/>
    <col min="14855" max="15082" width="8.83203125" style="1"/>
    <col min="15083" max="15084" width="4.5" style="1" customWidth="1"/>
    <col min="15085" max="15085" width="8.6640625" style="1" customWidth="1"/>
    <col min="15086" max="15086" width="49.1640625" style="1" customWidth="1"/>
    <col min="15087" max="15087" width="3.1640625" style="1" customWidth="1"/>
    <col min="15088" max="15088" width="8.6640625" style="1" customWidth="1"/>
    <col min="15089" max="15089" width="10.5" style="1" customWidth="1"/>
    <col min="15090" max="15090" width="10.1640625" style="1" customWidth="1"/>
    <col min="15091" max="15091" width="11" style="1" customWidth="1"/>
    <col min="15092" max="15092" width="10.33203125" style="1" customWidth="1"/>
    <col min="15093" max="15093" width="9.83203125" style="1" customWidth="1"/>
    <col min="15094" max="15094" width="11.1640625" style="1" customWidth="1"/>
    <col min="15095" max="15095" width="10.5" style="1" customWidth="1"/>
    <col min="15096" max="15096" width="8.83203125" style="1" customWidth="1"/>
    <col min="15097" max="15097" width="10.33203125" style="1" customWidth="1"/>
    <col min="15098" max="15098" width="10.6640625" style="1" customWidth="1"/>
    <col min="15099" max="15099" width="12.5" style="1" customWidth="1"/>
    <col min="15100" max="15100" width="11.83203125" style="1" customWidth="1"/>
    <col min="15101" max="15101" width="11.1640625" style="1" customWidth="1"/>
    <col min="15102" max="15102" width="11" style="1" customWidth="1"/>
    <col min="15103" max="15103" width="11.1640625" style="1" customWidth="1"/>
    <col min="15104" max="15104" width="10.1640625" style="1" customWidth="1"/>
    <col min="15105" max="15105" width="11.83203125" style="1" customWidth="1"/>
    <col min="15106" max="15106" width="8.83203125" style="1"/>
    <col min="15107" max="15107" width="10.1640625" style="1" customWidth="1"/>
    <col min="15108" max="15108" width="10" style="1" customWidth="1"/>
    <col min="15109" max="15109" width="10.83203125" style="1" customWidth="1"/>
    <col min="15110" max="15110" width="11.33203125" style="1" customWidth="1"/>
    <col min="15111" max="15338" width="8.83203125" style="1"/>
    <col min="15339" max="15340" width="4.5" style="1" customWidth="1"/>
    <col min="15341" max="15341" width="8.6640625" style="1" customWidth="1"/>
    <col min="15342" max="15342" width="49.1640625" style="1" customWidth="1"/>
    <col min="15343" max="15343" width="3.1640625" style="1" customWidth="1"/>
    <col min="15344" max="15344" width="8.6640625" style="1" customWidth="1"/>
    <col min="15345" max="15345" width="10.5" style="1" customWidth="1"/>
    <col min="15346" max="15346" width="10.1640625" style="1" customWidth="1"/>
    <col min="15347" max="15347" width="11" style="1" customWidth="1"/>
    <col min="15348" max="15348" width="10.33203125" style="1" customWidth="1"/>
    <col min="15349" max="15349" width="9.83203125" style="1" customWidth="1"/>
    <col min="15350" max="15350" width="11.1640625" style="1" customWidth="1"/>
    <col min="15351" max="15351" width="10.5" style="1" customWidth="1"/>
    <col min="15352" max="15352" width="8.83203125" style="1" customWidth="1"/>
    <col min="15353" max="15353" width="10.33203125" style="1" customWidth="1"/>
    <col min="15354" max="15354" width="10.6640625" style="1" customWidth="1"/>
    <col min="15355" max="15355" width="12.5" style="1" customWidth="1"/>
    <col min="15356" max="15356" width="11.83203125" style="1" customWidth="1"/>
    <col min="15357" max="15357" width="11.1640625" style="1" customWidth="1"/>
    <col min="15358" max="15358" width="11" style="1" customWidth="1"/>
    <col min="15359" max="15359" width="11.1640625" style="1" customWidth="1"/>
    <col min="15360" max="15360" width="10.1640625" style="1" customWidth="1"/>
    <col min="15361" max="15361" width="11.83203125" style="1" customWidth="1"/>
    <col min="15362" max="15362" width="8.83203125" style="1"/>
    <col min="15363" max="15363" width="10.1640625" style="1" customWidth="1"/>
    <col min="15364" max="15364" width="10" style="1" customWidth="1"/>
    <col min="15365" max="15365" width="10.83203125" style="1" customWidth="1"/>
    <col min="15366" max="15366" width="11.33203125" style="1" customWidth="1"/>
    <col min="15367" max="15594" width="8.83203125" style="1"/>
    <col min="15595" max="15596" width="4.5" style="1" customWidth="1"/>
    <col min="15597" max="15597" width="8.6640625" style="1" customWidth="1"/>
    <col min="15598" max="15598" width="49.1640625" style="1" customWidth="1"/>
    <col min="15599" max="15599" width="3.1640625" style="1" customWidth="1"/>
    <col min="15600" max="15600" width="8.6640625" style="1" customWidth="1"/>
    <col min="15601" max="15601" width="10.5" style="1" customWidth="1"/>
    <col min="15602" max="15602" width="10.1640625" style="1" customWidth="1"/>
    <col min="15603" max="15603" width="11" style="1" customWidth="1"/>
    <col min="15604" max="15604" width="10.33203125" style="1" customWidth="1"/>
    <col min="15605" max="15605" width="9.83203125" style="1" customWidth="1"/>
    <col min="15606" max="15606" width="11.1640625" style="1" customWidth="1"/>
    <col min="15607" max="15607" width="10.5" style="1" customWidth="1"/>
    <col min="15608" max="15608" width="8.83203125" style="1" customWidth="1"/>
    <col min="15609" max="15609" width="10.33203125" style="1" customWidth="1"/>
    <col min="15610" max="15610" width="10.6640625" style="1" customWidth="1"/>
    <col min="15611" max="15611" width="12.5" style="1" customWidth="1"/>
    <col min="15612" max="15612" width="11.83203125" style="1" customWidth="1"/>
    <col min="15613" max="15613" width="11.1640625" style="1" customWidth="1"/>
    <col min="15614" max="15614" width="11" style="1" customWidth="1"/>
    <col min="15615" max="15615" width="11.1640625" style="1" customWidth="1"/>
    <col min="15616" max="15616" width="10.1640625" style="1" customWidth="1"/>
    <col min="15617" max="15617" width="11.83203125" style="1" customWidth="1"/>
    <col min="15618" max="15618" width="8.83203125" style="1"/>
    <col min="15619" max="15619" width="10.1640625" style="1" customWidth="1"/>
    <col min="15620" max="15620" width="10" style="1" customWidth="1"/>
    <col min="15621" max="15621" width="10.83203125" style="1" customWidth="1"/>
    <col min="15622" max="15622" width="11.33203125" style="1" customWidth="1"/>
    <col min="15623" max="15850" width="8.83203125" style="1"/>
    <col min="15851" max="15852" width="4.5" style="1" customWidth="1"/>
    <col min="15853" max="15853" width="8.6640625" style="1" customWidth="1"/>
    <col min="15854" max="15854" width="49.1640625" style="1" customWidth="1"/>
    <col min="15855" max="15855" width="3.1640625" style="1" customWidth="1"/>
    <col min="15856" max="15856" width="8.6640625" style="1" customWidth="1"/>
    <col min="15857" max="15857" width="10.5" style="1" customWidth="1"/>
    <col min="15858" max="15858" width="10.1640625" style="1" customWidth="1"/>
    <col min="15859" max="15859" width="11" style="1" customWidth="1"/>
    <col min="15860" max="15860" width="10.33203125" style="1" customWidth="1"/>
    <col min="15861" max="15861" width="9.83203125" style="1" customWidth="1"/>
    <col min="15862" max="15862" width="11.1640625" style="1" customWidth="1"/>
    <col min="15863" max="15863" width="10.5" style="1" customWidth="1"/>
    <col min="15864" max="15864" width="8.83203125" style="1" customWidth="1"/>
    <col min="15865" max="15865" width="10.33203125" style="1" customWidth="1"/>
    <col min="15866" max="15866" width="10.6640625" style="1" customWidth="1"/>
    <col min="15867" max="15867" width="12.5" style="1" customWidth="1"/>
    <col min="15868" max="15868" width="11.83203125" style="1" customWidth="1"/>
    <col min="15869" max="15869" width="11.1640625" style="1" customWidth="1"/>
    <col min="15870" max="15870" width="11" style="1" customWidth="1"/>
    <col min="15871" max="15871" width="11.1640625" style="1" customWidth="1"/>
    <col min="15872" max="15872" width="10.1640625" style="1" customWidth="1"/>
    <col min="15873" max="15873" width="11.83203125" style="1" customWidth="1"/>
    <col min="15874" max="15874" width="8.83203125" style="1"/>
    <col min="15875" max="15875" width="10.1640625" style="1" customWidth="1"/>
    <col min="15876" max="15876" width="10" style="1" customWidth="1"/>
    <col min="15877" max="15877" width="10.83203125" style="1" customWidth="1"/>
    <col min="15878" max="15878" width="11.33203125" style="1" customWidth="1"/>
    <col min="15879" max="16106" width="8.83203125" style="1"/>
    <col min="16107" max="16108" width="4.5" style="1" customWidth="1"/>
    <col min="16109" max="16109" width="8.6640625" style="1" customWidth="1"/>
    <col min="16110" max="16110" width="49.1640625" style="1" customWidth="1"/>
    <col min="16111" max="16111" width="3.1640625" style="1" customWidth="1"/>
    <col min="16112" max="16112" width="8.6640625" style="1" customWidth="1"/>
    <col min="16113" max="16113" width="10.5" style="1" customWidth="1"/>
    <col min="16114" max="16114" width="10.1640625" style="1" customWidth="1"/>
    <col min="16115" max="16115" width="11" style="1" customWidth="1"/>
    <col min="16116" max="16116" width="10.33203125" style="1" customWidth="1"/>
    <col min="16117" max="16117" width="9.83203125" style="1" customWidth="1"/>
    <col min="16118" max="16118" width="11.1640625" style="1" customWidth="1"/>
    <col min="16119" max="16119" width="10.5" style="1" customWidth="1"/>
    <col min="16120" max="16120" width="8.83203125" style="1" customWidth="1"/>
    <col min="16121" max="16121" width="10.33203125" style="1" customWidth="1"/>
    <col min="16122" max="16122" width="10.6640625" style="1" customWidth="1"/>
    <col min="16123" max="16123" width="12.5" style="1" customWidth="1"/>
    <col min="16124" max="16124" width="11.83203125" style="1" customWidth="1"/>
    <col min="16125" max="16125" width="11.1640625" style="1" customWidth="1"/>
    <col min="16126" max="16126" width="11" style="1" customWidth="1"/>
    <col min="16127" max="16127" width="11.1640625" style="1" customWidth="1"/>
    <col min="16128" max="16128" width="10.1640625" style="1" customWidth="1"/>
    <col min="16129" max="16129" width="11.83203125" style="1" customWidth="1"/>
    <col min="16130" max="16130" width="8.83203125" style="1"/>
    <col min="16131" max="16131" width="10.1640625" style="1" customWidth="1"/>
    <col min="16132" max="16132" width="10" style="1" customWidth="1"/>
    <col min="16133" max="16133" width="10.83203125" style="1" customWidth="1"/>
    <col min="16134" max="16134" width="11.33203125" style="1" customWidth="1"/>
    <col min="16135" max="16371" width="8.83203125" style="1"/>
    <col min="16372" max="16384" width="8.83203125" style="1" customWidth="1"/>
  </cols>
  <sheetData>
    <row r="1" spans="1:18" ht="25.5" customHeight="1" x14ac:dyDescent="0.2">
      <c r="A1" s="1023" t="s">
        <v>83</v>
      </c>
      <c r="B1" s="1023" t="s">
        <v>84</v>
      </c>
      <c r="C1" s="1023" t="s">
        <v>17</v>
      </c>
      <c r="D1" s="1025" t="s">
        <v>115</v>
      </c>
      <c r="E1" s="1027" t="s">
        <v>259</v>
      </c>
      <c r="F1" s="1017" t="s">
        <v>189</v>
      </c>
      <c r="G1" s="1012" t="s">
        <v>121</v>
      </c>
      <c r="H1" s="1012"/>
      <c r="I1" s="1012"/>
      <c r="J1" s="1012"/>
      <c r="K1" s="1012"/>
      <c r="L1" s="1012"/>
      <c r="M1" s="1012"/>
      <c r="N1" s="1013"/>
      <c r="O1" s="1014" t="s">
        <v>120</v>
      </c>
      <c r="P1" s="1013"/>
      <c r="Q1" s="1015" t="s">
        <v>260</v>
      </c>
      <c r="R1" s="1050" t="s">
        <v>732</v>
      </c>
    </row>
    <row r="2" spans="1:18" ht="57.95" customHeight="1" thickBot="1" x14ac:dyDescent="0.25">
      <c r="A2" s="1024"/>
      <c r="B2" s="1024"/>
      <c r="C2" s="1024"/>
      <c r="D2" s="1026"/>
      <c r="E2" s="1028"/>
      <c r="F2" s="1018"/>
      <c r="G2" s="182" t="s">
        <v>105</v>
      </c>
      <c r="H2" s="92" t="s">
        <v>175</v>
      </c>
      <c r="I2" s="92" t="s">
        <v>169</v>
      </c>
      <c r="J2" s="92" t="s">
        <v>15</v>
      </c>
      <c r="K2" s="92" t="s">
        <v>22</v>
      </c>
      <c r="L2" s="92" t="s">
        <v>20</v>
      </c>
      <c r="M2" s="92" t="s">
        <v>19</v>
      </c>
      <c r="N2" s="92" t="s">
        <v>71</v>
      </c>
      <c r="O2" s="93" t="s">
        <v>125</v>
      </c>
      <c r="P2" s="94" t="s">
        <v>127</v>
      </c>
      <c r="Q2" s="1016"/>
      <c r="R2" s="1051"/>
    </row>
    <row r="3" spans="1:18" ht="16.5" customHeight="1" x14ac:dyDescent="0.2">
      <c r="A3" s="95">
        <v>1</v>
      </c>
      <c r="B3" s="96"/>
      <c r="C3" s="97"/>
      <c r="D3" s="230" t="s">
        <v>261</v>
      </c>
      <c r="E3" s="98"/>
      <c r="F3" s="99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1"/>
      <c r="R3" s="324"/>
    </row>
    <row r="4" spans="1:18" ht="12.75" customHeight="1" x14ac:dyDescent="0.2">
      <c r="A4" s="96">
        <v>1</v>
      </c>
      <c r="B4" s="96">
        <v>1</v>
      </c>
      <c r="C4" s="96"/>
      <c r="D4" s="230" t="s">
        <v>3</v>
      </c>
      <c r="E4" s="82"/>
      <c r="F4" s="102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324"/>
    </row>
    <row r="5" spans="1:18" ht="12" customHeight="1" x14ac:dyDescent="0.2">
      <c r="A5" s="103">
        <v>1</v>
      </c>
      <c r="B5" s="103">
        <v>12</v>
      </c>
      <c r="C5" s="103"/>
      <c r="D5" s="104" t="s">
        <v>94</v>
      </c>
      <c r="E5" s="105"/>
      <c r="F5" s="106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324"/>
    </row>
    <row r="6" spans="1:18" ht="14.45" hidden="1" customHeight="1" x14ac:dyDescent="0.2">
      <c r="A6" s="103"/>
      <c r="B6" s="103"/>
      <c r="C6" s="108"/>
      <c r="D6" s="109" t="s">
        <v>262</v>
      </c>
      <c r="E6" s="110"/>
      <c r="F6" s="111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324"/>
    </row>
    <row r="7" spans="1:18" ht="14.45" hidden="1" customHeight="1" x14ac:dyDescent="0.2">
      <c r="A7" s="103"/>
      <c r="B7" s="103"/>
      <c r="C7" s="108"/>
      <c r="D7" s="112" t="s">
        <v>263</v>
      </c>
      <c r="E7" s="113">
        <v>2</v>
      </c>
      <c r="F7" s="114">
        <v>121103</v>
      </c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>
        <f>SUM(G7:P7)</f>
        <v>0</v>
      </c>
      <c r="R7" s="324"/>
    </row>
    <row r="8" spans="1:18" ht="14.45" hidden="1" customHeight="1" x14ac:dyDescent="0.2">
      <c r="A8" s="103"/>
      <c r="B8" s="103"/>
      <c r="C8" s="108"/>
      <c r="D8" s="112" t="s">
        <v>264</v>
      </c>
      <c r="E8" s="113"/>
      <c r="F8" s="114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324"/>
    </row>
    <row r="9" spans="1:18" ht="14.45" hidden="1" customHeight="1" x14ac:dyDescent="0.2">
      <c r="A9" s="103"/>
      <c r="B9" s="103"/>
      <c r="C9" s="108"/>
      <c r="D9" s="112" t="s">
        <v>265</v>
      </c>
      <c r="E9" s="113">
        <v>2</v>
      </c>
      <c r="F9" s="114">
        <v>121104</v>
      </c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>
        <f>SUM(G9:P9)</f>
        <v>0</v>
      </c>
      <c r="R9" s="324"/>
    </row>
    <row r="10" spans="1:18" ht="24.6" hidden="1" customHeight="1" x14ac:dyDescent="0.2">
      <c r="A10" s="103"/>
      <c r="B10" s="103"/>
      <c r="C10" s="108"/>
      <c r="D10" s="302" t="s">
        <v>266</v>
      </c>
      <c r="E10" s="113">
        <v>2</v>
      </c>
      <c r="F10" s="114">
        <v>121117</v>
      </c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>
        <f>SUM(G10:P10)</f>
        <v>0</v>
      </c>
      <c r="R10" s="324"/>
    </row>
    <row r="11" spans="1:18" ht="19.149999999999999" hidden="1" customHeight="1" x14ac:dyDescent="0.2">
      <c r="A11" s="352"/>
      <c r="B11" s="352"/>
      <c r="C11" s="353"/>
      <c r="D11" s="354" t="s">
        <v>744</v>
      </c>
      <c r="E11" s="355">
        <v>2</v>
      </c>
      <c r="F11" s="356">
        <v>121202</v>
      </c>
      <c r="G11" s="357"/>
      <c r="H11" s="357"/>
      <c r="I11" s="357"/>
      <c r="J11" s="357"/>
      <c r="K11" s="357"/>
      <c r="L11" s="357"/>
      <c r="M11" s="357"/>
      <c r="N11" s="357"/>
      <c r="O11" s="357"/>
      <c r="P11" s="357"/>
      <c r="Q11" s="107">
        <f t="shared" ref="Q11:Q12" si="0">SUM(G11:P11)</f>
        <v>0</v>
      </c>
      <c r="R11" s="358"/>
    </row>
    <row r="12" spans="1:18" ht="15.6" hidden="1" customHeight="1" x14ac:dyDescent="0.2">
      <c r="A12" s="352"/>
      <c r="B12" s="352"/>
      <c r="C12" s="353"/>
      <c r="D12" s="354" t="s">
        <v>763</v>
      </c>
      <c r="E12" s="355">
        <v>2</v>
      </c>
      <c r="F12" s="356">
        <v>121205</v>
      </c>
      <c r="G12" s="357"/>
      <c r="H12" s="357"/>
      <c r="I12" s="357"/>
      <c r="J12" s="357"/>
      <c r="K12" s="357"/>
      <c r="L12" s="357"/>
      <c r="M12" s="357"/>
      <c r="N12" s="357"/>
      <c r="O12" s="357"/>
      <c r="P12" s="357"/>
      <c r="Q12" s="107">
        <f t="shared" si="0"/>
        <v>0</v>
      </c>
      <c r="R12" s="358"/>
    </row>
    <row r="13" spans="1:18" ht="14.45" hidden="1" customHeight="1" x14ac:dyDescent="0.2">
      <c r="A13" s="103"/>
      <c r="B13" s="103"/>
      <c r="C13" s="108"/>
      <c r="D13" s="112" t="s">
        <v>267</v>
      </c>
      <c r="E13" s="113"/>
      <c r="F13" s="114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324"/>
    </row>
    <row r="14" spans="1:18" ht="14.45" hidden="1" customHeight="1" x14ac:dyDescent="0.2">
      <c r="A14" s="103"/>
      <c r="B14" s="103"/>
      <c r="C14" s="108"/>
      <c r="D14" s="112" t="s">
        <v>268</v>
      </c>
      <c r="E14" s="113">
        <v>2</v>
      </c>
      <c r="F14" s="114">
        <v>121111</v>
      </c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>
        <f t="shared" ref="Q14:Q18" si="1">SUM(G14:P14)</f>
        <v>0</v>
      </c>
      <c r="R14" s="324"/>
    </row>
    <row r="15" spans="1:18" ht="14.45" hidden="1" customHeight="1" x14ac:dyDescent="0.2">
      <c r="A15" s="103"/>
      <c r="B15" s="103"/>
      <c r="C15" s="108"/>
      <c r="D15" s="112" t="s">
        <v>269</v>
      </c>
      <c r="E15" s="113">
        <v>2</v>
      </c>
      <c r="F15" s="82">
        <v>121127</v>
      </c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>
        <f t="shared" si="1"/>
        <v>0</v>
      </c>
      <c r="R15" s="324"/>
    </row>
    <row r="16" spans="1:18" ht="14.45" customHeight="1" x14ac:dyDescent="0.2">
      <c r="A16" s="103"/>
      <c r="B16" s="103"/>
      <c r="C16" s="108"/>
      <c r="D16" s="112" t="s">
        <v>784</v>
      </c>
      <c r="E16" s="113">
        <v>2</v>
      </c>
      <c r="F16" s="82">
        <v>121115</v>
      </c>
      <c r="G16" s="107"/>
      <c r="H16" s="107"/>
      <c r="I16" s="107"/>
      <c r="J16" s="107">
        <v>2000</v>
      </c>
      <c r="K16" s="107"/>
      <c r="L16" s="107"/>
      <c r="M16" s="107"/>
      <c r="N16" s="107"/>
      <c r="O16" s="107"/>
      <c r="P16" s="107"/>
      <c r="Q16" s="107">
        <f t="shared" si="1"/>
        <v>2000</v>
      </c>
      <c r="R16" s="324" t="s">
        <v>1181</v>
      </c>
    </row>
    <row r="17" spans="1:18" ht="14.45" hidden="1" customHeight="1" x14ac:dyDescent="0.2">
      <c r="A17" s="103"/>
      <c r="B17" s="103"/>
      <c r="C17" s="108"/>
      <c r="D17" s="112" t="s">
        <v>270</v>
      </c>
      <c r="E17" s="113">
        <v>2</v>
      </c>
      <c r="F17" s="113">
        <v>121129</v>
      </c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>
        <f t="shared" si="1"/>
        <v>0</v>
      </c>
      <c r="R17" s="324"/>
    </row>
    <row r="18" spans="1:18" ht="14.45" hidden="1" customHeight="1" x14ac:dyDescent="0.2">
      <c r="A18" s="103"/>
      <c r="B18" s="103"/>
      <c r="C18" s="108"/>
      <c r="D18" s="303" t="s">
        <v>271</v>
      </c>
      <c r="E18" s="113">
        <v>2</v>
      </c>
      <c r="F18" s="113">
        <v>121106</v>
      </c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>
        <f t="shared" si="1"/>
        <v>0</v>
      </c>
      <c r="R18" s="324"/>
    </row>
    <row r="19" spans="1:18" ht="27" hidden="1" customHeight="1" x14ac:dyDescent="0.2">
      <c r="A19" s="103"/>
      <c r="B19" s="103"/>
      <c r="C19" s="108"/>
      <c r="D19" s="304" t="s">
        <v>272</v>
      </c>
      <c r="E19" s="113"/>
      <c r="F19" s="113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324"/>
    </row>
    <row r="20" spans="1:18" ht="14.45" hidden="1" customHeight="1" x14ac:dyDescent="0.2">
      <c r="A20" s="103"/>
      <c r="B20" s="103"/>
      <c r="C20" s="108"/>
      <c r="D20" s="112" t="s">
        <v>273</v>
      </c>
      <c r="E20" s="113">
        <v>2</v>
      </c>
      <c r="F20" s="113">
        <v>121131</v>
      </c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>
        <f>SUM(G20:P20)</f>
        <v>0</v>
      </c>
      <c r="R20" s="324"/>
    </row>
    <row r="21" spans="1:18" ht="14.45" hidden="1" customHeight="1" x14ac:dyDescent="0.2">
      <c r="A21" s="103"/>
      <c r="B21" s="103"/>
      <c r="C21" s="108"/>
      <c r="D21" s="112" t="s">
        <v>264</v>
      </c>
      <c r="E21" s="113"/>
      <c r="F21" s="113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324"/>
    </row>
    <row r="22" spans="1:18" ht="14.45" hidden="1" customHeight="1" x14ac:dyDescent="0.2">
      <c r="A22" s="103"/>
      <c r="B22" s="103"/>
      <c r="C22" s="108"/>
      <c r="D22" s="112" t="s">
        <v>274</v>
      </c>
      <c r="E22" s="113">
        <v>2</v>
      </c>
      <c r="F22" s="113">
        <v>121130</v>
      </c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>
        <f>SUM(G22:P22)</f>
        <v>0</v>
      </c>
      <c r="R22" s="324"/>
    </row>
    <row r="23" spans="1:18" ht="14.45" hidden="1" customHeight="1" x14ac:dyDescent="0.2">
      <c r="A23" s="103"/>
      <c r="B23" s="103"/>
      <c r="C23" s="108"/>
      <c r="D23" s="112" t="s">
        <v>267</v>
      </c>
      <c r="E23" s="113"/>
      <c r="F23" s="113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324"/>
    </row>
    <row r="24" spans="1:18" ht="14.45" customHeight="1" x14ac:dyDescent="0.2">
      <c r="A24" s="103"/>
      <c r="B24" s="103"/>
      <c r="C24" s="108"/>
      <c r="D24" s="112" t="s">
        <v>275</v>
      </c>
      <c r="E24" s="113">
        <v>1</v>
      </c>
      <c r="F24" s="114">
        <v>121204</v>
      </c>
      <c r="G24" s="107"/>
      <c r="H24" s="107"/>
      <c r="I24" s="107"/>
      <c r="J24" s="107">
        <v>-2000</v>
      </c>
      <c r="K24" s="107"/>
      <c r="L24" s="107"/>
      <c r="M24" s="107"/>
      <c r="N24" s="107"/>
      <c r="O24" s="107"/>
      <c r="P24" s="107"/>
      <c r="Q24" s="107">
        <f>SUM(G24:P24)</f>
        <v>-2000</v>
      </c>
      <c r="R24" s="324" t="s">
        <v>1181</v>
      </c>
    </row>
    <row r="25" spans="1:18" ht="14.45" hidden="1" customHeight="1" x14ac:dyDescent="0.2">
      <c r="A25" s="103"/>
      <c r="B25" s="103"/>
      <c r="C25" s="108"/>
      <c r="D25" s="231" t="s">
        <v>276</v>
      </c>
      <c r="E25" s="232">
        <v>1</v>
      </c>
      <c r="F25" s="114">
        <v>121132</v>
      </c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>
        <f>SUM(G25:P25)</f>
        <v>0</v>
      </c>
      <c r="R25" s="324"/>
    </row>
    <row r="26" spans="1:18" ht="14.45" hidden="1" customHeight="1" x14ac:dyDescent="0.2">
      <c r="A26" s="103"/>
      <c r="B26" s="103"/>
      <c r="C26" s="108"/>
      <c r="D26" s="115" t="s">
        <v>277</v>
      </c>
      <c r="E26" s="113">
        <v>1</v>
      </c>
      <c r="F26" s="114">
        <v>121203</v>
      </c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>
        <f>SUM(G26:P26)</f>
        <v>0</v>
      </c>
      <c r="R26" s="324"/>
    </row>
    <row r="27" spans="1:18" ht="14.45" hidden="1" customHeight="1" x14ac:dyDescent="0.2">
      <c r="A27" s="103"/>
      <c r="B27" s="103"/>
      <c r="C27" s="108"/>
      <c r="D27" s="116" t="s">
        <v>278</v>
      </c>
      <c r="E27" s="113"/>
      <c r="F27" s="82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324"/>
    </row>
    <row r="28" spans="1:18" ht="14.45" hidden="1" customHeight="1" x14ac:dyDescent="0.2">
      <c r="A28" s="103"/>
      <c r="B28" s="103"/>
      <c r="C28" s="108"/>
      <c r="D28" s="112" t="s">
        <v>279</v>
      </c>
      <c r="E28" s="113">
        <v>2</v>
      </c>
      <c r="F28" s="114">
        <v>121504</v>
      </c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>
        <f>SUM(G28:P28)</f>
        <v>0</v>
      </c>
      <c r="R28" s="324"/>
    </row>
    <row r="29" spans="1:18" ht="14.45" hidden="1" customHeight="1" x14ac:dyDescent="0.2">
      <c r="A29" s="103"/>
      <c r="B29" s="103"/>
      <c r="C29" s="108"/>
      <c r="D29" s="112" t="s">
        <v>233</v>
      </c>
      <c r="E29" s="113"/>
      <c r="F29" s="114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324"/>
    </row>
    <row r="30" spans="1:18" ht="12.6" hidden="1" customHeight="1" x14ac:dyDescent="0.2">
      <c r="A30" s="102"/>
      <c r="B30" s="117"/>
      <c r="C30" s="233"/>
      <c r="D30" s="82" t="s">
        <v>280</v>
      </c>
      <c r="E30" s="113">
        <v>1</v>
      </c>
      <c r="F30" s="82">
        <v>121403</v>
      </c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>
        <f>SUM(G30:P30)</f>
        <v>0</v>
      </c>
      <c r="R30" s="324"/>
    </row>
    <row r="31" spans="1:18" ht="12.6" hidden="1" customHeight="1" x14ac:dyDescent="0.2">
      <c r="A31" s="102"/>
      <c r="B31" s="117"/>
      <c r="C31" s="233"/>
      <c r="D31" s="82" t="s">
        <v>281</v>
      </c>
      <c r="E31" s="82"/>
      <c r="F31" s="82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324"/>
    </row>
    <row r="32" spans="1:18" ht="12.6" hidden="1" customHeight="1" x14ac:dyDescent="0.2">
      <c r="A32" s="102"/>
      <c r="B32" s="102"/>
      <c r="C32" s="118"/>
      <c r="D32" s="116" t="s">
        <v>282</v>
      </c>
      <c r="E32" s="82">
        <v>1</v>
      </c>
      <c r="F32" s="82">
        <v>121301</v>
      </c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>
        <f>SUM(G32:P32)</f>
        <v>0</v>
      </c>
      <c r="R32" s="324"/>
    </row>
    <row r="33" spans="1:18" ht="12.6" hidden="1" customHeight="1" x14ac:dyDescent="0.2">
      <c r="A33" s="102"/>
      <c r="B33" s="102"/>
      <c r="C33" s="118"/>
      <c r="D33" s="119" t="s">
        <v>190</v>
      </c>
      <c r="E33" s="113"/>
      <c r="F33" s="82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324"/>
    </row>
    <row r="34" spans="1:18" ht="12.6" customHeight="1" x14ac:dyDescent="0.2">
      <c r="A34" s="102"/>
      <c r="B34" s="102"/>
      <c r="C34" s="118"/>
      <c r="D34" s="120" t="s">
        <v>283</v>
      </c>
      <c r="E34" s="113">
        <v>2</v>
      </c>
      <c r="F34" s="82">
        <v>221902</v>
      </c>
      <c r="G34" s="107"/>
      <c r="H34" s="107"/>
      <c r="I34" s="107">
        <v>-679</v>
      </c>
      <c r="J34" s="107"/>
      <c r="K34" s="107"/>
      <c r="L34" s="107"/>
      <c r="M34" s="107"/>
      <c r="N34" s="107"/>
      <c r="O34" s="107"/>
      <c r="P34" s="107"/>
      <c r="Q34" s="107">
        <f>SUM(G34:P34)</f>
        <v>-679</v>
      </c>
      <c r="R34" s="324" t="s">
        <v>1181</v>
      </c>
    </row>
    <row r="35" spans="1:18" ht="12.6" hidden="1" customHeight="1" x14ac:dyDescent="0.2">
      <c r="A35" s="102"/>
      <c r="B35" s="102"/>
      <c r="C35" s="118"/>
      <c r="D35" s="121" t="s">
        <v>284</v>
      </c>
      <c r="E35" s="113">
        <v>2</v>
      </c>
      <c r="F35" s="82" t="s">
        <v>285</v>
      </c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>
        <f>SUM(G35:P35)</f>
        <v>0</v>
      </c>
      <c r="R35" s="324"/>
    </row>
    <row r="36" spans="1:18" ht="12.6" hidden="1" customHeight="1" x14ac:dyDescent="0.2">
      <c r="A36" s="102"/>
      <c r="B36" s="102"/>
      <c r="C36" s="118"/>
      <c r="D36" s="121" t="s">
        <v>643</v>
      </c>
      <c r="E36" s="113">
        <v>1</v>
      </c>
      <c r="F36" s="82">
        <v>121118</v>
      </c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>
        <f t="shared" ref="Q36:Q37" si="2">SUM(G36:P36)</f>
        <v>0</v>
      </c>
      <c r="R36" s="324"/>
    </row>
    <row r="37" spans="1:18" ht="12.6" hidden="1" customHeight="1" x14ac:dyDescent="0.2">
      <c r="A37" s="102"/>
      <c r="B37" s="102"/>
      <c r="C37" s="118"/>
      <c r="D37" s="115" t="s">
        <v>644</v>
      </c>
      <c r="E37" s="113">
        <v>1</v>
      </c>
      <c r="F37" s="82">
        <v>121515</v>
      </c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>
        <f t="shared" si="2"/>
        <v>0</v>
      </c>
      <c r="R37" s="324"/>
    </row>
    <row r="38" spans="1:18" ht="14.1" hidden="1" customHeight="1" x14ac:dyDescent="0.2">
      <c r="A38" s="102"/>
      <c r="B38" s="102"/>
      <c r="C38" s="118"/>
      <c r="D38" s="109" t="s">
        <v>286</v>
      </c>
      <c r="E38" s="113"/>
      <c r="F38" s="82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324"/>
    </row>
    <row r="39" spans="1:18" ht="14.1" hidden="1" customHeight="1" x14ac:dyDescent="0.2">
      <c r="A39" s="102"/>
      <c r="B39" s="102"/>
      <c r="C39" s="118"/>
      <c r="D39" s="116" t="s">
        <v>287</v>
      </c>
      <c r="E39" s="113">
        <v>1</v>
      </c>
      <c r="F39" s="82">
        <v>121601</v>
      </c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>
        <f>SUM(G39:P39)</f>
        <v>0</v>
      </c>
      <c r="R39" s="324"/>
    </row>
    <row r="40" spans="1:18" ht="14.1" hidden="1" customHeight="1" x14ac:dyDescent="0.2">
      <c r="A40" s="102"/>
      <c r="B40" s="102"/>
      <c r="C40" s="118"/>
      <c r="D40" s="123" t="s">
        <v>288</v>
      </c>
      <c r="E40" s="113"/>
      <c r="F40" s="113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324"/>
    </row>
    <row r="41" spans="1:18" ht="14.1" hidden="1" customHeight="1" x14ac:dyDescent="0.2">
      <c r="A41" s="102"/>
      <c r="B41" s="102"/>
      <c r="C41" s="118"/>
      <c r="D41" s="116" t="s">
        <v>289</v>
      </c>
      <c r="E41" s="113">
        <v>2</v>
      </c>
      <c r="F41" s="82">
        <v>121517</v>
      </c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>
        <f>SUM(G41:P41)</f>
        <v>0</v>
      </c>
      <c r="R41" s="324"/>
    </row>
    <row r="42" spans="1:18" x14ac:dyDescent="0.2">
      <c r="A42" s="124"/>
      <c r="B42" s="124"/>
      <c r="C42" s="125"/>
      <c r="D42" s="126" t="s">
        <v>290</v>
      </c>
      <c r="E42" s="127"/>
      <c r="F42" s="128"/>
      <c r="G42" s="128">
        <f t="shared" ref="G42:Q42" si="3">SUM(G7:G41)</f>
        <v>0</v>
      </c>
      <c r="H42" s="128">
        <f t="shared" si="3"/>
        <v>0</v>
      </c>
      <c r="I42" s="128">
        <f t="shared" si="3"/>
        <v>-679</v>
      </c>
      <c r="J42" s="128">
        <f t="shared" si="3"/>
        <v>0</v>
      </c>
      <c r="K42" s="128">
        <f t="shared" si="3"/>
        <v>0</v>
      </c>
      <c r="L42" s="128">
        <f t="shared" si="3"/>
        <v>0</v>
      </c>
      <c r="M42" s="128">
        <f t="shared" si="3"/>
        <v>0</v>
      </c>
      <c r="N42" s="128">
        <f t="shared" si="3"/>
        <v>0</v>
      </c>
      <c r="O42" s="128">
        <f t="shared" si="3"/>
        <v>0</v>
      </c>
      <c r="P42" s="128">
        <f t="shared" si="3"/>
        <v>0</v>
      </c>
      <c r="Q42" s="128">
        <f t="shared" si="3"/>
        <v>-679</v>
      </c>
      <c r="R42" s="325"/>
    </row>
    <row r="43" spans="1:18" hidden="1" x14ac:dyDescent="0.2">
      <c r="A43" s="129"/>
      <c r="B43" s="129"/>
      <c r="C43" s="118"/>
      <c r="D43" s="116" t="s">
        <v>291</v>
      </c>
      <c r="E43" s="130"/>
      <c r="F43" s="8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324"/>
    </row>
    <row r="44" spans="1:18" ht="24" hidden="1" x14ac:dyDescent="0.2">
      <c r="A44" s="129"/>
      <c r="B44" s="129"/>
      <c r="C44" s="118" t="s">
        <v>292</v>
      </c>
      <c r="D44" s="305" t="s">
        <v>293</v>
      </c>
      <c r="E44" s="130"/>
      <c r="F44" s="82">
        <v>121401</v>
      </c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>
        <f>SUM(G44:P44)</f>
        <v>0</v>
      </c>
      <c r="R44" s="324"/>
    </row>
    <row r="45" spans="1:18" hidden="1" x14ac:dyDescent="0.2">
      <c r="A45" s="129"/>
      <c r="B45" s="129"/>
      <c r="C45" s="118"/>
      <c r="D45" s="116" t="s">
        <v>868</v>
      </c>
      <c r="E45" s="130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324"/>
    </row>
    <row r="46" spans="1:18" hidden="1" x14ac:dyDescent="0.2">
      <c r="A46" s="129"/>
      <c r="B46" s="129"/>
      <c r="C46" s="118" t="s">
        <v>294</v>
      </c>
      <c r="D46" s="306" t="s">
        <v>295</v>
      </c>
      <c r="E46" s="130"/>
      <c r="F46" s="82">
        <v>121405</v>
      </c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>
        <f>SUM(G46:P46)</f>
        <v>0</v>
      </c>
      <c r="R46" s="324"/>
    </row>
    <row r="47" spans="1:18" ht="24" hidden="1" x14ac:dyDescent="0.2">
      <c r="A47" s="129"/>
      <c r="B47" s="129"/>
      <c r="C47" s="118" t="s">
        <v>296</v>
      </c>
      <c r="D47" s="307" t="s">
        <v>297</v>
      </c>
      <c r="E47" s="130"/>
      <c r="F47" s="82">
        <v>121402</v>
      </c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>
        <f>SUM(G47:P47)</f>
        <v>0</v>
      </c>
      <c r="R47" s="324"/>
    </row>
    <row r="48" spans="1:18" hidden="1" x14ac:dyDescent="0.2">
      <c r="A48" s="124"/>
      <c r="B48" s="124"/>
      <c r="C48" s="125"/>
      <c r="D48" s="126" t="s">
        <v>298</v>
      </c>
      <c r="E48" s="127"/>
      <c r="F48" s="128"/>
      <c r="G48" s="128">
        <f t="shared" ref="G48:Q48" si="4">SUM(G42:G47)</f>
        <v>0</v>
      </c>
      <c r="H48" s="128">
        <f t="shared" si="4"/>
        <v>0</v>
      </c>
      <c r="I48" s="128">
        <f t="shared" si="4"/>
        <v>-679</v>
      </c>
      <c r="J48" s="128">
        <f t="shared" si="4"/>
        <v>0</v>
      </c>
      <c r="K48" s="128">
        <f t="shared" si="4"/>
        <v>0</v>
      </c>
      <c r="L48" s="128">
        <f t="shared" si="4"/>
        <v>0</v>
      </c>
      <c r="M48" s="128">
        <f t="shared" si="4"/>
        <v>0</v>
      </c>
      <c r="N48" s="128">
        <f t="shared" si="4"/>
        <v>0</v>
      </c>
      <c r="O48" s="128">
        <f t="shared" si="4"/>
        <v>0</v>
      </c>
      <c r="P48" s="128">
        <f t="shared" si="4"/>
        <v>0</v>
      </c>
      <c r="Q48" s="128">
        <f t="shared" si="4"/>
        <v>-679</v>
      </c>
      <c r="R48" s="325"/>
    </row>
    <row r="49" spans="1:18" ht="12" customHeight="1" x14ac:dyDescent="0.2">
      <c r="A49" s="102">
        <v>1</v>
      </c>
      <c r="B49" s="102">
        <v>13</v>
      </c>
      <c r="C49" s="102"/>
      <c r="D49" s="104" t="s">
        <v>95</v>
      </c>
      <c r="E49" s="131" t="s">
        <v>299</v>
      </c>
      <c r="F49" s="132"/>
      <c r="G49" s="132"/>
      <c r="H49" s="107"/>
      <c r="I49" s="107"/>
      <c r="J49" s="107"/>
      <c r="K49" s="107"/>
      <c r="L49" s="107"/>
      <c r="M49" s="132"/>
      <c r="N49" s="132"/>
      <c r="O49" s="132"/>
      <c r="P49" s="132"/>
      <c r="Q49" s="132"/>
      <c r="R49" s="324"/>
    </row>
    <row r="50" spans="1:18" x14ac:dyDescent="0.2">
      <c r="A50" s="102"/>
      <c r="B50" s="102"/>
      <c r="C50" s="118"/>
      <c r="D50" s="133" t="s">
        <v>300</v>
      </c>
      <c r="E50" s="131"/>
      <c r="F50" s="132"/>
      <c r="G50" s="132"/>
      <c r="H50" s="107"/>
      <c r="I50" s="107"/>
      <c r="J50" s="107"/>
      <c r="K50" s="107"/>
      <c r="L50" s="107"/>
      <c r="M50" s="132"/>
      <c r="N50" s="132"/>
      <c r="O50" s="132"/>
      <c r="P50" s="132"/>
      <c r="Q50" s="132"/>
      <c r="R50" s="324"/>
    </row>
    <row r="51" spans="1:18" ht="12" hidden="1" customHeight="1" x14ac:dyDescent="0.2">
      <c r="A51" s="102"/>
      <c r="B51" s="102"/>
      <c r="C51" s="118"/>
      <c r="D51" s="115" t="s">
        <v>301</v>
      </c>
      <c r="E51" s="134"/>
      <c r="F51" s="113"/>
      <c r="G51" s="82"/>
      <c r="H51" s="107"/>
      <c r="I51" s="107"/>
      <c r="J51" s="107"/>
      <c r="K51" s="107"/>
      <c r="L51" s="107"/>
      <c r="M51" s="82"/>
      <c r="N51" s="82"/>
      <c r="O51" s="82"/>
      <c r="P51" s="82"/>
      <c r="Q51" s="82"/>
      <c r="R51" s="324"/>
    </row>
    <row r="52" spans="1:18" ht="27" hidden="1" customHeight="1" x14ac:dyDescent="0.2">
      <c r="A52" s="102"/>
      <c r="B52" s="102"/>
      <c r="C52" s="118"/>
      <c r="D52" s="123" t="s">
        <v>302</v>
      </c>
      <c r="E52" s="82">
        <v>2</v>
      </c>
      <c r="F52" s="82">
        <v>131112</v>
      </c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>
        <f t="shared" ref="Q52:Q58" si="5">SUM(G52:P52)</f>
        <v>0</v>
      </c>
      <c r="R52" s="324"/>
    </row>
    <row r="53" spans="1:18" ht="24.75" hidden="1" customHeight="1" x14ac:dyDescent="0.2">
      <c r="A53" s="102"/>
      <c r="B53" s="102"/>
      <c r="C53" s="118"/>
      <c r="D53" s="135" t="s">
        <v>303</v>
      </c>
      <c r="E53" s="82">
        <v>2</v>
      </c>
      <c r="F53" s="82">
        <v>131123</v>
      </c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>
        <f t="shared" si="5"/>
        <v>0</v>
      </c>
      <c r="R53" s="324"/>
    </row>
    <row r="54" spans="1:18" ht="17.45" hidden="1" customHeight="1" x14ac:dyDescent="0.2">
      <c r="A54" s="102"/>
      <c r="B54" s="102"/>
      <c r="C54" s="118"/>
      <c r="D54" s="135" t="s">
        <v>1087</v>
      </c>
      <c r="E54" s="82">
        <v>2</v>
      </c>
      <c r="F54" s="82">
        <v>131212</v>
      </c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>
        <f t="shared" si="5"/>
        <v>0</v>
      </c>
      <c r="R54" s="324"/>
    </row>
    <row r="55" spans="1:18" ht="15" customHeight="1" x14ac:dyDescent="0.2">
      <c r="A55" s="102"/>
      <c r="B55" s="102"/>
      <c r="C55" s="118"/>
      <c r="D55" s="135" t="s">
        <v>304</v>
      </c>
      <c r="E55" s="82">
        <v>2</v>
      </c>
      <c r="F55" s="82">
        <v>131122</v>
      </c>
      <c r="G55" s="82">
        <v>-308</v>
      </c>
      <c r="H55" s="82">
        <v>-119</v>
      </c>
      <c r="I55" s="82">
        <v>-863</v>
      </c>
      <c r="J55" s="82"/>
      <c r="K55" s="82"/>
      <c r="L55" s="82"/>
      <c r="M55" s="82"/>
      <c r="N55" s="82"/>
      <c r="O55" s="82"/>
      <c r="P55" s="82"/>
      <c r="Q55" s="82">
        <f t="shared" si="5"/>
        <v>-1290</v>
      </c>
      <c r="R55" s="324" t="s">
        <v>1182</v>
      </c>
    </row>
    <row r="56" spans="1:18" ht="15" hidden="1" customHeight="1" x14ac:dyDescent="0.2">
      <c r="A56" s="102"/>
      <c r="B56" s="102"/>
      <c r="C56" s="118"/>
      <c r="D56" s="116" t="s">
        <v>305</v>
      </c>
      <c r="E56" s="82">
        <v>2</v>
      </c>
      <c r="F56" s="82">
        <v>131107</v>
      </c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>
        <f t="shared" si="5"/>
        <v>0</v>
      </c>
      <c r="R56" s="324"/>
    </row>
    <row r="57" spans="1:18" ht="15" hidden="1" customHeight="1" x14ac:dyDescent="0.2">
      <c r="A57" s="102"/>
      <c r="B57" s="102"/>
      <c r="C57" s="118"/>
      <c r="D57" s="116" t="s">
        <v>306</v>
      </c>
      <c r="E57" s="82">
        <v>2</v>
      </c>
      <c r="F57" s="82">
        <v>131128</v>
      </c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>
        <f t="shared" si="5"/>
        <v>0</v>
      </c>
      <c r="R57" s="324"/>
    </row>
    <row r="58" spans="1:18" ht="22.15" hidden="1" customHeight="1" x14ac:dyDescent="0.2">
      <c r="A58" s="408"/>
      <c r="B58" s="408"/>
      <c r="C58" s="409"/>
      <c r="D58" s="546" t="s">
        <v>972</v>
      </c>
      <c r="E58" s="411">
        <v>2</v>
      </c>
      <c r="F58" s="411">
        <v>131129</v>
      </c>
      <c r="G58" s="411"/>
      <c r="H58" s="411"/>
      <c r="I58" s="411"/>
      <c r="J58" s="411"/>
      <c r="K58" s="411"/>
      <c r="L58" s="411"/>
      <c r="M58" s="411"/>
      <c r="N58" s="411"/>
      <c r="O58" s="411"/>
      <c r="P58" s="411"/>
      <c r="Q58" s="82">
        <f t="shared" si="5"/>
        <v>0</v>
      </c>
      <c r="R58" s="412"/>
    </row>
    <row r="59" spans="1:18" ht="14.1" customHeight="1" x14ac:dyDescent="0.2">
      <c r="A59" s="102"/>
      <c r="B59" s="102"/>
      <c r="C59" s="118"/>
      <c r="D59" s="136" t="s">
        <v>307</v>
      </c>
      <c r="E59" s="137"/>
      <c r="F59" s="137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324"/>
    </row>
    <row r="60" spans="1:18" ht="24.95" hidden="1" customHeight="1" x14ac:dyDescent="0.2">
      <c r="A60" s="102"/>
      <c r="B60" s="102"/>
      <c r="C60" s="118"/>
      <c r="D60" s="135" t="s">
        <v>308</v>
      </c>
      <c r="E60" s="138"/>
      <c r="F60" s="138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324"/>
    </row>
    <row r="61" spans="1:18" ht="15" customHeight="1" x14ac:dyDescent="0.2">
      <c r="A61" s="102"/>
      <c r="B61" s="102"/>
      <c r="C61" s="118"/>
      <c r="D61" s="116" t="s">
        <v>309</v>
      </c>
      <c r="E61" s="82">
        <v>2</v>
      </c>
      <c r="F61" s="82">
        <v>131201</v>
      </c>
      <c r="G61" s="82"/>
      <c r="H61" s="107">
        <v>-1</v>
      </c>
      <c r="I61" s="107">
        <v>-169</v>
      </c>
      <c r="J61" s="82"/>
      <c r="K61" s="82"/>
      <c r="L61" s="82"/>
      <c r="M61" s="82"/>
      <c r="N61" s="82"/>
      <c r="O61" s="82"/>
      <c r="P61" s="82"/>
      <c r="Q61" s="82">
        <f t="shared" ref="Q61:Q66" si="6">SUM(G61:P61)</f>
        <v>-170</v>
      </c>
      <c r="R61" s="324" t="s">
        <v>1182</v>
      </c>
    </row>
    <row r="62" spans="1:18" ht="15" customHeight="1" x14ac:dyDescent="0.2">
      <c r="A62" s="102"/>
      <c r="B62" s="102"/>
      <c r="C62" s="118"/>
      <c r="D62" s="116" t="s">
        <v>310</v>
      </c>
      <c r="E62" s="82">
        <v>2</v>
      </c>
      <c r="F62" s="82">
        <v>131202</v>
      </c>
      <c r="G62" s="82">
        <v>600</v>
      </c>
      <c r="H62" s="107">
        <v>212</v>
      </c>
      <c r="I62" s="107">
        <v>688</v>
      </c>
      <c r="J62" s="82"/>
      <c r="K62" s="82"/>
      <c r="L62" s="82"/>
      <c r="M62" s="82"/>
      <c r="N62" s="82"/>
      <c r="O62" s="82"/>
      <c r="P62" s="82"/>
      <c r="Q62" s="82">
        <f t="shared" si="6"/>
        <v>1500</v>
      </c>
      <c r="R62" s="324" t="s">
        <v>1182</v>
      </c>
    </row>
    <row r="63" spans="1:18" ht="15" customHeight="1" x14ac:dyDescent="0.2">
      <c r="A63" s="102"/>
      <c r="B63" s="102"/>
      <c r="C63" s="118"/>
      <c r="D63" s="116" t="s">
        <v>311</v>
      </c>
      <c r="E63" s="82">
        <v>2</v>
      </c>
      <c r="F63" s="82">
        <v>131205</v>
      </c>
      <c r="G63" s="82"/>
      <c r="H63" s="82">
        <v>-1</v>
      </c>
      <c r="I63" s="82">
        <v>-1500</v>
      </c>
      <c r="J63" s="82"/>
      <c r="K63" s="82">
        <v>-26</v>
      </c>
      <c r="L63" s="82"/>
      <c r="M63" s="82"/>
      <c r="N63" s="82"/>
      <c r="O63" s="82"/>
      <c r="P63" s="82"/>
      <c r="Q63" s="82">
        <f t="shared" si="6"/>
        <v>-1527</v>
      </c>
      <c r="R63" s="324" t="s">
        <v>1182</v>
      </c>
    </row>
    <row r="64" spans="1:18" ht="15" hidden="1" customHeight="1" x14ac:dyDescent="0.2">
      <c r="A64" s="102"/>
      <c r="B64" s="102"/>
      <c r="C64" s="118"/>
      <c r="D64" s="116" t="s">
        <v>312</v>
      </c>
      <c r="E64" s="82">
        <v>2</v>
      </c>
      <c r="F64" s="82">
        <v>131206</v>
      </c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>
        <f t="shared" si="6"/>
        <v>0</v>
      </c>
      <c r="R64" s="324"/>
    </row>
    <row r="65" spans="1:18" ht="15" customHeight="1" x14ac:dyDescent="0.2">
      <c r="A65" s="102"/>
      <c r="B65" s="102"/>
      <c r="C65" s="118"/>
      <c r="D65" s="115" t="s">
        <v>313</v>
      </c>
      <c r="E65" s="82">
        <v>2</v>
      </c>
      <c r="F65" s="82">
        <v>131209</v>
      </c>
      <c r="G65" s="82"/>
      <c r="H65" s="107"/>
      <c r="I65" s="107">
        <v>27</v>
      </c>
      <c r="J65" s="82"/>
      <c r="K65" s="82"/>
      <c r="L65" s="82"/>
      <c r="M65" s="82"/>
      <c r="N65" s="82"/>
      <c r="O65" s="82"/>
      <c r="P65" s="82"/>
      <c r="Q65" s="82">
        <f t="shared" si="6"/>
        <v>27</v>
      </c>
      <c r="R65" s="324" t="s">
        <v>1182</v>
      </c>
    </row>
    <row r="66" spans="1:18" ht="22.15" hidden="1" customHeight="1" x14ac:dyDescent="0.2">
      <c r="A66" s="102"/>
      <c r="B66" s="102"/>
      <c r="C66" s="118"/>
      <c r="D66" s="648" t="s">
        <v>973</v>
      </c>
      <c r="E66" s="411">
        <v>2</v>
      </c>
      <c r="F66" s="411">
        <v>131214</v>
      </c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>
        <f t="shared" si="6"/>
        <v>0</v>
      </c>
      <c r="R66" s="324"/>
    </row>
    <row r="67" spans="1:18" ht="14.1" hidden="1" customHeight="1" x14ac:dyDescent="0.2">
      <c r="A67" s="102"/>
      <c r="B67" s="102"/>
      <c r="C67" s="118"/>
      <c r="D67" s="116" t="s">
        <v>278</v>
      </c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324"/>
    </row>
    <row r="68" spans="1:18" ht="14.1" hidden="1" customHeight="1" x14ac:dyDescent="0.2">
      <c r="A68" s="102"/>
      <c r="B68" s="102"/>
      <c r="C68" s="118"/>
      <c r="D68" s="115" t="s">
        <v>314</v>
      </c>
      <c r="E68" s="82">
        <v>2</v>
      </c>
      <c r="F68" s="82">
        <v>131101</v>
      </c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>
        <f>SUM(G68:P68)</f>
        <v>0</v>
      </c>
      <c r="R68" s="324"/>
    </row>
    <row r="69" spans="1:18" ht="14.1" hidden="1" customHeight="1" x14ac:dyDescent="0.2">
      <c r="A69" s="102"/>
      <c r="B69" s="102"/>
      <c r="C69" s="118"/>
      <c r="D69" s="115" t="s">
        <v>315</v>
      </c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324"/>
    </row>
    <row r="70" spans="1:18" ht="14.1" customHeight="1" x14ac:dyDescent="0.2">
      <c r="A70" s="102"/>
      <c r="B70" s="102"/>
      <c r="C70" s="118"/>
      <c r="D70" s="116" t="s">
        <v>316</v>
      </c>
      <c r="E70" s="82">
        <v>2</v>
      </c>
      <c r="F70" s="82">
        <v>131120</v>
      </c>
      <c r="G70" s="82">
        <v>-150</v>
      </c>
      <c r="H70" s="82">
        <v>-45</v>
      </c>
      <c r="I70" s="82">
        <v>140</v>
      </c>
      <c r="J70" s="82"/>
      <c r="K70" s="82"/>
      <c r="L70" s="82"/>
      <c r="M70" s="82"/>
      <c r="N70" s="82"/>
      <c r="O70" s="82"/>
      <c r="P70" s="82"/>
      <c r="Q70" s="82">
        <f>SUM(G70:P70)</f>
        <v>-55</v>
      </c>
      <c r="R70" s="324" t="s">
        <v>1182</v>
      </c>
    </row>
    <row r="71" spans="1:18" ht="14.1" hidden="1" customHeight="1" x14ac:dyDescent="0.2">
      <c r="A71" s="102"/>
      <c r="B71" s="102"/>
      <c r="C71" s="118"/>
      <c r="D71" s="116" t="s">
        <v>317</v>
      </c>
      <c r="E71" s="113"/>
      <c r="F71" s="113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324"/>
    </row>
    <row r="72" spans="1:18" ht="14.1" customHeight="1" x14ac:dyDescent="0.2">
      <c r="A72" s="102"/>
      <c r="B72" s="102"/>
      <c r="C72" s="118"/>
      <c r="D72" s="116" t="s">
        <v>318</v>
      </c>
      <c r="E72" s="82">
        <v>2</v>
      </c>
      <c r="F72" s="82">
        <v>131346</v>
      </c>
      <c r="G72" s="82"/>
      <c r="H72" s="82"/>
      <c r="I72" s="82">
        <v>225</v>
      </c>
      <c r="J72" s="82"/>
      <c r="K72" s="82"/>
      <c r="L72" s="82"/>
      <c r="M72" s="82"/>
      <c r="N72" s="82"/>
      <c r="O72" s="82"/>
      <c r="P72" s="82"/>
      <c r="Q72" s="82">
        <f t="shared" ref="Q72:Q101" si="7">SUM(G72:P72)</f>
        <v>225</v>
      </c>
      <c r="R72" s="324" t="s">
        <v>1182</v>
      </c>
    </row>
    <row r="73" spans="1:18" ht="14.1" hidden="1" customHeight="1" x14ac:dyDescent="0.2">
      <c r="A73" s="102"/>
      <c r="B73" s="102"/>
      <c r="C73" s="118"/>
      <c r="D73" s="351" t="s">
        <v>785</v>
      </c>
      <c r="E73" s="359">
        <v>2</v>
      </c>
      <c r="F73" s="359">
        <v>131339</v>
      </c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>
        <f t="shared" si="7"/>
        <v>0</v>
      </c>
      <c r="R73" s="324"/>
    </row>
    <row r="74" spans="1:18" ht="14.1" hidden="1" customHeight="1" x14ac:dyDescent="0.2">
      <c r="A74" s="102"/>
      <c r="B74" s="102"/>
      <c r="C74" s="118"/>
      <c r="D74" s="116" t="s">
        <v>319</v>
      </c>
      <c r="E74" s="82">
        <v>2</v>
      </c>
      <c r="F74" s="82">
        <v>131306</v>
      </c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>
        <f t="shared" si="7"/>
        <v>0</v>
      </c>
      <c r="R74" s="324"/>
    </row>
    <row r="75" spans="1:18" ht="14.1" hidden="1" customHeight="1" x14ac:dyDescent="0.2">
      <c r="A75" s="341"/>
      <c r="B75" s="341"/>
      <c r="C75" s="363"/>
      <c r="D75" s="351" t="s">
        <v>786</v>
      </c>
      <c r="E75" s="359">
        <v>2</v>
      </c>
      <c r="F75" s="359">
        <v>131341</v>
      </c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82">
        <f t="shared" si="7"/>
        <v>0</v>
      </c>
      <c r="R75" s="358"/>
    </row>
    <row r="76" spans="1:18" ht="14.1" customHeight="1" x14ac:dyDescent="0.2">
      <c r="A76" s="341"/>
      <c r="B76" s="341"/>
      <c r="C76" s="363"/>
      <c r="D76" s="545" t="s">
        <v>869</v>
      </c>
      <c r="E76" s="411">
        <v>2</v>
      </c>
      <c r="F76" s="411">
        <v>131326</v>
      </c>
      <c r="G76" s="359"/>
      <c r="H76" s="359"/>
      <c r="I76" s="359"/>
      <c r="J76" s="359"/>
      <c r="K76" s="359">
        <v>350</v>
      </c>
      <c r="L76" s="359"/>
      <c r="M76" s="359"/>
      <c r="N76" s="359"/>
      <c r="O76" s="359"/>
      <c r="P76" s="359"/>
      <c r="Q76" s="82">
        <f t="shared" si="7"/>
        <v>350</v>
      </c>
      <c r="R76" s="358" t="s">
        <v>1182</v>
      </c>
    </row>
    <row r="77" spans="1:18" ht="14.1" customHeight="1" x14ac:dyDescent="0.2">
      <c r="A77" s="341"/>
      <c r="B77" s="341"/>
      <c r="C77" s="363"/>
      <c r="D77" s="545" t="s">
        <v>870</v>
      </c>
      <c r="E77" s="411">
        <v>2</v>
      </c>
      <c r="F77" s="411">
        <v>221910</v>
      </c>
      <c r="G77" s="359"/>
      <c r="H77" s="359"/>
      <c r="I77" s="359"/>
      <c r="J77" s="359"/>
      <c r="K77" s="359">
        <v>-3000</v>
      </c>
      <c r="L77" s="359"/>
      <c r="M77" s="359"/>
      <c r="N77" s="359"/>
      <c r="O77" s="359"/>
      <c r="P77" s="359"/>
      <c r="Q77" s="82">
        <f t="shared" si="7"/>
        <v>-3000</v>
      </c>
      <c r="R77" s="358" t="s">
        <v>1182</v>
      </c>
    </row>
    <row r="78" spans="1:18" ht="14.1" hidden="1" customHeight="1" x14ac:dyDescent="0.2">
      <c r="A78" s="341"/>
      <c r="B78" s="341"/>
      <c r="C78" s="363"/>
      <c r="D78" s="545" t="s">
        <v>871</v>
      </c>
      <c r="E78" s="411">
        <v>2</v>
      </c>
      <c r="F78" s="411">
        <v>131332</v>
      </c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82">
        <f t="shared" si="7"/>
        <v>0</v>
      </c>
      <c r="R78" s="358"/>
    </row>
    <row r="79" spans="1:18" ht="14.1" hidden="1" customHeight="1" x14ac:dyDescent="0.2">
      <c r="A79" s="341"/>
      <c r="B79" s="341"/>
      <c r="C79" s="363"/>
      <c r="D79" s="545" t="s">
        <v>872</v>
      </c>
      <c r="E79" s="411">
        <v>2</v>
      </c>
      <c r="F79" s="411">
        <v>131333</v>
      </c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82">
        <f t="shared" si="7"/>
        <v>0</v>
      </c>
      <c r="R79" s="358"/>
    </row>
    <row r="80" spans="1:18" ht="14.1" hidden="1" customHeight="1" x14ac:dyDescent="0.2">
      <c r="A80" s="341"/>
      <c r="B80" s="341"/>
      <c r="C80" s="363"/>
      <c r="D80" s="545" t="s">
        <v>873</v>
      </c>
      <c r="E80" s="411">
        <v>2</v>
      </c>
      <c r="F80" s="411">
        <v>131361</v>
      </c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82">
        <f t="shared" si="7"/>
        <v>0</v>
      </c>
      <c r="R80" s="358"/>
    </row>
    <row r="81" spans="1:18" ht="14.1" hidden="1" customHeight="1" x14ac:dyDescent="0.2">
      <c r="A81" s="341"/>
      <c r="B81" s="341"/>
      <c r="C81" s="363"/>
      <c r="D81" s="544" t="s">
        <v>787</v>
      </c>
      <c r="E81" s="411">
        <v>2</v>
      </c>
      <c r="F81" s="411">
        <v>131409</v>
      </c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82">
        <f t="shared" si="7"/>
        <v>0</v>
      </c>
      <c r="R81" s="358"/>
    </row>
    <row r="82" spans="1:18" ht="14.1" hidden="1" customHeight="1" x14ac:dyDescent="0.2">
      <c r="A82" s="341"/>
      <c r="B82" s="341"/>
      <c r="C82" s="363"/>
      <c r="D82" s="544" t="s">
        <v>788</v>
      </c>
      <c r="E82" s="411">
        <v>2</v>
      </c>
      <c r="F82" s="411">
        <v>131352</v>
      </c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82">
        <f t="shared" si="7"/>
        <v>0</v>
      </c>
      <c r="R82" s="358"/>
    </row>
    <row r="83" spans="1:18" ht="14.1" hidden="1" customHeight="1" x14ac:dyDescent="0.2">
      <c r="A83" s="341"/>
      <c r="B83" s="341"/>
      <c r="C83" s="363"/>
      <c r="D83" s="544" t="s">
        <v>789</v>
      </c>
      <c r="E83" s="411">
        <v>2</v>
      </c>
      <c r="F83" s="411">
        <v>131353</v>
      </c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82">
        <f t="shared" si="7"/>
        <v>0</v>
      </c>
      <c r="R83" s="358"/>
    </row>
    <row r="84" spans="1:18" ht="14.1" customHeight="1" x14ac:dyDescent="0.2">
      <c r="A84" s="341"/>
      <c r="B84" s="341"/>
      <c r="C84" s="363"/>
      <c r="D84" s="544" t="s">
        <v>790</v>
      </c>
      <c r="E84" s="411">
        <v>2</v>
      </c>
      <c r="F84" s="411">
        <v>131329</v>
      </c>
      <c r="G84" s="359"/>
      <c r="H84" s="359"/>
      <c r="I84" s="359"/>
      <c r="J84" s="359"/>
      <c r="K84" s="359">
        <v>2500</v>
      </c>
      <c r="L84" s="359"/>
      <c r="M84" s="359"/>
      <c r="N84" s="359"/>
      <c r="O84" s="359"/>
      <c r="P84" s="359"/>
      <c r="Q84" s="82">
        <f t="shared" si="7"/>
        <v>2500</v>
      </c>
      <c r="R84" s="358" t="s">
        <v>1182</v>
      </c>
    </row>
    <row r="85" spans="1:18" ht="14.1" hidden="1" customHeight="1" x14ac:dyDescent="0.2">
      <c r="A85" s="341"/>
      <c r="B85" s="341"/>
      <c r="C85" s="363"/>
      <c r="D85" s="546" t="s">
        <v>634</v>
      </c>
      <c r="E85" s="411">
        <v>2</v>
      </c>
      <c r="F85" s="411">
        <v>131321</v>
      </c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82">
        <f t="shared" si="7"/>
        <v>0</v>
      </c>
      <c r="R85" s="358"/>
    </row>
    <row r="86" spans="1:18" ht="24.75" hidden="1" customHeight="1" x14ac:dyDescent="0.2">
      <c r="A86" s="341"/>
      <c r="B86" s="341"/>
      <c r="C86" s="363"/>
      <c r="D86" s="546" t="s">
        <v>320</v>
      </c>
      <c r="E86" s="411">
        <v>2</v>
      </c>
      <c r="F86" s="411">
        <v>131313</v>
      </c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82">
        <f t="shared" si="7"/>
        <v>0</v>
      </c>
      <c r="R86" s="358"/>
    </row>
    <row r="87" spans="1:18" ht="14.1" customHeight="1" x14ac:dyDescent="0.2">
      <c r="A87" s="341"/>
      <c r="B87" s="341"/>
      <c r="C87" s="363"/>
      <c r="D87" s="547" t="s">
        <v>321</v>
      </c>
      <c r="E87" s="411">
        <v>2</v>
      </c>
      <c r="F87" s="411">
        <v>131501</v>
      </c>
      <c r="G87" s="359"/>
      <c r="H87" s="359"/>
      <c r="I87" s="359">
        <v>-80</v>
      </c>
      <c r="J87" s="359"/>
      <c r="K87" s="359"/>
      <c r="L87" s="359"/>
      <c r="M87" s="359"/>
      <c r="N87" s="359"/>
      <c r="O87" s="359"/>
      <c r="P87" s="359"/>
      <c r="Q87" s="82">
        <f t="shared" si="7"/>
        <v>-80</v>
      </c>
      <c r="R87" s="358" t="s">
        <v>1181</v>
      </c>
    </row>
    <row r="88" spans="1:18" ht="14.1" hidden="1" customHeight="1" x14ac:dyDescent="0.2">
      <c r="A88" s="341"/>
      <c r="B88" s="341"/>
      <c r="C88" s="363"/>
      <c r="D88" s="548" t="s">
        <v>745</v>
      </c>
      <c r="E88" s="411">
        <v>2</v>
      </c>
      <c r="F88" s="411">
        <v>131310</v>
      </c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82">
        <f t="shared" si="7"/>
        <v>0</v>
      </c>
      <c r="R88" s="358"/>
    </row>
    <row r="89" spans="1:18" ht="14.1" hidden="1" customHeight="1" x14ac:dyDescent="0.2">
      <c r="A89" s="341"/>
      <c r="B89" s="341"/>
      <c r="C89" s="363"/>
      <c r="D89" s="549" t="s">
        <v>746</v>
      </c>
      <c r="E89" s="411">
        <v>2</v>
      </c>
      <c r="F89" s="411">
        <v>131410</v>
      </c>
      <c r="G89" s="359"/>
      <c r="H89" s="359"/>
      <c r="I89" s="359"/>
      <c r="J89" s="359"/>
      <c r="K89" s="359"/>
      <c r="L89" s="359"/>
      <c r="M89" s="359"/>
      <c r="N89" s="359"/>
      <c r="O89" s="359"/>
      <c r="P89" s="359"/>
      <c r="Q89" s="82">
        <f t="shared" si="7"/>
        <v>0</v>
      </c>
      <c r="R89" s="358"/>
    </row>
    <row r="90" spans="1:18" ht="14.1" hidden="1" customHeight="1" x14ac:dyDescent="0.2">
      <c r="A90" s="341"/>
      <c r="B90" s="341"/>
      <c r="C90" s="363"/>
      <c r="D90" s="549" t="s">
        <v>874</v>
      </c>
      <c r="E90" s="411">
        <v>2</v>
      </c>
      <c r="F90" s="411">
        <v>221944</v>
      </c>
      <c r="G90" s="359"/>
      <c r="H90" s="359"/>
      <c r="I90" s="359"/>
      <c r="J90" s="359"/>
      <c r="K90" s="359"/>
      <c r="L90" s="359"/>
      <c r="M90" s="359"/>
      <c r="N90" s="359"/>
      <c r="O90" s="359"/>
      <c r="P90" s="359"/>
      <c r="Q90" s="82">
        <f t="shared" si="7"/>
        <v>0</v>
      </c>
      <c r="R90" s="358"/>
    </row>
    <row r="91" spans="1:18" ht="14.1" customHeight="1" x14ac:dyDescent="0.2">
      <c r="A91" s="341"/>
      <c r="B91" s="341"/>
      <c r="C91" s="363"/>
      <c r="D91" s="549" t="s">
        <v>875</v>
      </c>
      <c r="E91" s="411">
        <v>2</v>
      </c>
      <c r="F91" s="411">
        <v>131362</v>
      </c>
      <c r="G91" s="359"/>
      <c r="H91" s="359"/>
      <c r="I91" s="359"/>
      <c r="J91" s="359"/>
      <c r="K91" s="359">
        <v>-1000</v>
      </c>
      <c r="L91" s="359"/>
      <c r="M91" s="359"/>
      <c r="N91" s="359"/>
      <c r="O91" s="359"/>
      <c r="P91" s="359"/>
      <c r="Q91" s="82">
        <f t="shared" si="7"/>
        <v>-1000</v>
      </c>
      <c r="R91" s="358" t="s">
        <v>1182</v>
      </c>
    </row>
    <row r="92" spans="1:18" ht="14.1" hidden="1" customHeight="1" x14ac:dyDescent="0.2">
      <c r="A92" s="341"/>
      <c r="B92" s="341"/>
      <c r="C92" s="363"/>
      <c r="D92" s="549" t="s">
        <v>791</v>
      </c>
      <c r="E92" s="411">
        <v>2</v>
      </c>
      <c r="F92" s="411">
        <v>131307</v>
      </c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82">
        <f t="shared" si="7"/>
        <v>0</v>
      </c>
      <c r="R92" s="358"/>
    </row>
    <row r="93" spans="1:18" ht="14.1" hidden="1" customHeight="1" x14ac:dyDescent="0.2">
      <c r="A93" s="341"/>
      <c r="B93" s="341"/>
      <c r="C93" s="363"/>
      <c r="D93" s="549" t="s">
        <v>876</v>
      </c>
      <c r="E93" s="411">
        <v>2</v>
      </c>
      <c r="F93" s="411">
        <v>131357</v>
      </c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82">
        <f t="shared" si="7"/>
        <v>0</v>
      </c>
      <c r="R93" s="358"/>
    </row>
    <row r="94" spans="1:18" ht="14.1" hidden="1" customHeight="1" x14ac:dyDescent="0.2">
      <c r="A94" s="341"/>
      <c r="B94" s="341"/>
      <c r="C94" s="363"/>
      <c r="D94" s="549" t="s">
        <v>792</v>
      </c>
      <c r="E94" s="411">
        <v>2</v>
      </c>
      <c r="F94" s="411">
        <v>131323</v>
      </c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82">
        <f t="shared" si="7"/>
        <v>0</v>
      </c>
      <c r="R94" s="358"/>
    </row>
    <row r="95" spans="1:18" ht="14.1" hidden="1" customHeight="1" x14ac:dyDescent="0.2">
      <c r="A95" s="341"/>
      <c r="B95" s="341"/>
      <c r="C95" s="363"/>
      <c r="D95" s="549" t="s">
        <v>1005</v>
      </c>
      <c r="E95" s="411">
        <v>2</v>
      </c>
      <c r="F95" s="411">
        <v>131319</v>
      </c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82">
        <f t="shared" si="7"/>
        <v>0</v>
      </c>
      <c r="R95" s="358"/>
    </row>
    <row r="96" spans="1:18" ht="14.1" hidden="1" customHeight="1" x14ac:dyDescent="0.2">
      <c r="A96" s="102"/>
      <c r="B96" s="102"/>
      <c r="C96" s="118"/>
      <c r="D96" s="550" t="s">
        <v>322</v>
      </c>
      <c r="E96" s="411">
        <v>2</v>
      </c>
      <c r="F96" s="411">
        <v>131348</v>
      </c>
      <c r="G96" s="82"/>
      <c r="H96" s="82"/>
      <c r="I96" s="82"/>
      <c r="J96" s="82"/>
      <c r="K96" s="82"/>
      <c r="L96" s="82"/>
      <c r="M96" s="82"/>
      <c r="N96" s="82"/>
      <c r="O96" s="82"/>
      <c r="P96" s="82"/>
      <c r="Q96" s="82">
        <f t="shared" si="7"/>
        <v>0</v>
      </c>
      <c r="R96" s="324"/>
    </row>
    <row r="97" spans="1:18" ht="14.1" hidden="1" customHeight="1" x14ac:dyDescent="0.2">
      <c r="A97" s="102"/>
      <c r="B97" s="102"/>
      <c r="C97" s="118"/>
      <c r="D97" s="551" t="s">
        <v>877</v>
      </c>
      <c r="E97" s="411">
        <v>2</v>
      </c>
      <c r="F97" s="411">
        <v>131213</v>
      </c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>
        <f t="shared" si="7"/>
        <v>0</v>
      </c>
      <c r="R97" s="324"/>
    </row>
    <row r="98" spans="1:18" ht="16.149999999999999" hidden="1" customHeight="1" x14ac:dyDescent="0.2">
      <c r="A98" s="102"/>
      <c r="B98" s="102"/>
      <c r="C98" s="118"/>
      <c r="D98" s="551" t="s">
        <v>878</v>
      </c>
      <c r="E98" s="411">
        <v>2</v>
      </c>
      <c r="F98" s="411">
        <v>131363</v>
      </c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>
        <f t="shared" si="7"/>
        <v>0</v>
      </c>
      <c r="R98" s="324"/>
    </row>
    <row r="99" spans="1:18" ht="25.5" hidden="1" customHeight="1" x14ac:dyDescent="0.2">
      <c r="A99" s="102"/>
      <c r="B99" s="102"/>
      <c r="C99" s="118"/>
      <c r="D99" s="551" t="s">
        <v>323</v>
      </c>
      <c r="E99" s="411">
        <v>2</v>
      </c>
      <c r="F99" s="411">
        <v>131345</v>
      </c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>
        <f t="shared" si="7"/>
        <v>0</v>
      </c>
      <c r="R99" s="324"/>
    </row>
    <row r="100" spans="1:18" ht="15" hidden="1" customHeight="1" x14ac:dyDescent="0.2">
      <c r="A100" s="808"/>
      <c r="B100" s="808"/>
      <c r="C100" s="809"/>
      <c r="D100" s="813" t="s">
        <v>1184</v>
      </c>
      <c r="E100" s="810">
        <v>2</v>
      </c>
      <c r="F100" s="811">
        <v>131364</v>
      </c>
      <c r="G100" s="811"/>
      <c r="H100" s="811"/>
      <c r="I100" s="811"/>
      <c r="J100" s="811"/>
      <c r="K100" s="811"/>
      <c r="L100" s="811"/>
      <c r="M100" s="811"/>
      <c r="N100" s="811"/>
      <c r="O100" s="811"/>
      <c r="P100" s="811"/>
      <c r="Q100" s="82">
        <f t="shared" si="7"/>
        <v>0</v>
      </c>
      <c r="R100" s="812"/>
    </row>
    <row r="101" spans="1:18" ht="15" customHeight="1" x14ac:dyDescent="0.2">
      <c r="A101" s="808"/>
      <c r="B101" s="808"/>
      <c r="C101" s="809"/>
      <c r="D101" s="859" t="s">
        <v>1185</v>
      </c>
      <c r="E101" s="810">
        <v>2</v>
      </c>
      <c r="F101" s="811">
        <v>131365</v>
      </c>
      <c r="G101" s="811"/>
      <c r="H101" s="811"/>
      <c r="I101" s="811">
        <v>3000</v>
      </c>
      <c r="J101" s="811"/>
      <c r="K101" s="811"/>
      <c r="L101" s="811"/>
      <c r="M101" s="811"/>
      <c r="N101" s="811"/>
      <c r="O101" s="811"/>
      <c r="P101" s="811"/>
      <c r="Q101" s="82">
        <f t="shared" si="7"/>
        <v>3000</v>
      </c>
      <c r="R101" s="812" t="s">
        <v>1182</v>
      </c>
    </row>
    <row r="102" spans="1:18" ht="14.45" hidden="1" customHeight="1" x14ac:dyDescent="0.2">
      <c r="A102" s="102"/>
      <c r="B102" s="102"/>
      <c r="C102" s="118"/>
      <c r="D102" s="544" t="s">
        <v>324</v>
      </c>
      <c r="E102" s="552"/>
      <c r="F102" s="553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324"/>
    </row>
    <row r="103" spans="1:18" ht="23.25" hidden="1" customHeight="1" x14ac:dyDescent="0.2">
      <c r="A103" s="102"/>
      <c r="B103" s="102"/>
      <c r="C103" s="234"/>
      <c r="D103" s="546" t="s">
        <v>325</v>
      </c>
      <c r="E103" s="553">
        <v>2</v>
      </c>
      <c r="F103" s="411">
        <v>131401</v>
      </c>
      <c r="G103" s="82"/>
      <c r="H103" s="82"/>
      <c r="I103" s="82"/>
      <c r="J103" s="82"/>
      <c r="K103" s="82"/>
      <c r="L103" s="82"/>
      <c r="M103" s="82"/>
      <c r="N103" s="82"/>
      <c r="O103" s="82"/>
      <c r="P103" s="82"/>
      <c r="Q103" s="82">
        <f t="shared" ref="Q103:Q111" si="8">SUM(G103:P103)</f>
        <v>0</v>
      </c>
      <c r="R103" s="324"/>
    </row>
    <row r="104" spans="1:18" ht="14.1" hidden="1" customHeight="1" x14ac:dyDescent="0.2">
      <c r="A104" s="102"/>
      <c r="B104" s="102"/>
      <c r="C104" s="118"/>
      <c r="D104" s="235" t="s">
        <v>326</v>
      </c>
      <c r="E104" s="553">
        <v>2</v>
      </c>
      <c r="F104" s="411">
        <v>131402</v>
      </c>
      <c r="G104" s="82"/>
      <c r="H104" s="82"/>
      <c r="I104" s="82"/>
      <c r="J104" s="82"/>
      <c r="K104" s="82"/>
      <c r="L104" s="82"/>
      <c r="M104" s="82"/>
      <c r="N104" s="82"/>
      <c r="O104" s="82"/>
      <c r="P104" s="82"/>
      <c r="Q104" s="82">
        <f t="shared" si="8"/>
        <v>0</v>
      </c>
      <c r="R104" s="324"/>
    </row>
    <row r="105" spans="1:18" ht="14.1" hidden="1" customHeight="1" x14ac:dyDescent="0.2">
      <c r="A105" s="102"/>
      <c r="B105" s="102"/>
      <c r="C105" s="118"/>
      <c r="D105" s="544" t="s">
        <v>327</v>
      </c>
      <c r="E105" s="553">
        <v>2</v>
      </c>
      <c r="F105" s="411">
        <v>131403</v>
      </c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>
        <f t="shared" si="8"/>
        <v>0</v>
      </c>
      <c r="R105" s="324"/>
    </row>
    <row r="106" spans="1:18" ht="14.1" hidden="1" customHeight="1" x14ac:dyDescent="0.2">
      <c r="A106" s="102"/>
      <c r="B106" s="102"/>
      <c r="C106" s="118"/>
      <c r="D106" s="544" t="s">
        <v>328</v>
      </c>
      <c r="E106" s="553">
        <v>2</v>
      </c>
      <c r="F106" s="411">
        <v>131404</v>
      </c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>
        <f t="shared" si="8"/>
        <v>0</v>
      </c>
      <c r="R106" s="324"/>
    </row>
    <row r="107" spans="1:18" ht="14.1" hidden="1" customHeight="1" x14ac:dyDescent="0.2">
      <c r="A107" s="102"/>
      <c r="B107" s="102"/>
      <c r="C107" s="118"/>
      <c r="D107" s="544" t="s">
        <v>329</v>
      </c>
      <c r="E107" s="553">
        <v>2</v>
      </c>
      <c r="F107" s="411">
        <v>131330</v>
      </c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>
        <f t="shared" si="8"/>
        <v>0</v>
      </c>
      <c r="R107" s="324"/>
    </row>
    <row r="108" spans="1:18" ht="14.1" hidden="1" customHeight="1" x14ac:dyDescent="0.2">
      <c r="A108" s="102"/>
      <c r="B108" s="102"/>
      <c r="C108" s="234"/>
      <c r="D108" s="544" t="s">
        <v>330</v>
      </c>
      <c r="E108" s="553">
        <v>2</v>
      </c>
      <c r="F108" s="411">
        <v>131507</v>
      </c>
      <c r="G108" s="82"/>
      <c r="H108" s="82"/>
      <c r="I108" s="82"/>
      <c r="J108" s="82"/>
      <c r="K108" s="82"/>
      <c r="L108" s="82"/>
      <c r="M108" s="82"/>
      <c r="N108" s="82"/>
      <c r="O108" s="82"/>
      <c r="P108" s="82"/>
      <c r="Q108" s="82">
        <f t="shared" si="8"/>
        <v>0</v>
      </c>
      <c r="R108" s="324"/>
    </row>
    <row r="109" spans="1:18" ht="14.1" hidden="1" customHeight="1" x14ac:dyDescent="0.2">
      <c r="A109" s="102"/>
      <c r="B109" s="102"/>
      <c r="C109" s="118"/>
      <c r="D109" s="411" t="s">
        <v>331</v>
      </c>
      <c r="E109" s="553">
        <v>2</v>
      </c>
      <c r="F109" s="411">
        <v>171943</v>
      </c>
      <c r="G109" s="82"/>
      <c r="H109" s="82"/>
      <c r="I109" s="82"/>
      <c r="J109" s="82"/>
      <c r="K109" s="82"/>
      <c r="L109" s="82"/>
      <c r="M109" s="82"/>
      <c r="N109" s="82"/>
      <c r="O109" s="82"/>
      <c r="P109" s="82"/>
      <c r="Q109" s="82">
        <f t="shared" si="8"/>
        <v>0</v>
      </c>
      <c r="R109" s="324"/>
    </row>
    <row r="110" spans="1:18" ht="14.1" hidden="1" customHeight="1" x14ac:dyDescent="0.2">
      <c r="A110" s="102"/>
      <c r="B110" s="102"/>
      <c r="C110" s="118"/>
      <c r="D110" s="547" t="s">
        <v>332</v>
      </c>
      <c r="E110" s="554"/>
      <c r="F110" s="406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324"/>
    </row>
    <row r="111" spans="1:18" ht="15" hidden="1" customHeight="1" x14ac:dyDescent="0.2">
      <c r="A111" s="102"/>
      <c r="B111" s="102"/>
      <c r="C111" s="118"/>
      <c r="D111" s="547" t="s">
        <v>333</v>
      </c>
      <c r="E111" s="555">
        <v>2</v>
      </c>
      <c r="F111" s="407">
        <v>131502</v>
      </c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>
        <f t="shared" si="8"/>
        <v>0</v>
      </c>
      <c r="R111" s="324"/>
    </row>
    <row r="112" spans="1:18" ht="13.15" hidden="1" customHeight="1" x14ac:dyDescent="0.2">
      <c r="A112" s="102"/>
      <c r="B112" s="102"/>
      <c r="C112" s="118"/>
      <c r="D112" s="556" t="s">
        <v>638</v>
      </c>
      <c r="E112" s="557"/>
      <c r="F112" s="407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324"/>
    </row>
    <row r="113" spans="1:18" ht="27" hidden="1" customHeight="1" x14ac:dyDescent="0.2">
      <c r="A113" s="102"/>
      <c r="B113" s="102"/>
      <c r="C113" s="118"/>
      <c r="D113" s="547" t="s">
        <v>645</v>
      </c>
      <c r="E113" s="555">
        <v>1</v>
      </c>
      <c r="F113" s="407">
        <v>131508</v>
      </c>
      <c r="G113" s="82"/>
      <c r="H113" s="82"/>
      <c r="I113" s="82"/>
      <c r="J113" s="82"/>
      <c r="K113" s="82"/>
      <c r="L113" s="82"/>
      <c r="M113" s="82"/>
      <c r="N113" s="82"/>
      <c r="O113" s="82"/>
      <c r="P113" s="82"/>
      <c r="Q113" s="82">
        <f>SUM(G113:P113)</f>
        <v>0</v>
      </c>
      <c r="R113" s="324"/>
    </row>
    <row r="114" spans="1:18" ht="14.1" hidden="1" customHeight="1" x14ac:dyDescent="0.2">
      <c r="A114" s="341"/>
      <c r="B114" s="341"/>
      <c r="C114" s="363"/>
      <c r="D114" s="547" t="s">
        <v>646</v>
      </c>
      <c r="E114" s="555">
        <v>1</v>
      </c>
      <c r="F114" s="407">
        <v>131509</v>
      </c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82">
        <f>SUM(G114:P114)</f>
        <v>0</v>
      </c>
      <c r="R114" s="358"/>
    </row>
    <row r="115" spans="1:18" ht="14.1" hidden="1" customHeight="1" x14ac:dyDescent="0.2">
      <c r="A115" s="408"/>
      <c r="B115" s="408"/>
      <c r="C115" s="409"/>
      <c r="D115" s="547" t="s">
        <v>974</v>
      </c>
      <c r="E115" s="555">
        <v>1</v>
      </c>
      <c r="F115" s="407">
        <v>131513</v>
      </c>
      <c r="G115" s="411"/>
      <c r="H115" s="411"/>
      <c r="I115" s="411"/>
      <c r="J115" s="411"/>
      <c r="K115" s="411"/>
      <c r="L115" s="411"/>
      <c r="M115" s="411"/>
      <c r="N115" s="411"/>
      <c r="O115" s="411"/>
      <c r="P115" s="411"/>
      <c r="Q115" s="82">
        <f>SUM(G115:P115)</f>
        <v>0</v>
      </c>
      <c r="R115" s="412"/>
    </row>
    <row r="116" spans="1:18" ht="14.1" hidden="1" customHeight="1" x14ac:dyDescent="0.2">
      <c r="A116" s="102"/>
      <c r="B116" s="102"/>
      <c r="C116" s="118"/>
      <c r="D116" s="558" t="s">
        <v>334</v>
      </c>
      <c r="E116" s="559"/>
      <c r="F116" s="560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324"/>
    </row>
    <row r="117" spans="1:18" ht="14.1" hidden="1" customHeight="1" x14ac:dyDescent="0.2">
      <c r="A117" s="102"/>
      <c r="B117" s="102"/>
      <c r="C117" s="118"/>
      <c r="D117" s="561" t="s">
        <v>335</v>
      </c>
      <c r="E117" s="552"/>
      <c r="F117" s="553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324"/>
    </row>
    <row r="118" spans="1:18" ht="14.1" hidden="1" customHeight="1" x14ac:dyDescent="0.2">
      <c r="A118" s="102"/>
      <c r="B118" s="102"/>
      <c r="C118" s="118"/>
      <c r="D118" s="561" t="s">
        <v>336</v>
      </c>
      <c r="E118" s="553">
        <v>1</v>
      </c>
      <c r="F118" s="411">
        <v>131703</v>
      </c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>
        <f>SUM(G118:P118)</f>
        <v>0</v>
      </c>
      <c r="R118" s="324"/>
    </row>
    <row r="119" spans="1:18" ht="15" hidden="1" customHeight="1" x14ac:dyDescent="0.2">
      <c r="A119" s="102"/>
      <c r="B119" s="102"/>
      <c r="C119" s="118"/>
      <c r="D119" s="562" t="s">
        <v>879</v>
      </c>
      <c r="E119" s="553">
        <v>2</v>
      </c>
      <c r="F119" s="411">
        <v>131720</v>
      </c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>
        <f>SUM(G119:P119)</f>
        <v>0</v>
      </c>
      <c r="R119" s="324"/>
    </row>
    <row r="120" spans="1:18" ht="14.45" customHeight="1" x14ac:dyDescent="0.2">
      <c r="A120" s="102"/>
      <c r="B120" s="102"/>
      <c r="C120" s="118"/>
      <c r="D120" s="563" t="s">
        <v>337</v>
      </c>
      <c r="E120" s="553">
        <v>1</v>
      </c>
      <c r="F120" s="411">
        <v>121319</v>
      </c>
      <c r="G120" s="82"/>
      <c r="H120" s="82"/>
      <c r="I120" s="82"/>
      <c r="J120" s="82"/>
      <c r="K120" s="82">
        <v>3066</v>
      </c>
      <c r="L120" s="82"/>
      <c r="M120" s="82"/>
      <c r="N120" s="82"/>
      <c r="O120" s="82"/>
      <c r="P120" s="82"/>
      <c r="Q120" s="82">
        <f t="shared" ref="Q120:Q122" si="9">SUM(G120:P120)</f>
        <v>3066</v>
      </c>
      <c r="R120" s="324" t="s">
        <v>1181</v>
      </c>
    </row>
    <row r="121" spans="1:18" ht="27" hidden="1" customHeight="1" x14ac:dyDescent="0.2">
      <c r="A121" s="102"/>
      <c r="B121" s="102"/>
      <c r="C121" s="118"/>
      <c r="D121" s="564" t="s">
        <v>338</v>
      </c>
      <c r="E121" s="401"/>
      <c r="F121" s="411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324"/>
    </row>
    <row r="122" spans="1:18" ht="15" hidden="1" customHeight="1" x14ac:dyDescent="0.2">
      <c r="A122" s="102"/>
      <c r="B122" s="102"/>
      <c r="C122" s="118"/>
      <c r="D122" s="564" t="s">
        <v>339</v>
      </c>
      <c r="E122" s="411">
        <v>2</v>
      </c>
      <c r="F122" s="411">
        <v>131506</v>
      </c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>
        <f t="shared" si="9"/>
        <v>0</v>
      </c>
      <c r="R122" s="324"/>
    </row>
    <row r="123" spans="1:18" ht="15" hidden="1" customHeight="1" x14ac:dyDescent="0.2">
      <c r="A123" s="102"/>
      <c r="B123" s="102"/>
      <c r="C123" s="118"/>
      <c r="D123" s="544" t="s">
        <v>340</v>
      </c>
      <c r="E123" s="401"/>
      <c r="F123" s="411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324"/>
    </row>
    <row r="124" spans="1:18" ht="15" hidden="1" customHeight="1" x14ac:dyDescent="0.2">
      <c r="A124" s="102"/>
      <c r="B124" s="102"/>
      <c r="C124" s="118"/>
      <c r="D124" s="544" t="s">
        <v>637</v>
      </c>
      <c r="E124" s="411">
        <v>2</v>
      </c>
      <c r="F124" s="411">
        <v>131707</v>
      </c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>
        <f>SUM(G124:P124)</f>
        <v>0</v>
      </c>
      <c r="R124" s="324"/>
    </row>
    <row r="125" spans="1:18" ht="15" hidden="1" customHeight="1" x14ac:dyDescent="0.2">
      <c r="A125" s="476"/>
      <c r="B125" s="476"/>
      <c r="C125" s="477"/>
      <c r="D125" s="544" t="s">
        <v>341</v>
      </c>
      <c r="E125" s="411">
        <v>2</v>
      </c>
      <c r="F125" s="411">
        <v>131713</v>
      </c>
      <c r="G125" s="475"/>
      <c r="H125" s="475"/>
      <c r="I125" s="475"/>
      <c r="J125" s="475"/>
      <c r="K125" s="475"/>
      <c r="L125" s="475"/>
      <c r="M125" s="475"/>
      <c r="N125" s="475"/>
      <c r="O125" s="475"/>
      <c r="P125" s="475"/>
      <c r="Q125" s="475">
        <f>SUM(G125:P125)</f>
        <v>0</v>
      </c>
      <c r="R125" s="478"/>
    </row>
    <row r="126" spans="1:18" ht="16.5" hidden="1" customHeight="1" x14ac:dyDescent="0.2">
      <c r="A126" s="102"/>
      <c r="B126" s="102"/>
      <c r="C126" s="118"/>
      <c r="D126" s="546" t="s">
        <v>288</v>
      </c>
      <c r="E126" s="554"/>
      <c r="F126" s="406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475"/>
      <c r="R126" s="324"/>
    </row>
    <row r="127" spans="1:18" ht="15" customHeight="1" x14ac:dyDescent="0.2">
      <c r="A127" s="102"/>
      <c r="B127" s="102"/>
      <c r="C127" s="118"/>
      <c r="D127" s="544" t="s">
        <v>342</v>
      </c>
      <c r="E127" s="553">
        <v>2</v>
      </c>
      <c r="F127" s="411">
        <v>131706</v>
      </c>
      <c r="G127" s="82"/>
      <c r="H127" s="82">
        <v>59</v>
      </c>
      <c r="I127" s="82">
        <v>7</v>
      </c>
      <c r="J127" s="82"/>
      <c r="K127" s="82">
        <v>-66</v>
      </c>
      <c r="L127" s="82"/>
      <c r="M127" s="82"/>
      <c r="N127" s="82"/>
      <c r="O127" s="82"/>
      <c r="P127" s="82"/>
      <c r="Q127" s="82">
        <f>SUM(G127:P127)</f>
        <v>0</v>
      </c>
      <c r="R127" s="324" t="s">
        <v>1182</v>
      </c>
    </row>
    <row r="128" spans="1:18" ht="15" customHeight="1" x14ac:dyDescent="0.2">
      <c r="A128" s="102"/>
      <c r="B128" s="102"/>
      <c r="C128" s="118"/>
      <c r="D128" s="544" t="s">
        <v>880</v>
      </c>
      <c r="E128" s="553">
        <v>2</v>
      </c>
      <c r="F128" s="411">
        <v>131712</v>
      </c>
      <c r="G128" s="82"/>
      <c r="H128" s="82"/>
      <c r="I128" s="82">
        <v>-780</v>
      </c>
      <c r="J128" s="82"/>
      <c r="K128" s="82"/>
      <c r="L128" s="82"/>
      <c r="M128" s="82"/>
      <c r="N128" s="82"/>
      <c r="O128" s="82"/>
      <c r="P128" s="82"/>
      <c r="Q128" s="82">
        <f>SUM(G128:P128)</f>
        <v>-780</v>
      </c>
      <c r="R128" s="324" t="s">
        <v>1181</v>
      </c>
    </row>
    <row r="129" spans="1:18" ht="15" hidden="1" customHeight="1" x14ac:dyDescent="0.2">
      <c r="A129" s="102"/>
      <c r="B129" s="102"/>
      <c r="C129" s="118"/>
      <c r="D129" s="546" t="s">
        <v>343</v>
      </c>
      <c r="E129" s="553">
        <v>2</v>
      </c>
      <c r="F129" s="411">
        <v>131714</v>
      </c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>
        <f>SUM(G129:P129)</f>
        <v>0</v>
      </c>
      <c r="R129" s="324"/>
    </row>
    <row r="130" spans="1:18" ht="15" hidden="1" customHeight="1" x14ac:dyDescent="0.2">
      <c r="A130" s="102"/>
      <c r="B130" s="102"/>
      <c r="C130" s="118"/>
      <c r="D130" s="544" t="s">
        <v>324</v>
      </c>
      <c r="E130" s="552"/>
      <c r="F130" s="411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324"/>
    </row>
    <row r="131" spans="1:18" ht="15" hidden="1" customHeight="1" x14ac:dyDescent="0.2">
      <c r="A131" s="102"/>
      <c r="B131" s="102"/>
      <c r="C131" s="118"/>
      <c r="D131" s="544" t="s">
        <v>344</v>
      </c>
      <c r="E131" s="553">
        <v>2</v>
      </c>
      <c r="F131" s="411">
        <v>128901</v>
      </c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>
        <f>SUM(G131:P131)</f>
        <v>0</v>
      </c>
      <c r="R131" s="324"/>
    </row>
    <row r="132" spans="1:18" ht="15" hidden="1" customHeight="1" x14ac:dyDescent="0.2">
      <c r="A132" s="285"/>
      <c r="B132" s="285"/>
      <c r="C132" s="286"/>
      <c r="D132" s="544" t="s">
        <v>583</v>
      </c>
      <c r="E132" s="401"/>
      <c r="F132" s="411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324"/>
    </row>
    <row r="133" spans="1:18" ht="15" hidden="1" customHeight="1" x14ac:dyDescent="0.2">
      <c r="A133" s="285"/>
      <c r="B133" s="285"/>
      <c r="C133" s="286"/>
      <c r="D133" s="544" t="s">
        <v>584</v>
      </c>
      <c r="E133" s="411">
        <v>2</v>
      </c>
      <c r="F133" s="411">
        <v>191401</v>
      </c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>
        <f>SUM(G133:P133)</f>
        <v>0</v>
      </c>
      <c r="R133" s="324"/>
    </row>
    <row r="134" spans="1:18" ht="15" customHeight="1" x14ac:dyDescent="0.2">
      <c r="A134" s="102"/>
      <c r="B134" s="102"/>
      <c r="C134" s="118"/>
      <c r="D134" s="544" t="s">
        <v>881</v>
      </c>
      <c r="E134" s="411">
        <v>2</v>
      </c>
      <c r="F134" s="411">
        <v>131721</v>
      </c>
      <c r="G134" s="82">
        <v>812</v>
      </c>
      <c r="H134" s="82">
        <v>238</v>
      </c>
      <c r="I134" s="82">
        <v>2107</v>
      </c>
      <c r="J134" s="82"/>
      <c r="K134" s="82">
        <v>278</v>
      </c>
      <c r="L134" s="82" t="s">
        <v>82</v>
      </c>
      <c r="M134" s="82"/>
      <c r="N134" s="82"/>
      <c r="O134" s="82"/>
      <c r="P134" s="82"/>
      <c r="Q134" s="82">
        <f>SUM(G134:P134)</f>
        <v>3435</v>
      </c>
      <c r="R134" s="324" t="s">
        <v>1182</v>
      </c>
    </row>
    <row r="135" spans="1:18" ht="15" customHeight="1" x14ac:dyDescent="0.2">
      <c r="A135" s="102"/>
      <c r="B135" s="102"/>
      <c r="C135" s="118"/>
      <c r="D135" s="558" t="s">
        <v>636</v>
      </c>
      <c r="E135" s="401"/>
      <c r="F135" s="411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324"/>
    </row>
    <row r="136" spans="1:18" ht="15" hidden="1" customHeight="1" x14ac:dyDescent="0.2">
      <c r="A136" s="102"/>
      <c r="B136" s="102"/>
      <c r="C136" s="118"/>
      <c r="D136" s="563" t="s">
        <v>346</v>
      </c>
      <c r="E136" s="552"/>
      <c r="F136" s="553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324"/>
    </row>
    <row r="137" spans="1:18" ht="15" hidden="1" customHeight="1" x14ac:dyDescent="0.2">
      <c r="A137" s="102"/>
      <c r="B137" s="102"/>
      <c r="C137" s="118"/>
      <c r="D137" s="544" t="s">
        <v>882</v>
      </c>
      <c r="E137" s="411">
        <v>2</v>
      </c>
      <c r="F137" s="411">
        <v>131803</v>
      </c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>
        <f>SUM(G137:P137)</f>
        <v>0</v>
      </c>
      <c r="R137" s="324"/>
    </row>
    <row r="138" spans="1:18" ht="15" customHeight="1" x14ac:dyDescent="0.2">
      <c r="A138" s="102"/>
      <c r="B138" s="102"/>
      <c r="C138" s="118"/>
      <c r="D138" s="544" t="s">
        <v>347</v>
      </c>
      <c r="E138" s="411">
        <v>2</v>
      </c>
      <c r="F138" s="411">
        <v>131804</v>
      </c>
      <c r="G138" s="82"/>
      <c r="H138" s="82"/>
      <c r="I138" s="82"/>
      <c r="J138" s="82"/>
      <c r="K138" s="82">
        <v>43000</v>
      </c>
      <c r="L138" s="82"/>
      <c r="M138" s="82"/>
      <c r="N138" s="82"/>
      <c r="O138" s="82"/>
      <c r="P138" s="82"/>
      <c r="Q138" s="82">
        <f>SUM(G138:P138)</f>
        <v>43000</v>
      </c>
      <c r="R138" s="324" t="s">
        <v>1181</v>
      </c>
    </row>
    <row r="139" spans="1:18" ht="15" hidden="1" customHeight="1" x14ac:dyDescent="0.2">
      <c r="A139" s="102"/>
      <c r="B139" s="102"/>
      <c r="C139" s="118"/>
      <c r="D139" s="544" t="s">
        <v>348</v>
      </c>
      <c r="E139" s="411">
        <v>2</v>
      </c>
      <c r="F139" s="411">
        <v>131805</v>
      </c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>
        <f>SUM(G139:P139)</f>
        <v>0</v>
      </c>
      <c r="R139" s="324"/>
    </row>
    <row r="140" spans="1:18" ht="15" hidden="1" customHeight="1" x14ac:dyDescent="0.2">
      <c r="A140" s="102"/>
      <c r="B140" s="102"/>
      <c r="C140" s="118"/>
      <c r="D140" s="563" t="s">
        <v>349</v>
      </c>
      <c r="E140" s="552"/>
      <c r="F140" s="553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324"/>
    </row>
    <row r="141" spans="1:18" ht="15" customHeight="1" x14ac:dyDescent="0.2">
      <c r="A141" s="102"/>
      <c r="B141" s="102"/>
      <c r="C141" s="118"/>
      <c r="D141" s="544" t="s">
        <v>350</v>
      </c>
      <c r="E141" s="553">
        <v>1</v>
      </c>
      <c r="F141" s="411">
        <v>131808</v>
      </c>
      <c r="G141" s="82"/>
      <c r="H141" s="82"/>
      <c r="I141" s="82">
        <v>863</v>
      </c>
      <c r="J141" s="82"/>
      <c r="K141" s="82"/>
      <c r="L141" s="82"/>
      <c r="M141" s="82"/>
      <c r="N141" s="82"/>
      <c r="O141" s="82"/>
      <c r="P141" s="82"/>
      <c r="Q141" s="82">
        <f>SUM(G141:P141)</f>
        <v>863</v>
      </c>
      <c r="R141" s="324" t="s">
        <v>1182</v>
      </c>
    </row>
    <row r="142" spans="1:18" ht="15" customHeight="1" x14ac:dyDescent="0.2">
      <c r="A142" s="102"/>
      <c r="B142" s="102"/>
      <c r="C142" s="118"/>
      <c r="D142" s="544" t="s">
        <v>351</v>
      </c>
      <c r="E142" s="411">
        <v>1</v>
      </c>
      <c r="F142" s="411">
        <v>131807</v>
      </c>
      <c r="G142" s="82">
        <v>-49</v>
      </c>
      <c r="H142" s="82"/>
      <c r="I142" s="82">
        <v>49</v>
      </c>
      <c r="J142" s="82"/>
      <c r="K142" s="82"/>
      <c r="L142" s="82"/>
      <c r="M142" s="82"/>
      <c r="N142" s="82"/>
      <c r="O142" s="82"/>
      <c r="P142" s="82"/>
      <c r="Q142" s="82">
        <f>SUM(G142:P142)</f>
        <v>0</v>
      </c>
      <c r="R142" s="324" t="s">
        <v>1182</v>
      </c>
    </row>
    <row r="143" spans="1:18" ht="15" hidden="1" customHeight="1" x14ac:dyDescent="0.2">
      <c r="A143" s="102"/>
      <c r="B143" s="102"/>
      <c r="C143" s="118"/>
      <c r="D143" s="544" t="s">
        <v>352</v>
      </c>
      <c r="E143" s="553">
        <v>1</v>
      </c>
      <c r="F143" s="411">
        <v>131809</v>
      </c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>
        <f>SUM(G143:P143)</f>
        <v>0</v>
      </c>
      <c r="R143" s="324"/>
    </row>
    <row r="144" spans="1:18" ht="15" hidden="1" customHeight="1" x14ac:dyDescent="0.2">
      <c r="A144" s="102"/>
      <c r="B144" s="102"/>
      <c r="C144" s="118"/>
      <c r="D144" s="544" t="s">
        <v>883</v>
      </c>
      <c r="E144" s="553">
        <v>2</v>
      </c>
      <c r="F144" s="411">
        <v>131866</v>
      </c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>
        <f>SUM(G144:P144)</f>
        <v>0</v>
      </c>
      <c r="R144" s="324"/>
    </row>
    <row r="145" spans="1:18" ht="15" hidden="1" customHeight="1" x14ac:dyDescent="0.2">
      <c r="A145" s="102"/>
      <c r="B145" s="102"/>
      <c r="C145" s="118"/>
      <c r="D145" s="563" t="s">
        <v>353</v>
      </c>
      <c r="E145" s="552"/>
      <c r="F145" s="553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324"/>
    </row>
    <row r="146" spans="1:18" ht="15" hidden="1" customHeight="1" x14ac:dyDescent="0.2">
      <c r="A146" s="102"/>
      <c r="B146" s="102"/>
      <c r="C146" s="118"/>
      <c r="D146" s="544" t="s">
        <v>354</v>
      </c>
      <c r="E146" s="411">
        <v>1</v>
      </c>
      <c r="F146" s="411">
        <v>131811</v>
      </c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>
        <f t="shared" ref="Q146:Q154" si="10">SUM(G146:P146)</f>
        <v>0</v>
      </c>
      <c r="R146" s="324"/>
    </row>
    <row r="147" spans="1:18" ht="15" hidden="1" customHeight="1" x14ac:dyDescent="0.2">
      <c r="A147" s="102"/>
      <c r="B147" s="102"/>
      <c r="C147" s="118"/>
      <c r="D147" s="544" t="s">
        <v>355</v>
      </c>
      <c r="E147" s="411">
        <v>1</v>
      </c>
      <c r="F147" s="411">
        <v>131812</v>
      </c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>
        <f t="shared" si="10"/>
        <v>0</v>
      </c>
      <c r="R147" s="324"/>
    </row>
    <row r="148" spans="1:18" ht="15" customHeight="1" x14ac:dyDescent="0.2">
      <c r="A148" s="102"/>
      <c r="B148" s="102"/>
      <c r="C148" s="118"/>
      <c r="D148" s="544" t="s">
        <v>356</v>
      </c>
      <c r="E148" s="411">
        <v>1</v>
      </c>
      <c r="F148" s="411">
        <v>131813</v>
      </c>
      <c r="G148" s="82"/>
      <c r="H148" s="82"/>
      <c r="I148" s="82"/>
      <c r="J148" s="82"/>
      <c r="K148" s="82"/>
      <c r="L148" s="82"/>
      <c r="M148" s="82"/>
      <c r="N148" s="82">
        <v>540</v>
      </c>
      <c r="O148" s="82"/>
      <c r="P148" s="82"/>
      <c r="Q148" s="82">
        <f t="shared" si="10"/>
        <v>540</v>
      </c>
      <c r="R148" s="324" t="s">
        <v>1182</v>
      </c>
    </row>
    <row r="149" spans="1:18" ht="15" hidden="1" customHeight="1" x14ac:dyDescent="0.2">
      <c r="A149" s="102"/>
      <c r="B149" s="102"/>
      <c r="C149" s="118"/>
      <c r="D149" s="544" t="s">
        <v>357</v>
      </c>
      <c r="E149" s="411">
        <v>1</v>
      </c>
      <c r="F149" s="411">
        <v>131816</v>
      </c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>
        <f t="shared" si="10"/>
        <v>0</v>
      </c>
      <c r="R149" s="324"/>
    </row>
    <row r="150" spans="1:18" ht="15" hidden="1" customHeight="1" x14ac:dyDescent="0.2">
      <c r="A150" s="102"/>
      <c r="B150" s="102"/>
      <c r="C150" s="118"/>
      <c r="D150" s="544" t="s">
        <v>358</v>
      </c>
      <c r="E150" s="411">
        <v>1</v>
      </c>
      <c r="F150" s="411">
        <v>131817</v>
      </c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>
        <f t="shared" si="10"/>
        <v>0</v>
      </c>
      <c r="R150" s="324"/>
    </row>
    <row r="151" spans="1:18" ht="15" hidden="1" customHeight="1" x14ac:dyDescent="0.2">
      <c r="A151" s="102"/>
      <c r="B151" s="102"/>
      <c r="C151" s="118"/>
      <c r="D151" s="544" t="s">
        <v>359</v>
      </c>
      <c r="E151" s="411">
        <v>1</v>
      </c>
      <c r="F151" s="411">
        <v>131818</v>
      </c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>
        <f t="shared" si="10"/>
        <v>0</v>
      </c>
      <c r="R151" s="324"/>
    </row>
    <row r="152" spans="1:18" ht="15" hidden="1" customHeight="1" x14ac:dyDescent="0.2">
      <c r="A152" s="102"/>
      <c r="B152" s="102"/>
      <c r="C152" s="118"/>
      <c r="D152" s="544" t="s">
        <v>360</v>
      </c>
      <c r="E152" s="411">
        <v>1</v>
      </c>
      <c r="F152" s="411">
        <v>131832</v>
      </c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>
        <f t="shared" si="10"/>
        <v>0</v>
      </c>
      <c r="R152" s="324"/>
    </row>
    <row r="153" spans="1:18" ht="15" customHeight="1" x14ac:dyDescent="0.2">
      <c r="A153" s="341"/>
      <c r="B153" s="341"/>
      <c r="C153" s="363"/>
      <c r="D153" s="544" t="s">
        <v>361</v>
      </c>
      <c r="E153" s="411">
        <v>1</v>
      </c>
      <c r="F153" s="411">
        <v>131820</v>
      </c>
      <c r="G153" s="359">
        <v>-360</v>
      </c>
      <c r="H153" s="359"/>
      <c r="I153" s="359"/>
      <c r="J153" s="359"/>
      <c r="K153" s="359">
        <v>-723</v>
      </c>
      <c r="L153" s="359"/>
      <c r="M153" s="359"/>
      <c r="N153" s="359">
        <v>260</v>
      </c>
      <c r="O153" s="359"/>
      <c r="P153" s="359"/>
      <c r="Q153" s="82">
        <f t="shared" si="10"/>
        <v>-823</v>
      </c>
      <c r="R153" s="358" t="s">
        <v>1183</v>
      </c>
    </row>
    <row r="154" spans="1:18" ht="15" hidden="1" customHeight="1" x14ac:dyDescent="0.2">
      <c r="A154" s="102"/>
      <c r="B154" s="102"/>
      <c r="C154" s="118"/>
      <c r="D154" s="544" t="s">
        <v>793</v>
      </c>
      <c r="E154" s="411">
        <v>2</v>
      </c>
      <c r="F154" s="411">
        <v>131854</v>
      </c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>
        <f t="shared" si="10"/>
        <v>0</v>
      </c>
      <c r="R154" s="324"/>
    </row>
    <row r="155" spans="1:18" ht="15" hidden="1" customHeight="1" x14ac:dyDescent="0.2">
      <c r="A155" s="102"/>
      <c r="B155" s="102"/>
      <c r="C155" s="118"/>
      <c r="D155" s="544" t="s">
        <v>884</v>
      </c>
      <c r="E155" s="411">
        <v>2</v>
      </c>
      <c r="F155" s="411">
        <v>131869</v>
      </c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>
        <f t="shared" ref="Q155:Q178" si="11">SUM(G155:P155)</f>
        <v>0</v>
      </c>
      <c r="R155" s="324"/>
    </row>
    <row r="156" spans="1:18" ht="15" hidden="1" customHeight="1" x14ac:dyDescent="0.2">
      <c r="A156" s="102"/>
      <c r="B156" s="102"/>
      <c r="C156" s="118"/>
      <c r="D156" s="544" t="s">
        <v>362</v>
      </c>
      <c r="E156" s="401"/>
      <c r="F156" s="411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324"/>
    </row>
    <row r="157" spans="1:18" ht="15" hidden="1" customHeight="1" x14ac:dyDescent="0.2">
      <c r="A157" s="102"/>
      <c r="B157" s="102"/>
      <c r="C157" s="118"/>
      <c r="D157" s="544" t="s">
        <v>363</v>
      </c>
      <c r="E157" s="553">
        <v>2</v>
      </c>
      <c r="F157" s="411">
        <v>131821</v>
      </c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>
        <f t="shared" si="11"/>
        <v>0</v>
      </c>
      <c r="R157" s="324"/>
    </row>
    <row r="158" spans="1:18" ht="15" hidden="1" customHeight="1" x14ac:dyDescent="0.2">
      <c r="A158" s="102"/>
      <c r="B158" s="102"/>
      <c r="C158" s="118"/>
      <c r="D158" s="544" t="s">
        <v>364</v>
      </c>
      <c r="E158" s="553">
        <v>2</v>
      </c>
      <c r="F158" s="411">
        <v>131822</v>
      </c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>
        <f t="shared" si="11"/>
        <v>0</v>
      </c>
      <c r="R158" s="324"/>
    </row>
    <row r="159" spans="1:18" ht="15" hidden="1" customHeight="1" x14ac:dyDescent="0.2">
      <c r="A159" s="102"/>
      <c r="B159" s="102"/>
      <c r="C159" s="118"/>
      <c r="D159" s="565" t="s">
        <v>365</v>
      </c>
      <c r="E159" s="566">
        <v>2</v>
      </c>
      <c r="F159" s="411">
        <v>131823</v>
      </c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>
        <f t="shared" si="11"/>
        <v>0</v>
      </c>
      <c r="R159" s="324"/>
    </row>
    <row r="160" spans="1:18" ht="15" customHeight="1" x14ac:dyDescent="0.2">
      <c r="A160" s="102"/>
      <c r="B160" s="102"/>
      <c r="C160" s="118"/>
      <c r="D160" s="565" t="s">
        <v>366</v>
      </c>
      <c r="E160" s="567">
        <v>2</v>
      </c>
      <c r="F160" s="411">
        <v>131824</v>
      </c>
      <c r="G160" s="82"/>
      <c r="H160" s="82"/>
      <c r="I160" s="82"/>
      <c r="J160" s="82"/>
      <c r="K160" s="82">
        <v>1800</v>
      </c>
      <c r="L160" s="82"/>
      <c r="M160" s="82"/>
      <c r="N160" s="82"/>
      <c r="O160" s="82"/>
      <c r="P160" s="82"/>
      <c r="Q160" s="82">
        <f t="shared" si="11"/>
        <v>1800</v>
      </c>
      <c r="R160" s="324" t="s">
        <v>1181</v>
      </c>
    </row>
    <row r="161" spans="1:18" ht="15" hidden="1" customHeight="1" x14ac:dyDescent="0.2">
      <c r="A161" s="102"/>
      <c r="B161" s="102"/>
      <c r="C161" s="118"/>
      <c r="D161" s="565" t="s">
        <v>367</v>
      </c>
      <c r="E161" s="567">
        <v>2</v>
      </c>
      <c r="F161" s="568">
        <v>131833</v>
      </c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>
        <f t="shared" si="11"/>
        <v>0</v>
      </c>
      <c r="R161" s="324"/>
    </row>
    <row r="162" spans="1:18" ht="15" hidden="1" customHeight="1" x14ac:dyDescent="0.2">
      <c r="A162" s="102"/>
      <c r="B162" s="102"/>
      <c r="C162" s="118"/>
      <c r="D162" s="565" t="s">
        <v>368</v>
      </c>
      <c r="E162" s="567">
        <v>2</v>
      </c>
      <c r="F162" s="568">
        <v>131834</v>
      </c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>
        <f t="shared" si="11"/>
        <v>0</v>
      </c>
      <c r="R162" s="324"/>
    </row>
    <row r="163" spans="1:18" ht="15" hidden="1" customHeight="1" x14ac:dyDescent="0.2">
      <c r="A163" s="102"/>
      <c r="B163" s="102"/>
      <c r="C163" s="118"/>
      <c r="D163" s="565" t="s">
        <v>369</v>
      </c>
      <c r="E163" s="567">
        <v>2</v>
      </c>
      <c r="F163" s="568">
        <v>131836</v>
      </c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>
        <f t="shared" si="11"/>
        <v>0</v>
      </c>
      <c r="R163" s="324"/>
    </row>
    <row r="164" spans="1:18" ht="15" customHeight="1" x14ac:dyDescent="0.2">
      <c r="A164" s="102"/>
      <c r="B164" s="102"/>
      <c r="C164" s="118"/>
      <c r="D164" s="565" t="s">
        <v>370</v>
      </c>
      <c r="E164" s="567">
        <v>2</v>
      </c>
      <c r="F164" s="568">
        <v>131837</v>
      </c>
      <c r="G164" s="82"/>
      <c r="H164" s="82"/>
      <c r="I164" s="82"/>
      <c r="J164" s="82"/>
      <c r="K164" s="82">
        <v>1000</v>
      </c>
      <c r="L164" s="82"/>
      <c r="M164" s="82"/>
      <c r="N164" s="82"/>
      <c r="O164" s="82"/>
      <c r="P164" s="82"/>
      <c r="Q164" s="82">
        <f t="shared" si="11"/>
        <v>1000</v>
      </c>
      <c r="R164" s="324" t="s">
        <v>1182</v>
      </c>
    </row>
    <row r="165" spans="1:18" ht="15" hidden="1" customHeight="1" x14ac:dyDescent="0.2">
      <c r="A165" s="102"/>
      <c r="B165" s="102"/>
      <c r="C165" s="118"/>
      <c r="D165" s="565" t="s">
        <v>762</v>
      </c>
      <c r="E165" s="567">
        <v>2</v>
      </c>
      <c r="F165" s="568">
        <v>131838</v>
      </c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>
        <f t="shared" si="11"/>
        <v>0</v>
      </c>
      <c r="R165" s="324"/>
    </row>
    <row r="166" spans="1:18" ht="15" hidden="1" customHeight="1" x14ac:dyDescent="0.2">
      <c r="A166" s="102"/>
      <c r="B166" s="102"/>
      <c r="C166" s="118"/>
      <c r="D166" s="565" t="s">
        <v>371</v>
      </c>
      <c r="E166" s="567">
        <v>2</v>
      </c>
      <c r="F166" s="568">
        <v>131840</v>
      </c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>
        <f t="shared" si="11"/>
        <v>0</v>
      </c>
      <c r="R166" s="324"/>
    </row>
    <row r="167" spans="1:18" ht="15" hidden="1" customHeight="1" x14ac:dyDescent="0.2">
      <c r="A167" s="102"/>
      <c r="B167" s="102"/>
      <c r="C167" s="102"/>
      <c r="D167" s="565" t="s">
        <v>885</v>
      </c>
      <c r="E167" s="567">
        <v>2</v>
      </c>
      <c r="F167" s="568">
        <v>131841</v>
      </c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>
        <f t="shared" si="11"/>
        <v>0</v>
      </c>
      <c r="R167" s="324"/>
    </row>
    <row r="168" spans="1:18" ht="15" hidden="1" customHeight="1" x14ac:dyDescent="0.2">
      <c r="A168" s="102"/>
      <c r="B168" s="102"/>
      <c r="C168" s="102"/>
      <c r="D168" s="565" t="s">
        <v>372</v>
      </c>
      <c r="E168" s="567">
        <v>2</v>
      </c>
      <c r="F168" s="568">
        <v>131843</v>
      </c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>
        <f t="shared" si="11"/>
        <v>0</v>
      </c>
      <c r="R168" s="324"/>
    </row>
    <row r="169" spans="1:18" ht="15" hidden="1" customHeight="1" x14ac:dyDescent="0.2">
      <c r="A169" s="102"/>
      <c r="B169" s="102"/>
      <c r="C169" s="102"/>
      <c r="D169" s="411" t="s">
        <v>373</v>
      </c>
      <c r="E169" s="567">
        <v>2</v>
      </c>
      <c r="F169" s="568">
        <v>131847</v>
      </c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>
        <f t="shared" si="11"/>
        <v>0</v>
      </c>
      <c r="R169" s="324"/>
    </row>
    <row r="170" spans="1:18" ht="15" hidden="1" customHeight="1" x14ac:dyDescent="0.2">
      <c r="A170" s="102"/>
      <c r="B170" s="102"/>
      <c r="C170" s="102"/>
      <c r="D170" s="569" t="s">
        <v>374</v>
      </c>
      <c r="E170" s="567">
        <v>2</v>
      </c>
      <c r="F170" s="568">
        <v>131848</v>
      </c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>
        <f t="shared" si="11"/>
        <v>0</v>
      </c>
      <c r="R170" s="324"/>
    </row>
    <row r="171" spans="1:18" ht="15" hidden="1" customHeight="1" x14ac:dyDescent="0.2">
      <c r="A171" s="341"/>
      <c r="B171" s="341"/>
      <c r="C171" s="341"/>
      <c r="D171" s="570" t="s">
        <v>375</v>
      </c>
      <c r="E171" s="446">
        <v>2</v>
      </c>
      <c r="F171" s="447">
        <v>131851</v>
      </c>
      <c r="G171" s="359"/>
      <c r="H171" s="359"/>
      <c r="I171" s="359"/>
      <c r="J171" s="359"/>
      <c r="K171" s="359"/>
      <c r="L171" s="359"/>
      <c r="M171" s="359"/>
      <c r="N171" s="359"/>
      <c r="O171" s="359"/>
      <c r="P171" s="359"/>
      <c r="Q171" s="82">
        <f t="shared" si="11"/>
        <v>0</v>
      </c>
      <c r="R171" s="358"/>
    </row>
    <row r="172" spans="1:18" ht="15" hidden="1" customHeight="1" x14ac:dyDescent="0.2">
      <c r="A172" s="102"/>
      <c r="B172" s="102"/>
      <c r="C172" s="102"/>
      <c r="D172" s="359" t="s">
        <v>376</v>
      </c>
      <c r="E172" s="446">
        <v>2</v>
      </c>
      <c r="F172" s="447">
        <v>131852</v>
      </c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>
        <f t="shared" si="11"/>
        <v>0</v>
      </c>
      <c r="R172" s="324"/>
    </row>
    <row r="173" spans="1:18" ht="30.75" hidden="1" customHeight="1" x14ac:dyDescent="0.2">
      <c r="A173" s="102"/>
      <c r="B173" s="102"/>
      <c r="C173" s="102"/>
      <c r="D173" s="571" t="s">
        <v>377</v>
      </c>
      <c r="E173" s="572">
        <v>2</v>
      </c>
      <c r="F173" s="368">
        <v>131862</v>
      </c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>
        <f t="shared" si="11"/>
        <v>0</v>
      </c>
      <c r="R173" s="324"/>
    </row>
    <row r="174" spans="1:18" ht="15" hidden="1" customHeight="1" x14ac:dyDescent="0.2">
      <c r="A174" s="102"/>
      <c r="B174" s="102"/>
      <c r="C174" s="102"/>
      <c r="D174" s="573" t="s">
        <v>378</v>
      </c>
      <c r="E174" s="446">
        <v>2</v>
      </c>
      <c r="F174" s="447">
        <v>131859</v>
      </c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>
        <f t="shared" si="11"/>
        <v>0</v>
      </c>
      <c r="R174" s="324"/>
    </row>
    <row r="175" spans="1:18" ht="15" hidden="1" customHeight="1" x14ac:dyDescent="0.2">
      <c r="A175" s="102"/>
      <c r="B175" s="102"/>
      <c r="C175" s="102"/>
      <c r="D175" s="574" t="s">
        <v>379</v>
      </c>
      <c r="E175" s="567">
        <v>2</v>
      </c>
      <c r="F175" s="568">
        <v>131860</v>
      </c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>
        <f t="shared" si="11"/>
        <v>0</v>
      </c>
      <c r="R175" s="324"/>
    </row>
    <row r="176" spans="1:18" ht="15" hidden="1" customHeight="1" x14ac:dyDescent="0.2">
      <c r="A176" s="102"/>
      <c r="B176" s="102"/>
      <c r="C176" s="102"/>
      <c r="D176" s="574" t="s">
        <v>380</v>
      </c>
      <c r="E176" s="567">
        <v>2</v>
      </c>
      <c r="F176" s="568">
        <v>131861</v>
      </c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>
        <f t="shared" si="11"/>
        <v>0</v>
      </c>
      <c r="R176" s="324"/>
    </row>
    <row r="177" spans="1:18" hidden="1" x14ac:dyDescent="0.2">
      <c r="A177" s="341"/>
      <c r="B177" s="341"/>
      <c r="C177" s="341"/>
      <c r="D177" s="575" t="s">
        <v>886</v>
      </c>
      <c r="E177" s="567">
        <v>2</v>
      </c>
      <c r="F177" s="568">
        <v>131826</v>
      </c>
      <c r="G177" s="359"/>
      <c r="H177" s="359"/>
      <c r="I177" s="359"/>
      <c r="J177" s="359"/>
      <c r="K177" s="359"/>
      <c r="L177" s="359"/>
      <c r="M177" s="359"/>
      <c r="N177" s="359"/>
      <c r="O177" s="359"/>
      <c r="P177" s="359"/>
      <c r="Q177" s="82">
        <f t="shared" si="11"/>
        <v>0</v>
      </c>
      <c r="R177" s="358"/>
    </row>
    <row r="178" spans="1:18" ht="15" customHeight="1" x14ac:dyDescent="0.2">
      <c r="A178" s="102"/>
      <c r="B178" s="102"/>
      <c r="C178" s="102"/>
      <c r="D178" s="563" t="s">
        <v>381</v>
      </c>
      <c r="E178" s="553">
        <v>2</v>
      </c>
      <c r="F178" s="411">
        <v>131829</v>
      </c>
      <c r="G178" s="82">
        <v>700</v>
      </c>
      <c r="H178" s="82"/>
      <c r="I178" s="82"/>
      <c r="J178" s="82"/>
      <c r="K178" s="82">
        <v>-700</v>
      </c>
      <c r="L178" s="82"/>
      <c r="M178" s="82"/>
      <c r="N178" s="82"/>
      <c r="O178" s="82"/>
      <c r="P178" s="82"/>
      <c r="Q178" s="82">
        <f t="shared" si="11"/>
        <v>0</v>
      </c>
      <c r="R178" s="324" t="s">
        <v>1182</v>
      </c>
    </row>
    <row r="179" spans="1:18" ht="15" hidden="1" customHeight="1" x14ac:dyDescent="0.2">
      <c r="A179" s="102"/>
      <c r="B179" s="102"/>
      <c r="C179" s="118"/>
      <c r="D179" s="563" t="s">
        <v>794</v>
      </c>
      <c r="E179" s="553">
        <v>2</v>
      </c>
      <c r="F179" s="411">
        <v>131825</v>
      </c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>
        <f>SUM(G179:P179)</f>
        <v>0</v>
      </c>
      <c r="R179" s="324"/>
    </row>
    <row r="180" spans="1:18" ht="15" hidden="1" customHeight="1" x14ac:dyDescent="0.2">
      <c r="A180" s="408"/>
      <c r="B180" s="408"/>
      <c r="C180" s="409"/>
      <c r="D180" s="544" t="s">
        <v>382</v>
      </c>
      <c r="E180" s="552"/>
      <c r="F180" s="411"/>
      <c r="G180" s="411"/>
      <c r="H180" s="411"/>
      <c r="I180" s="411"/>
      <c r="J180" s="411"/>
      <c r="K180" s="411"/>
      <c r="L180" s="411"/>
      <c r="M180" s="411"/>
      <c r="N180" s="411"/>
      <c r="O180" s="411"/>
      <c r="P180" s="411"/>
      <c r="Q180" s="411"/>
      <c r="R180" s="412"/>
    </row>
    <row r="181" spans="1:18" ht="15" customHeight="1" x14ac:dyDescent="0.2">
      <c r="A181" s="102"/>
      <c r="B181" s="102"/>
      <c r="C181" s="118"/>
      <c r="D181" s="544" t="s">
        <v>383</v>
      </c>
      <c r="E181" s="553">
        <v>1</v>
      </c>
      <c r="F181" s="411">
        <v>131827</v>
      </c>
      <c r="G181" s="82"/>
      <c r="H181" s="82"/>
      <c r="I181" s="82">
        <v>500</v>
      </c>
      <c r="J181" s="82"/>
      <c r="K181" s="82">
        <v>-500</v>
      </c>
      <c r="L181" s="82"/>
      <c r="M181" s="82"/>
      <c r="N181" s="82"/>
      <c r="O181" s="82"/>
      <c r="P181" s="82"/>
      <c r="Q181" s="82">
        <f>SUM(G181:P181)</f>
        <v>0</v>
      </c>
      <c r="R181" s="324" t="s">
        <v>1182</v>
      </c>
    </row>
    <row r="182" spans="1:18" ht="15" customHeight="1" x14ac:dyDescent="0.2">
      <c r="A182" s="102"/>
      <c r="B182" s="102"/>
      <c r="C182" s="118"/>
      <c r="D182" s="576" t="s">
        <v>384</v>
      </c>
      <c r="E182" s="411">
        <v>2</v>
      </c>
      <c r="F182" s="411">
        <v>131844</v>
      </c>
      <c r="G182" s="82"/>
      <c r="H182" s="82"/>
      <c r="I182" s="82"/>
      <c r="J182" s="82"/>
      <c r="K182" s="82">
        <v>-3200</v>
      </c>
      <c r="L182" s="82"/>
      <c r="M182" s="82"/>
      <c r="N182" s="82"/>
      <c r="O182" s="82"/>
      <c r="P182" s="82"/>
      <c r="Q182" s="82">
        <f>SUM(G182:P182)</f>
        <v>-3200</v>
      </c>
      <c r="R182" s="324" t="s">
        <v>1181</v>
      </c>
    </row>
    <row r="183" spans="1:18" ht="15" hidden="1" customHeight="1" x14ac:dyDescent="0.2">
      <c r="A183" s="102"/>
      <c r="B183" s="102"/>
      <c r="C183" s="118"/>
      <c r="D183" s="577" t="s">
        <v>711</v>
      </c>
      <c r="E183" s="410">
        <v>2</v>
      </c>
      <c r="F183" s="411">
        <v>221966</v>
      </c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58">
        <f>SUM(G183:P183)</f>
        <v>0</v>
      </c>
      <c r="R183" s="324"/>
    </row>
    <row r="184" spans="1:18" ht="15" hidden="1" customHeight="1" x14ac:dyDescent="0.2">
      <c r="A184" s="102"/>
      <c r="B184" s="102"/>
      <c r="C184" s="118"/>
      <c r="D184" s="544" t="s">
        <v>708</v>
      </c>
      <c r="E184" s="411">
        <v>2</v>
      </c>
      <c r="F184" s="411">
        <v>191801</v>
      </c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>
        <f>SUM(G184:P184)</f>
        <v>0</v>
      </c>
      <c r="R184" s="324"/>
    </row>
    <row r="185" spans="1:18" ht="15" customHeight="1" x14ac:dyDescent="0.2">
      <c r="A185" s="124"/>
      <c r="B185" s="124"/>
      <c r="C185" s="125"/>
      <c r="D185" s="126" t="s">
        <v>385</v>
      </c>
      <c r="E185" s="127"/>
      <c r="F185" s="128"/>
      <c r="G185" s="141">
        <f t="shared" ref="G185:Q185" si="12">SUM(G52:G184)</f>
        <v>1245</v>
      </c>
      <c r="H185" s="141">
        <f t="shared" si="12"/>
        <v>343</v>
      </c>
      <c r="I185" s="141">
        <f t="shared" si="12"/>
        <v>4214</v>
      </c>
      <c r="J185" s="141">
        <f t="shared" si="12"/>
        <v>0</v>
      </c>
      <c r="K185" s="141">
        <f t="shared" si="12"/>
        <v>42779</v>
      </c>
      <c r="L185" s="141">
        <f t="shared" si="12"/>
        <v>0</v>
      </c>
      <c r="M185" s="141">
        <f t="shared" si="12"/>
        <v>0</v>
      </c>
      <c r="N185" s="141">
        <f t="shared" si="12"/>
        <v>800</v>
      </c>
      <c r="O185" s="141">
        <f t="shared" si="12"/>
        <v>0</v>
      </c>
      <c r="P185" s="141">
        <f t="shared" si="12"/>
        <v>0</v>
      </c>
      <c r="Q185" s="141">
        <f t="shared" si="12"/>
        <v>49381</v>
      </c>
      <c r="R185" s="325"/>
    </row>
    <row r="186" spans="1:18" ht="15" customHeight="1" x14ac:dyDescent="0.2">
      <c r="A186" s="129"/>
      <c r="B186" s="129"/>
      <c r="C186" s="142"/>
      <c r="D186" s="143" t="s">
        <v>291</v>
      </c>
      <c r="E186" s="131"/>
      <c r="F186" s="132"/>
      <c r="G186" s="144"/>
      <c r="H186" s="144"/>
      <c r="I186" s="144"/>
      <c r="J186" s="144"/>
      <c r="K186" s="144"/>
      <c r="L186" s="144"/>
      <c r="M186" s="144"/>
      <c r="N186" s="144"/>
      <c r="O186" s="144"/>
      <c r="P186" s="144"/>
      <c r="Q186" s="144"/>
      <c r="R186" s="324"/>
    </row>
    <row r="187" spans="1:18" ht="15" customHeight="1" x14ac:dyDescent="0.2">
      <c r="A187" s="360"/>
      <c r="B187" s="360"/>
      <c r="C187" s="578" t="s">
        <v>85</v>
      </c>
      <c r="D187" s="415" t="s">
        <v>307</v>
      </c>
      <c r="E187" s="579"/>
      <c r="F187" s="411"/>
      <c r="G187" s="417"/>
      <c r="H187" s="417"/>
      <c r="I187" s="417"/>
      <c r="J187" s="417"/>
      <c r="K187" s="417"/>
      <c r="L187" s="417"/>
      <c r="M187" s="417"/>
      <c r="N187" s="417"/>
      <c r="O187" s="417"/>
      <c r="P187" s="417"/>
      <c r="Q187" s="147"/>
      <c r="R187" s="358"/>
    </row>
    <row r="188" spans="1:18" ht="15" hidden="1" customHeight="1" x14ac:dyDescent="0.2">
      <c r="A188" s="360"/>
      <c r="B188" s="360"/>
      <c r="C188" s="409" t="s">
        <v>387</v>
      </c>
      <c r="D188" s="546" t="s">
        <v>796</v>
      </c>
      <c r="E188" s="416"/>
      <c r="F188" s="411">
        <v>134994</v>
      </c>
      <c r="G188" s="435"/>
      <c r="H188" s="435"/>
      <c r="I188" s="435"/>
      <c r="J188" s="435"/>
      <c r="K188" s="435"/>
      <c r="L188" s="435"/>
      <c r="M188" s="435"/>
      <c r="N188" s="435"/>
      <c r="O188" s="435"/>
      <c r="P188" s="435"/>
      <c r="Q188" s="147">
        <f t="shared" ref="Q188:Q210" si="13">SUM(G188:P188)</f>
        <v>0</v>
      </c>
      <c r="R188" s="358"/>
    </row>
    <row r="189" spans="1:18" ht="15" hidden="1" customHeight="1" x14ac:dyDescent="0.2">
      <c r="A189" s="360"/>
      <c r="B189" s="360"/>
      <c r="C189" s="409" t="s">
        <v>795</v>
      </c>
      <c r="D189" s="580" t="s">
        <v>887</v>
      </c>
      <c r="E189" s="416"/>
      <c r="F189" s="411">
        <v>134909</v>
      </c>
      <c r="G189" s="434"/>
      <c r="H189" s="434"/>
      <c r="I189" s="434"/>
      <c r="J189" s="434"/>
      <c r="K189" s="434"/>
      <c r="L189" s="434"/>
      <c r="M189" s="434"/>
      <c r="N189" s="434"/>
      <c r="O189" s="434"/>
      <c r="P189" s="434"/>
      <c r="Q189" s="147">
        <f t="shared" si="13"/>
        <v>0</v>
      </c>
      <c r="R189" s="358"/>
    </row>
    <row r="190" spans="1:18" ht="15" hidden="1" customHeight="1" x14ac:dyDescent="0.2">
      <c r="A190" s="360"/>
      <c r="B190" s="360"/>
      <c r="C190" s="409" t="s">
        <v>797</v>
      </c>
      <c r="D190" s="580" t="s">
        <v>888</v>
      </c>
      <c r="E190" s="416"/>
      <c r="F190" s="411">
        <v>134980</v>
      </c>
      <c r="G190" s="434"/>
      <c r="H190" s="434"/>
      <c r="I190" s="434"/>
      <c r="J190" s="434"/>
      <c r="K190" s="434"/>
      <c r="L190" s="434"/>
      <c r="M190" s="435"/>
      <c r="N190" s="435"/>
      <c r="O190" s="434"/>
      <c r="P190" s="434"/>
      <c r="Q190" s="147">
        <f t="shared" si="13"/>
        <v>0</v>
      </c>
      <c r="R190" s="358"/>
    </row>
    <row r="191" spans="1:18" ht="15" customHeight="1" x14ac:dyDescent="0.2">
      <c r="A191" s="360"/>
      <c r="B191" s="360"/>
      <c r="C191" s="409" t="s">
        <v>798</v>
      </c>
      <c r="D191" s="580" t="s">
        <v>889</v>
      </c>
      <c r="E191" s="401">
        <v>2</v>
      </c>
      <c r="F191" s="411">
        <v>132950</v>
      </c>
      <c r="G191" s="435"/>
      <c r="H191" s="435"/>
      <c r="I191" s="435"/>
      <c r="J191" s="435"/>
      <c r="K191" s="435"/>
      <c r="L191" s="435">
        <v>-613</v>
      </c>
      <c r="M191" s="435"/>
      <c r="N191" s="435"/>
      <c r="O191" s="435"/>
      <c r="P191" s="435"/>
      <c r="Q191" s="147">
        <f t="shared" si="13"/>
        <v>-613</v>
      </c>
      <c r="R191" s="358" t="s">
        <v>1182</v>
      </c>
    </row>
    <row r="192" spans="1:18" ht="15" hidden="1" customHeight="1" x14ac:dyDescent="0.2">
      <c r="A192" s="360"/>
      <c r="B192" s="360"/>
      <c r="C192" s="409" t="s">
        <v>799</v>
      </c>
      <c r="D192" s="581" t="s">
        <v>890</v>
      </c>
      <c r="E192" s="401"/>
      <c r="F192" s="411">
        <v>132951</v>
      </c>
      <c r="G192" s="434"/>
      <c r="H192" s="434"/>
      <c r="I192" s="435"/>
      <c r="J192" s="435"/>
      <c r="K192" s="435"/>
      <c r="L192" s="435"/>
      <c r="M192" s="434"/>
      <c r="N192" s="434"/>
      <c r="O192" s="434"/>
      <c r="P192" s="434"/>
      <c r="Q192" s="147">
        <f t="shared" si="13"/>
        <v>0</v>
      </c>
      <c r="R192" s="358"/>
    </row>
    <row r="193" spans="1:18" ht="15" hidden="1" customHeight="1" x14ac:dyDescent="0.2">
      <c r="A193" s="660"/>
      <c r="B193" s="660"/>
      <c r="C193" s="661" t="s">
        <v>981</v>
      </c>
      <c r="D193" s="667" t="s">
        <v>982</v>
      </c>
      <c r="E193" s="684"/>
      <c r="F193" s="663">
        <v>132941</v>
      </c>
      <c r="G193" s="664"/>
      <c r="H193" s="664"/>
      <c r="I193" s="664"/>
      <c r="J193" s="664"/>
      <c r="K193" s="664"/>
      <c r="L193" s="665"/>
      <c r="M193" s="664"/>
      <c r="N193" s="664"/>
      <c r="O193" s="664"/>
      <c r="P193" s="664"/>
      <c r="Q193" s="147">
        <f t="shared" si="13"/>
        <v>0</v>
      </c>
      <c r="R193" s="666"/>
    </row>
    <row r="194" spans="1:18" ht="15" customHeight="1" x14ac:dyDescent="0.2">
      <c r="A194" s="660"/>
      <c r="B194" s="660"/>
      <c r="C194" s="661" t="s">
        <v>1050</v>
      </c>
      <c r="D194" s="667" t="s">
        <v>1051</v>
      </c>
      <c r="E194" s="684">
        <v>2</v>
      </c>
      <c r="F194" s="663">
        <v>132971</v>
      </c>
      <c r="G194" s="664"/>
      <c r="H194" s="664"/>
      <c r="I194" s="664"/>
      <c r="J194" s="664"/>
      <c r="K194" s="664"/>
      <c r="L194" s="665">
        <v>613</v>
      </c>
      <c r="M194" s="664"/>
      <c r="N194" s="664"/>
      <c r="O194" s="664"/>
      <c r="P194" s="664"/>
      <c r="Q194" s="147">
        <f t="shared" si="13"/>
        <v>613</v>
      </c>
      <c r="R194" s="666" t="s">
        <v>1182</v>
      </c>
    </row>
    <row r="195" spans="1:18" ht="15" customHeight="1" x14ac:dyDescent="0.2">
      <c r="A195" s="360"/>
      <c r="B195" s="360"/>
      <c r="C195" s="409" t="s">
        <v>87</v>
      </c>
      <c r="D195" s="582" t="s">
        <v>334</v>
      </c>
      <c r="E195" s="401"/>
      <c r="F195" s="411"/>
      <c r="G195" s="434"/>
      <c r="H195" s="434"/>
      <c r="I195" s="434"/>
      <c r="J195" s="434"/>
      <c r="K195" s="434"/>
      <c r="L195" s="434"/>
      <c r="M195" s="434"/>
      <c r="N195" s="434"/>
      <c r="O195" s="434"/>
      <c r="P195" s="434"/>
      <c r="Q195" s="147"/>
      <c r="R195" s="358"/>
    </row>
    <row r="196" spans="1:18" ht="15" customHeight="1" x14ac:dyDescent="0.2">
      <c r="A196" s="360"/>
      <c r="B196" s="360"/>
      <c r="C196" s="409" t="s">
        <v>388</v>
      </c>
      <c r="D196" s="583" t="s">
        <v>891</v>
      </c>
      <c r="E196" s="401">
        <v>1</v>
      </c>
      <c r="F196" s="411">
        <v>134981</v>
      </c>
      <c r="G196" s="434"/>
      <c r="H196" s="434"/>
      <c r="I196" s="434"/>
      <c r="J196" s="434"/>
      <c r="K196" s="434"/>
      <c r="L196" s="434"/>
      <c r="M196" s="435">
        <v>256</v>
      </c>
      <c r="N196" s="434"/>
      <c r="O196" s="434"/>
      <c r="P196" s="434"/>
      <c r="Q196" s="147">
        <f t="shared" si="13"/>
        <v>256</v>
      </c>
      <c r="R196" s="358" t="s">
        <v>1182</v>
      </c>
    </row>
    <row r="197" spans="1:18" ht="15" hidden="1" customHeight="1" x14ac:dyDescent="0.2">
      <c r="A197" s="360"/>
      <c r="B197" s="360"/>
      <c r="C197" s="409" t="s">
        <v>892</v>
      </c>
      <c r="D197" s="584" t="s">
        <v>893</v>
      </c>
      <c r="E197" s="401"/>
      <c r="F197" s="411">
        <v>134982</v>
      </c>
      <c r="G197" s="434"/>
      <c r="H197" s="434"/>
      <c r="I197" s="434"/>
      <c r="J197" s="434"/>
      <c r="K197" s="434"/>
      <c r="L197" s="434"/>
      <c r="M197" s="435"/>
      <c r="N197" s="434"/>
      <c r="O197" s="434"/>
      <c r="P197" s="434"/>
      <c r="Q197" s="147">
        <f t="shared" si="13"/>
        <v>0</v>
      </c>
      <c r="R197" s="358"/>
    </row>
    <row r="198" spans="1:18" ht="15" customHeight="1" x14ac:dyDescent="0.2">
      <c r="A198" s="660"/>
      <c r="B198" s="660"/>
      <c r="C198" s="661" t="s">
        <v>1068</v>
      </c>
      <c r="D198" s="667" t="s">
        <v>1069</v>
      </c>
      <c r="E198" s="684">
        <v>1</v>
      </c>
      <c r="F198" s="663">
        <v>134983</v>
      </c>
      <c r="G198" s="664"/>
      <c r="H198" s="664"/>
      <c r="I198" s="664"/>
      <c r="J198" s="664"/>
      <c r="K198" s="664"/>
      <c r="L198" s="664"/>
      <c r="M198" s="665">
        <v>-3288</v>
      </c>
      <c r="N198" s="664"/>
      <c r="O198" s="664"/>
      <c r="P198" s="664"/>
      <c r="Q198" s="147">
        <f t="shared" si="13"/>
        <v>-3288</v>
      </c>
      <c r="R198" s="666" t="s">
        <v>1181</v>
      </c>
    </row>
    <row r="199" spans="1:18" ht="15" hidden="1" customHeight="1" x14ac:dyDescent="0.2">
      <c r="A199" s="360"/>
      <c r="B199" s="360"/>
      <c r="C199" s="487" t="s">
        <v>88</v>
      </c>
      <c r="D199" s="585" t="s">
        <v>636</v>
      </c>
      <c r="E199" s="401"/>
      <c r="F199" s="411"/>
      <c r="G199" s="434"/>
      <c r="H199" s="434"/>
      <c r="I199" s="434"/>
      <c r="J199" s="434"/>
      <c r="K199" s="434"/>
      <c r="L199" s="434"/>
      <c r="M199" s="434"/>
      <c r="N199" s="434"/>
      <c r="O199" s="434"/>
      <c r="P199" s="434"/>
      <c r="Q199" s="147"/>
      <c r="R199" s="358"/>
    </row>
    <row r="200" spans="1:18" ht="15" customHeight="1" x14ac:dyDescent="0.2">
      <c r="A200" s="487"/>
      <c r="B200" s="487"/>
      <c r="C200" s="408" t="s">
        <v>467</v>
      </c>
      <c r="D200" s="451" t="s">
        <v>747</v>
      </c>
      <c r="E200" s="401"/>
      <c r="F200" s="411">
        <v>134954</v>
      </c>
      <c r="G200" s="418"/>
      <c r="H200" s="418"/>
      <c r="I200" s="418"/>
      <c r="J200" s="418"/>
      <c r="K200" s="418"/>
      <c r="L200" s="418">
        <v>2400</v>
      </c>
      <c r="M200" s="418"/>
      <c r="N200" s="418">
        <v>-2400</v>
      </c>
      <c r="O200" s="418"/>
      <c r="P200" s="418"/>
      <c r="Q200" s="147">
        <f t="shared" si="13"/>
        <v>0</v>
      </c>
      <c r="R200" s="412" t="s">
        <v>1182</v>
      </c>
    </row>
    <row r="201" spans="1:18" ht="15" customHeight="1" x14ac:dyDescent="0.2">
      <c r="A201" s="487"/>
      <c r="B201" s="487"/>
      <c r="C201" s="408" t="s">
        <v>468</v>
      </c>
      <c r="D201" s="580" t="s">
        <v>894</v>
      </c>
      <c r="E201" s="401"/>
      <c r="F201" s="411">
        <v>132952</v>
      </c>
      <c r="G201" s="418"/>
      <c r="H201" s="418"/>
      <c r="I201" s="418">
        <v>416</v>
      </c>
      <c r="J201" s="418"/>
      <c r="K201" s="418"/>
      <c r="L201" s="418">
        <v>-416</v>
      </c>
      <c r="M201" s="418"/>
      <c r="N201" s="418"/>
      <c r="O201" s="418"/>
      <c r="P201" s="418"/>
      <c r="Q201" s="147">
        <f t="shared" si="13"/>
        <v>0</v>
      </c>
      <c r="R201" s="412" t="s">
        <v>1182</v>
      </c>
    </row>
    <row r="202" spans="1:18" x14ac:dyDescent="0.2">
      <c r="A202" s="360"/>
      <c r="B202" s="360"/>
      <c r="C202" s="408" t="s">
        <v>469</v>
      </c>
      <c r="D202" s="580" t="s">
        <v>895</v>
      </c>
      <c r="E202" s="401"/>
      <c r="F202" s="411">
        <v>132953</v>
      </c>
      <c r="G202" s="435"/>
      <c r="H202" s="435"/>
      <c r="I202" s="435"/>
      <c r="J202" s="435"/>
      <c r="K202" s="435"/>
      <c r="L202" s="435">
        <v>-697</v>
      </c>
      <c r="M202" s="435"/>
      <c r="N202" s="435">
        <v>697</v>
      </c>
      <c r="O202" s="435"/>
      <c r="P202" s="435"/>
      <c r="Q202" s="147">
        <f t="shared" si="13"/>
        <v>0</v>
      </c>
      <c r="R202" s="358" t="s">
        <v>1182</v>
      </c>
    </row>
    <row r="203" spans="1:18" ht="15" customHeight="1" x14ac:dyDescent="0.2">
      <c r="A203" s="660"/>
      <c r="B203" s="660"/>
      <c r="C203" s="661" t="s">
        <v>1009</v>
      </c>
      <c r="D203" s="732" t="s">
        <v>1065</v>
      </c>
      <c r="E203" s="684"/>
      <c r="F203" s="663">
        <v>134957</v>
      </c>
      <c r="G203" s="665"/>
      <c r="H203" s="665"/>
      <c r="I203" s="665"/>
      <c r="J203" s="665"/>
      <c r="K203" s="665"/>
      <c r="L203" s="665"/>
      <c r="M203" s="665">
        <v>26000</v>
      </c>
      <c r="N203" s="665"/>
      <c r="O203" s="665"/>
      <c r="P203" s="665"/>
      <c r="Q203" s="147">
        <f t="shared" si="13"/>
        <v>26000</v>
      </c>
      <c r="R203" s="666" t="s">
        <v>1182</v>
      </c>
    </row>
    <row r="204" spans="1:18" ht="15" hidden="1" customHeight="1" x14ac:dyDescent="0.2">
      <c r="A204" s="660"/>
      <c r="B204" s="660"/>
      <c r="C204" s="661" t="s">
        <v>1011</v>
      </c>
      <c r="D204" s="732" t="s">
        <v>1088</v>
      </c>
      <c r="E204" s="684"/>
      <c r="F204" s="663">
        <v>134958</v>
      </c>
      <c r="G204" s="665"/>
      <c r="H204" s="665"/>
      <c r="I204" s="665"/>
      <c r="J204" s="665"/>
      <c r="K204" s="665"/>
      <c r="L204" s="665"/>
      <c r="M204" s="665"/>
      <c r="N204" s="665"/>
      <c r="O204" s="665"/>
      <c r="P204" s="665"/>
      <c r="Q204" s="147">
        <f t="shared" si="13"/>
        <v>0</v>
      </c>
      <c r="R204" s="666"/>
    </row>
    <row r="205" spans="1:18" ht="25.5" customHeight="1" x14ac:dyDescent="0.2">
      <c r="A205" s="814"/>
      <c r="B205" s="814"/>
      <c r="C205" s="661" t="s">
        <v>1014</v>
      </c>
      <c r="D205" s="910" t="s">
        <v>1204</v>
      </c>
      <c r="E205" s="810"/>
      <c r="F205" s="811">
        <v>132931</v>
      </c>
      <c r="G205" s="816"/>
      <c r="H205" s="816"/>
      <c r="I205" s="816"/>
      <c r="J205" s="816"/>
      <c r="K205" s="816"/>
      <c r="L205" s="816"/>
      <c r="M205" s="816"/>
      <c r="N205" s="816"/>
      <c r="O205" s="816"/>
      <c r="P205" s="816"/>
      <c r="Q205" s="147">
        <f t="shared" si="13"/>
        <v>0</v>
      </c>
      <c r="R205" s="812"/>
    </row>
    <row r="206" spans="1:18" ht="15" hidden="1" customHeight="1" x14ac:dyDescent="0.2">
      <c r="A206" s="360"/>
      <c r="B206" s="360"/>
      <c r="C206" s="415" t="s">
        <v>75</v>
      </c>
      <c r="D206" s="544" t="s">
        <v>868</v>
      </c>
      <c r="E206" s="401"/>
      <c r="F206" s="586"/>
      <c r="G206" s="435"/>
      <c r="H206" s="435"/>
      <c r="I206" s="435"/>
      <c r="J206" s="435"/>
      <c r="K206" s="435"/>
      <c r="L206" s="435"/>
      <c r="M206" s="435"/>
      <c r="N206" s="435"/>
      <c r="O206" s="435"/>
      <c r="P206" s="435"/>
      <c r="Q206" s="147"/>
      <c r="R206" s="358"/>
    </row>
    <row r="207" spans="1:18" ht="15" hidden="1" customHeight="1" x14ac:dyDescent="0.2">
      <c r="A207" s="360"/>
      <c r="B207" s="360"/>
      <c r="C207" s="409" t="s">
        <v>389</v>
      </c>
      <c r="D207" s="587" t="s">
        <v>386</v>
      </c>
      <c r="E207" s="401"/>
      <c r="F207" s="411">
        <v>134908</v>
      </c>
      <c r="G207" s="435"/>
      <c r="H207" s="435"/>
      <c r="I207" s="435"/>
      <c r="J207" s="435"/>
      <c r="K207" s="435"/>
      <c r="L207" s="435"/>
      <c r="M207" s="435"/>
      <c r="N207" s="435"/>
      <c r="O207" s="435"/>
      <c r="P207" s="435"/>
      <c r="Q207" s="147">
        <f t="shared" si="13"/>
        <v>0</v>
      </c>
      <c r="R207" s="358"/>
    </row>
    <row r="208" spans="1:18" ht="15" customHeight="1" x14ac:dyDescent="0.2">
      <c r="A208" s="360"/>
      <c r="B208" s="360"/>
      <c r="C208" s="409" t="s">
        <v>390</v>
      </c>
      <c r="D208" s="587" t="s">
        <v>896</v>
      </c>
      <c r="E208" s="401"/>
      <c r="F208" s="411">
        <v>134918</v>
      </c>
      <c r="G208" s="435"/>
      <c r="H208" s="435"/>
      <c r="I208" s="435"/>
      <c r="J208" s="435"/>
      <c r="K208" s="435"/>
      <c r="L208" s="435"/>
      <c r="M208" s="435">
        <v>-8894</v>
      </c>
      <c r="N208" s="435"/>
      <c r="O208" s="435"/>
      <c r="P208" s="435"/>
      <c r="Q208" s="147">
        <f t="shared" si="13"/>
        <v>-8894</v>
      </c>
      <c r="R208" s="358" t="s">
        <v>1182</v>
      </c>
    </row>
    <row r="209" spans="1:18" ht="15" customHeight="1" x14ac:dyDescent="0.2">
      <c r="A209" s="360"/>
      <c r="B209" s="360"/>
      <c r="C209" s="409" t="s">
        <v>391</v>
      </c>
      <c r="D209" s="587" t="s">
        <v>897</v>
      </c>
      <c r="E209" s="401"/>
      <c r="F209" s="411">
        <v>131902</v>
      </c>
      <c r="G209" s="435"/>
      <c r="H209" s="435"/>
      <c r="I209" s="435">
        <v>113</v>
      </c>
      <c r="J209" s="435"/>
      <c r="K209" s="435"/>
      <c r="L209" s="435"/>
      <c r="M209" s="435">
        <v>1090</v>
      </c>
      <c r="N209" s="435"/>
      <c r="O209" s="435"/>
      <c r="P209" s="435"/>
      <c r="Q209" s="147">
        <f t="shared" si="13"/>
        <v>1203</v>
      </c>
      <c r="R209" s="358" t="s">
        <v>1182</v>
      </c>
    </row>
    <row r="210" spans="1:18" ht="15" hidden="1" customHeight="1" x14ac:dyDescent="0.2">
      <c r="A210" s="360"/>
      <c r="B210" s="360"/>
      <c r="C210" s="409" t="s">
        <v>898</v>
      </c>
      <c r="D210" s="451" t="s">
        <v>899</v>
      </c>
      <c r="E210" s="401"/>
      <c r="F210" s="411">
        <v>132947</v>
      </c>
      <c r="G210" s="435"/>
      <c r="H210" s="435"/>
      <c r="I210" s="435"/>
      <c r="J210" s="435"/>
      <c r="K210" s="435"/>
      <c r="L210" s="435"/>
      <c r="M210" s="435"/>
      <c r="N210" s="435"/>
      <c r="O210" s="435"/>
      <c r="P210" s="435"/>
      <c r="Q210" s="147">
        <f t="shared" si="13"/>
        <v>0</v>
      </c>
      <c r="R210" s="358"/>
    </row>
    <row r="211" spans="1:18" ht="15" hidden="1" customHeight="1" x14ac:dyDescent="0.2">
      <c r="A211" s="360"/>
      <c r="B211" s="360"/>
      <c r="C211" s="409" t="s">
        <v>900</v>
      </c>
      <c r="D211" s="451" t="s">
        <v>901</v>
      </c>
      <c r="E211" s="401"/>
      <c r="F211" s="411">
        <v>132949</v>
      </c>
      <c r="G211" s="435"/>
      <c r="H211" s="435"/>
      <c r="I211" s="435"/>
      <c r="J211" s="435"/>
      <c r="K211" s="435"/>
      <c r="L211" s="435"/>
      <c r="M211" s="435"/>
      <c r="N211" s="435"/>
      <c r="O211" s="435"/>
      <c r="P211" s="435"/>
      <c r="Q211" s="147"/>
      <c r="R211" s="358"/>
    </row>
    <row r="212" spans="1:18" ht="18.75" customHeight="1" x14ac:dyDescent="0.2">
      <c r="A212" s="124"/>
      <c r="B212" s="124"/>
      <c r="C212" s="125"/>
      <c r="D212" s="126" t="s">
        <v>196</v>
      </c>
      <c r="E212" s="127"/>
      <c r="F212" s="128"/>
      <c r="G212" s="141">
        <f t="shared" ref="G212:Q212" si="14">SUM(G185:G211)</f>
        <v>1245</v>
      </c>
      <c r="H212" s="141">
        <f t="shared" si="14"/>
        <v>343</v>
      </c>
      <c r="I212" s="141">
        <f t="shared" si="14"/>
        <v>4743</v>
      </c>
      <c r="J212" s="141">
        <f t="shared" si="14"/>
        <v>0</v>
      </c>
      <c r="K212" s="141">
        <f t="shared" si="14"/>
        <v>42779</v>
      </c>
      <c r="L212" s="141">
        <f t="shared" si="14"/>
        <v>1287</v>
      </c>
      <c r="M212" s="141">
        <f t="shared" si="14"/>
        <v>15164</v>
      </c>
      <c r="N212" s="141">
        <f t="shared" si="14"/>
        <v>-903</v>
      </c>
      <c r="O212" s="141">
        <f t="shared" si="14"/>
        <v>0</v>
      </c>
      <c r="P212" s="141">
        <f t="shared" si="14"/>
        <v>0</v>
      </c>
      <c r="Q212" s="141">
        <f t="shared" si="14"/>
        <v>64658</v>
      </c>
      <c r="R212" s="325"/>
    </row>
    <row r="213" spans="1:18" ht="15" customHeight="1" x14ac:dyDescent="0.2">
      <c r="A213" s="129">
        <v>1</v>
      </c>
      <c r="B213" s="129">
        <v>14</v>
      </c>
      <c r="C213" s="142"/>
      <c r="D213" s="146" t="s">
        <v>162</v>
      </c>
      <c r="E213" s="131"/>
      <c r="F213" s="132"/>
      <c r="G213" s="132"/>
      <c r="H213" s="107"/>
      <c r="I213" s="107"/>
      <c r="J213" s="107"/>
      <c r="K213" s="107"/>
      <c r="L213" s="107"/>
      <c r="M213" s="132"/>
      <c r="N213" s="132"/>
      <c r="O213" s="132"/>
      <c r="P213" s="132"/>
      <c r="Q213" s="132"/>
      <c r="R213" s="324"/>
    </row>
    <row r="214" spans="1:18" ht="12.95" hidden="1" customHeight="1" x14ac:dyDescent="0.2">
      <c r="A214" s="129"/>
      <c r="B214" s="129"/>
      <c r="C214" s="142"/>
      <c r="D214" s="119" t="s">
        <v>197</v>
      </c>
      <c r="E214" s="131"/>
      <c r="F214" s="132"/>
      <c r="G214" s="132"/>
      <c r="H214" s="107"/>
      <c r="I214" s="107"/>
      <c r="J214" s="107"/>
      <c r="K214" s="107"/>
      <c r="L214" s="107"/>
      <c r="M214" s="132"/>
      <c r="N214" s="132"/>
      <c r="O214" s="132"/>
      <c r="P214" s="132"/>
      <c r="Q214" s="132"/>
      <c r="R214" s="324"/>
    </row>
    <row r="215" spans="1:18" ht="12.95" hidden="1" customHeight="1" x14ac:dyDescent="0.2">
      <c r="A215" s="129"/>
      <c r="B215" s="129"/>
      <c r="C215" s="142"/>
      <c r="D215" s="116" t="s">
        <v>392</v>
      </c>
      <c r="E215" s="82">
        <v>1</v>
      </c>
      <c r="F215" s="82">
        <v>171918</v>
      </c>
      <c r="G215" s="82"/>
      <c r="H215" s="82"/>
      <c r="I215" s="107"/>
      <c r="J215" s="82"/>
      <c r="K215" s="82"/>
      <c r="L215" s="82"/>
      <c r="M215" s="82"/>
      <c r="N215" s="82"/>
      <c r="O215" s="82"/>
      <c r="P215" s="82"/>
      <c r="Q215" s="82">
        <f>SUM(G215:P215)</f>
        <v>0</v>
      </c>
      <c r="R215" s="324"/>
    </row>
    <row r="216" spans="1:18" ht="24" hidden="1" customHeight="1" x14ac:dyDescent="0.2">
      <c r="A216" s="129"/>
      <c r="B216" s="129"/>
      <c r="C216" s="142"/>
      <c r="D216" s="123" t="s">
        <v>393</v>
      </c>
      <c r="E216" s="82">
        <v>1</v>
      </c>
      <c r="F216" s="82">
        <v>171922</v>
      </c>
      <c r="G216" s="82"/>
      <c r="H216" s="82"/>
      <c r="I216" s="107"/>
      <c r="J216" s="82"/>
      <c r="K216" s="82"/>
      <c r="L216" s="82"/>
      <c r="M216" s="82"/>
      <c r="N216" s="82"/>
      <c r="O216" s="82"/>
      <c r="P216" s="82"/>
      <c r="Q216" s="82">
        <f>SUM(G216:P216)</f>
        <v>0</v>
      </c>
      <c r="R216" s="324"/>
    </row>
    <row r="217" spans="1:18" ht="12.95" hidden="1" customHeight="1" x14ac:dyDescent="0.2">
      <c r="A217" s="129"/>
      <c r="B217" s="129"/>
      <c r="C217" s="142"/>
      <c r="D217" s="116" t="s">
        <v>394</v>
      </c>
      <c r="E217" s="82">
        <v>1</v>
      </c>
      <c r="F217" s="82">
        <v>171926</v>
      </c>
      <c r="G217" s="82"/>
      <c r="H217" s="82"/>
      <c r="I217" s="107"/>
      <c r="J217" s="82"/>
      <c r="K217" s="82"/>
      <c r="L217" s="82"/>
      <c r="M217" s="82"/>
      <c r="N217" s="82"/>
      <c r="O217" s="82"/>
      <c r="P217" s="82"/>
      <c r="Q217" s="82">
        <f>SUM(G217:P217)</f>
        <v>0</v>
      </c>
      <c r="R217" s="324"/>
    </row>
    <row r="218" spans="1:18" ht="12.95" hidden="1" customHeight="1" x14ac:dyDescent="0.2">
      <c r="A218" s="129"/>
      <c r="B218" s="129"/>
      <c r="C218" s="142"/>
      <c r="D218" s="116" t="s">
        <v>395</v>
      </c>
      <c r="E218" s="82">
        <v>1</v>
      </c>
      <c r="F218" s="82">
        <v>171967</v>
      </c>
      <c r="G218" s="82"/>
      <c r="H218" s="82"/>
      <c r="I218" s="107"/>
      <c r="J218" s="82"/>
      <c r="K218" s="82"/>
      <c r="L218" s="82"/>
      <c r="M218" s="82"/>
      <c r="N218" s="82"/>
      <c r="O218" s="82"/>
      <c r="P218" s="82"/>
      <c r="Q218" s="82">
        <f>SUM(G218:P218)</f>
        <v>0</v>
      </c>
      <c r="R218" s="324"/>
    </row>
    <row r="219" spans="1:18" ht="12.95" hidden="1" customHeight="1" x14ac:dyDescent="0.2">
      <c r="A219" s="124"/>
      <c r="B219" s="124"/>
      <c r="C219" s="125"/>
      <c r="D219" s="126" t="s">
        <v>396</v>
      </c>
      <c r="E219" s="148"/>
      <c r="F219" s="149"/>
      <c r="G219" s="150">
        <f t="shared" ref="G219:Q219" si="15">SUM(G215:G218)</f>
        <v>0</v>
      </c>
      <c r="H219" s="150">
        <f t="shared" si="15"/>
        <v>0</v>
      </c>
      <c r="I219" s="150">
        <f t="shared" si="15"/>
        <v>0</v>
      </c>
      <c r="J219" s="150">
        <f t="shared" si="15"/>
        <v>0</v>
      </c>
      <c r="K219" s="150">
        <f t="shared" si="15"/>
        <v>0</v>
      </c>
      <c r="L219" s="150">
        <f t="shared" si="15"/>
        <v>0</v>
      </c>
      <c r="M219" s="150">
        <f t="shared" si="15"/>
        <v>0</v>
      </c>
      <c r="N219" s="150">
        <f t="shared" si="15"/>
        <v>0</v>
      </c>
      <c r="O219" s="150">
        <f t="shared" si="15"/>
        <v>0</v>
      </c>
      <c r="P219" s="150">
        <f t="shared" si="15"/>
        <v>0</v>
      </c>
      <c r="Q219" s="150">
        <f t="shared" si="15"/>
        <v>0</v>
      </c>
      <c r="R219" s="325"/>
    </row>
    <row r="220" spans="1:18" ht="12.95" hidden="1" customHeight="1" x14ac:dyDescent="0.2">
      <c r="A220" s="129"/>
      <c r="B220" s="129"/>
      <c r="C220" s="142"/>
      <c r="D220" s="143" t="s">
        <v>397</v>
      </c>
      <c r="E220" s="130"/>
      <c r="F220" s="82"/>
      <c r="G220" s="107"/>
      <c r="H220" s="107"/>
      <c r="I220" s="107"/>
      <c r="J220" s="107"/>
      <c r="K220" s="107"/>
      <c r="L220" s="107"/>
      <c r="M220" s="107"/>
      <c r="N220" s="107"/>
      <c r="O220" s="107"/>
      <c r="P220" s="107"/>
      <c r="Q220" s="107"/>
      <c r="R220" s="324"/>
    </row>
    <row r="221" spans="1:18" ht="12.95" hidden="1" customHeight="1" x14ac:dyDescent="0.2">
      <c r="A221" s="129"/>
      <c r="B221" s="129"/>
      <c r="C221" s="237"/>
      <c r="D221" s="116" t="s">
        <v>868</v>
      </c>
      <c r="E221" s="160"/>
      <c r="F221" s="82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  <c r="Q221" s="107"/>
      <c r="R221" s="324"/>
    </row>
    <row r="222" spans="1:18" ht="12.95" customHeight="1" x14ac:dyDescent="0.2">
      <c r="A222" s="129"/>
      <c r="B222" s="129"/>
      <c r="C222" s="181" t="s">
        <v>294</v>
      </c>
      <c r="D222" s="236" t="s">
        <v>398</v>
      </c>
      <c r="E222" s="160">
        <v>1</v>
      </c>
      <c r="F222" s="82">
        <v>162650</v>
      </c>
      <c r="G222" s="107"/>
      <c r="H222" s="107"/>
      <c r="I222" s="107"/>
      <c r="J222" s="107"/>
      <c r="K222" s="107"/>
      <c r="L222" s="107">
        <v>-9800</v>
      </c>
      <c r="M222" s="107"/>
      <c r="N222" s="107"/>
      <c r="O222" s="107"/>
      <c r="P222" s="107"/>
      <c r="Q222" s="107">
        <f>SUM(G222:P222)</f>
        <v>-9800</v>
      </c>
      <c r="R222" s="324" t="s">
        <v>1183</v>
      </c>
    </row>
    <row r="223" spans="1:18" ht="12.95" hidden="1" customHeight="1" x14ac:dyDescent="0.2">
      <c r="A223" s="129"/>
      <c r="B223" s="129"/>
      <c r="C223" s="181" t="s">
        <v>296</v>
      </c>
      <c r="D223" s="238" t="s">
        <v>902</v>
      </c>
      <c r="E223" s="160"/>
      <c r="F223" s="82">
        <v>164903</v>
      </c>
      <c r="G223" s="107"/>
      <c r="H223" s="107"/>
      <c r="I223" s="107"/>
      <c r="J223" s="107"/>
      <c r="K223" s="107"/>
      <c r="L223" s="107"/>
      <c r="M223" s="107"/>
      <c r="N223" s="107"/>
      <c r="O223" s="107"/>
      <c r="P223" s="107"/>
      <c r="Q223" s="107">
        <f>SUM(G223:P223)</f>
        <v>0</v>
      </c>
      <c r="R223" s="324"/>
    </row>
    <row r="224" spans="1:18" ht="12.95" customHeight="1" x14ac:dyDescent="0.2">
      <c r="A224" s="124"/>
      <c r="B224" s="124"/>
      <c r="C224" s="125"/>
      <c r="D224" s="126" t="s">
        <v>199</v>
      </c>
      <c r="E224" s="148"/>
      <c r="F224" s="149"/>
      <c r="G224" s="150">
        <f t="shared" ref="G224:Q224" si="16">SUM(G219:G223)</f>
        <v>0</v>
      </c>
      <c r="H224" s="150">
        <f t="shared" si="16"/>
        <v>0</v>
      </c>
      <c r="I224" s="150">
        <f t="shared" si="16"/>
        <v>0</v>
      </c>
      <c r="J224" s="150">
        <f t="shared" si="16"/>
        <v>0</v>
      </c>
      <c r="K224" s="150">
        <f t="shared" si="16"/>
        <v>0</v>
      </c>
      <c r="L224" s="150">
        <f t="shared" si="16"/>
        <v>-9800</v>
      </c>
      <c r="M224" s="150">
        <f t="shared" si="16"/>
        <v>0</v>
      </c>
      <c r="N224" s="150">
        <f t="shared" si="16"/>
        <v>0</v>
      </c>
      <c r="O224" s="150">
        <f t="shared" si="16"/>
        <v>0</v>
      </c>
      <c r="P224" s="150">
        <f t="shared" si="16"/>
        <v>0</v>
      </c>
      <c r="Q224" s="150">
        <f t="shared" si="16"/>
        <v>-9800</v>
      </c>
      <c r="R224" s="325"/>
    </row>
    <row r="225" spans="1:18" ht="14.1" customHeight="1" x14ac:dyDescent="0.2">
      <c r="A225" s="102">
        <v>1</v>
      </c>
      <c r="B225" s="102">
        <v>15</v>
      </c>
      <c r="C225" s="118"/>
      <c r="D225" s="146" t="s">
        <v>399</v>
      </c>
      <c r="E225" s="130"/>
      <c r="F225" s="82"/>
      <c r="G225" s="82"/>
      <c r="H225" s="107"/>
      <c r="I225" s="107"/>
      <c r="J225" s="107"/>
      <c r="K225" s="107"/>
      <c r="L225" s="107"/>
      <c r="M225" s="82"/>
      <c r="N225" s="82"/>
      <c r="O225" s="82"/>
      <c r="P225" s="82"/>
      <c r="Q225" s="82"/>
      <c r="R225" s="324"/>
    </row>
    <row r="226" spans="1:18" ht="14.1" hidden="1" customHeight="1" x14ac:dyDescent="0.2">
      <c r="A226" s="102"/>
      <c r="B226" s="102"/>
      <c r="C226" s="118"/>
      <c r="D226" s="545" t="s">
        <v>400</v>
      </c>
      <c r="E226" s="401"/>
      <c r="F226" s="411"/>
      <c r="G226" s="82"/>
      <c r="H226" s="107"/>
      <c r="I226" s="107"/>
      <c r="J226" s="107"/>
      <c r="K226" s="107"/>
      <c r="L226" s="107"/>
      <c r="M226" s="82"/>
      <c r="N226" s="82"/>
      <c r="O226" s="82"/>
      <c r="P226" s="82"/>
      <c r="Q226" s="82"/>
      <c r="R226" s="324"/>
    </row>
    <row r="227" spans="1:18" ht="15" hidden="1" customHeight="1" x14ac:dyDescent="0.2">
      <c r="A227" s="102"/>
      <c r="B227" s="102"/>
      <c r="C227" s="118"/>
      <c r="D227" s="544" t="s">
        <v>401</v>
      </c>
      <c r="E227" s="411">
        <v>1</v>
      </c>
      <c r="F227" s="411">
        <v>151502</v>
      </c>
      <c r="G227" s="82"/>
      <c r="H227" s="82"/>
      <c r="I227" s="82"/>
      <c r="J227" s="82"/>
      <c r="K227" s="82"/>
      <c r="L227" s="82"/>
      <c r="M227" s="82"/>
      <c r="N227" s="82"/>
      <c r="O227" s="82"/>
      <c r="P227" s="82"/>
      <c r="Q227" s="82">
        <f t="shared" ref="Q227:Q244" si="17">SUM(G227:P227)</f>
        <v>0</v>
      </c>
      <c r="R227" s="324"/>
    </row>
    <row r="228" spans="1:18" ht="15.75" customHeight="1" x14ac:dyDescent="0.2">
      <c r="A228" s="102"/>
      <c r="B228" s="102"/>
      <c r="C228" s="118"/>
      <c r="D228" s="546" t="s">
        <v>633</v>
      </c>
      <c r="E228" s="411">
        <v>1</v>
      </c>
      <c r="F228" s="411">
        <v>151530</v>
      </c>
      <c r="G228" s="82"/>
      <c r="H228" s="82"/>
      <c r="I228" s="82">
        <v>1043</v>
      </c>
      <c r="J228" s="82"/>
      <c r="K228" s="82"/>
      <c r="L228" s="82"/>
      <c r="M228" s="82"/>
      <c r="N228" s="82"/>
      <c r="O228" s="82"/>
      <c r="P228" s="82"/>
      <c r="Q228" s="82">
        <f t="shared" si="17"/>
        <v>1043</v>
      </c>
      <c r="R228" s="324" t="s">
        <v>1182</v>
      </c>
    </row>
    <row r="229" spans="1:18" ht="14.1" hidden="1" customHeight="1" x14ac:dyDescent="0.2">
      <c r="A229" s="102"/>
      <c r="B229" s="102"/>
      <c r="C229" s="118"/>
      <c r="D229" s="544" t="s">
        <v>402</v>
      </c>
      <c r="E229" s="411">
        <v>1</v>
      </c>
      <c r="F229" s="411">
        <v>151504</v>
      </c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>
        <f t="shared" si="17"/>
        <v>0</v>
      </c>
      <c r="R229" s="324"/>
    </row>
    <row r="230" spans="1:18" ht="14.1" hidden="1" customHeight="1" x14ac:dyDescent="0.2">
      <c r="A230" s="102"/>
      <c r="B230" s="102"/>
      <c r="C230" s="118"/>
      <c r="D230" s="563" t="s">
        <v>403</v>
      </c>
      <c r="E230" s="411">
        <v>1</v>
      </c>
      <c r="F230" s="411">
        <v>151501</v>
      </c>
      <c r="G230" s="82"/>
      <c r="H230" s="82"/>
      <c r="I230" s="82"/>
      <c r="J230" s="82"/>
      <c r="K230" s="82"/>
      <c r="L230" s="82"/>
      <c r="M230" s="82"/>
      <c r="N230" s="82"/>
      <c r="O230" s="82"/>
      <c r="P230" s="82"/>
      <c r="Q230" s="82">
        <f t="shared" si="17"/>
        <v>0</v>
      </c>
      <c r="R230" s="324"/>
    </row>
    <row r="231" spans="1:18" ht="14.1" hidden="1" customHeight="1" x14ac:dyDescent="0.2">
      <c r="A231" s="102"/>
      <c r="B231" s="102"/>
      <c r="C231" s="118"/>
      <c r="D231" s="563" t="s">
        <v>404</v>
      </c>
      <c r="E231" s="411">
        <v>1</v>
      </c>
      <c r="F231" s="411">
        <v>151905</v>
      </c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>
        <f t="shared" si="17"/>
        <v>0</v>
      </c>
      <c r="R231" s="324"/>
    </row>
    <row r="232" spans="1:18" ht="14.1" hidden="1" customHeight="1" x14ac:dyDescent="0.2">
      <c r="A232" s="102"/>
      <c r="B232" s="102"/>
      <c r="C232" s="118"/>
      <c r="D232" s="563" t="s">
        <v>405</v>
      </c>
      <c r="E232" s="411">
        <v>1</v>
      </c>
      <c r="F232" s="411">
        <v>151920</v>
      </c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>
        <f t="shared" si="17"/>
        <v>0</v>
      </c>
      <c r="R232" s="324"/>
    </row>
    <row r="233" spans="1:18" ht="14.1" customHeight="1" x14ac:dyDescent="0.2">
      <c r="A233" s="102"/>
      <c r="B233" s="102"/>
      <c r="C233" s="118"/>
      <c r="D233" s="563" t="s">
        <v>406</v>
      </c>
      <c r="E233" s="411">
        <v>1</v>
      </c>
      <c r="F233" s="411">
        <v>151917</v>
      </c>
      <c r="G233" s="82"/>
      <c r="H233" s="82"/>
      <c r="I233" s="82">
        <v>1500</v>
      </c>
      <c r="J233" s="82"/>
      <c r="K233" s="82"/>
      <c r="L233" s="82"/>
      <c r="M233" s="82"/>
      <c r="N233" s="82"/>
      <c r="O233" s="82"/>
      <c r="P233" s="82"/>
      <c r="Q233" s="82">
        <f t="shared" si="17"/>
        <v>1500</v>
      </c>
      <c r="R233" s="324" t="s">
        <v>1182</v>
      </c>
    </row>
    <row r="234" spans="1:18" ht="15" customHeight="1" x14ac:dyDescent="0.2">
      <c r="A234" s="102"/>
      <c r="B234" s="102"/>
      <c r="C234" s="118"/>
      <c r="D234" s="563" t="s">
        <v>407</v>
      </c>
      <c r="E234" s="411">
        <v>2</v>
      </c>
      <c r="F234" s="411">
        <v>151503</v>
      </c>
      <c r="G234" s="82"/>
      <c r="H234" s="82"/>
      <c r="I234" s="82">
        <v>-25</v>
      </c>
      <c r="J234" s="82"/>
      <c r="K234" s="82"/>
      <c r="L234" s="82"/>
      <c r="M234" s="82"/>
      <c r="N234" s="82"/>
      <c r="O234" s="82"/>
      <c r="P234" s="82"/>
      <c r="Q234" s="82">
        <f t="shared" si="17"/>
        <v>-25</v>
      </c>
      <c r="R234" s="324" t="s">
        <v>1182</v>
      </c>
    </row>
    <row r="235" spans="1:18" ht="15" customHeight="1" x14ac:dyDescent="0.2">
      <c r="A235" s="102"/>
      <c r="B235" s="102"/>
      <c r="C235" s="118"/>
      <c r="D235" s="563" t="s">
        <v>408</v>
      </c>
      <c r="E235" s="411">
        <v>1</v>
      </c>
      <c r="F235" s="411">
        <v>151510</v>
      </c>
      <c r="G235" s="82"/>
      <c r="H235" s="82"/>
      <c r="I235" s="82">
        <v>11187</v>
      </c>
      <c r="J235" s="82"/>
      <c r="K235" s="82"/>
      <c r="L235" s="82"/>
      <c r="M235" s="82"/>
      <c r="N235" s="82"/>
      <c r="O235" s="82"/>
      <c r="P235" s="82"/>
      <c r="Q235" s="82">
        <f t="shared" si="17"/>
        <v>11187</v>
      </c>
      <c r="R235" s="324" t="s">
        <v>1182</v>
      </c>
    </row>
    <row r="236" spans="1:18" ht="15" customHeight="1" x14ac:dyDescent="0.2">
      <c r="A236" s="102"/>
      <c r="B236" s="102"/>
      <c r="C236" s="118"/>
      <c r="D236" s="588" t="s">
        <v>800</v>
      </c>
      <c r="E236" s="98">
        <v>1</v>
      </c>
      <c r="F236" s="411">
        <v>151521</v>
      </c>
      <c r="G236" s="82"/>
      <c r="H236" s="82"/>
      <c r="I236" s="82">
        <v>-200</v>
      </c>
      <c r="J236" s="82"/>
      <c r="K236" s="82"/>
      <c r="L236" s="82"/>
      <c r="M236" s="82"/>
      <c r="N236" s="82"/>
      <c r="O236" s="82"/>
      <c r="P236" s="82"/>
      <c r="Q236" s="82">
        <f t="shared" si="17"/>
        <v>-200</v>
      </c>
      <c r="R236" s="324" t="s">
        <v>1182</v>
      </c>
    </row>
    <row r="237" spans="1:18" ht="15" customHeight="1" x14ac:dyDescent="0.2">
      <c r="A237" s="102"/>
      <c r="B237" s="102"/>
      <c r="C237" s="118"/>
      <c r="D237" s="589" t="s">
        <v>409</v>
      </c>
      <c r="E237" s="98">
        <v>1</v>
      </c>
      <c r="F237" s="411">
        <v>151520</v>
      </c>
      <c r="G237" s="82"/>
      <c r="H237" s="82"/>
      <c r="I237" s="82">
        <v>-2500</v>
      </c>
      <c r="J237" s="82"/>
      <c r="K237" s="82"/>
      <c r="L237" s="82"/>
      <c r="M237" s="82"/>
      <c r="N237" s="82"/>
      <c r="O237" s="82"/>
      <c r="P237" s="82"/>
      <c r="Q237" s="82">
        <f t="shared" si="17"/>
        <v>-2500</v>
      </c>
      <c r="R237" s="324" t="s">
        <v>1182</v>
      </c>
    </row>
    <row r="238" spans="1:18" ht="15" hidden="1" customHeight="1" x14ac:dyDescent="0.2">
      <c r="A238" s="102"/>
      <c r="B238" s="102"/>
      <c r="C238" s="679"/>
      <c r="D238" s="590" t="s">
        <v>903</v>
      </c>
      <c r="E238" s="98"/>
      <c r="F238" s="411">
        <v>151928</v>
      </c>
      <c r="G238" s="82"/>
      <c r="H238" s="82"/>
      <c r="I238" s="927"/>
      <c r="J238" s="82"/>
      <c r="K238" s="82"/>
      <c r="L238" s="82"/>
      <c r="M238" s="82"/>
      <c r="N238" s="82"/>
      <c r="O238" s="82"/>
      <c r="P238" s="82"/>
      <c r="Q238" s="82">
        <f t="shared" si="17"/>
        <v>0</v>
      </c>
      <c r="R238" s="324"/>
    </row>
    <row r="239" spans="1:18" ht="15" hidden="1" customHeight="1" x14ac:dyDescent="0.2">
      <c r="A239" s="102"/>
      <c r="B239" s="102"/>
      <c r="C239" s="118"/>
      <c r="D239" s="563" t="s">
        <v>410</v>
      </c>
      <c r="E239" s="411">
        <v>1</v>
      </c>
      <c r="F239" s="411">
        <v>151512</v>
      </c>
      <c r="G239" s="82"/>
      <c r="H239" s="82"/>
      <c r="I239" s="927"/>
      <c r="J239" s="82"/>
      <c r="K239" s="82"/>
      <c r="L239" s="82"/>
      <c r="M239" s="82"/>
      <c r="N239" s="82"/>
      <c r="O239" s="82"/>
      <c r="P239" s="82"/>
      <c r="Q239" s="82">
        <f t="shared" si="17"/>
        <v>0</v>
      </c>
      <c r="R239" s="324"/>
    </row>
    <row r="240" spans="1:18" ht="15" hidden="1" customHeight="1" x14ac:dyDescent="0.2">
      <c r="A240" s="102"/>
      <c r="B240" s="102"/>
      <c r="C240" s="118"/>
      <c r="D240" s="563" t="s">
        <v>411</v>
      </c>
      <c r="E240" s="553">
        <v>1</v>
      </c>
      <c r="F240" s="411">
        <v>151513</v>
      </c>
      <c r="G240" s="82"/>
      <c r="H240" s="82"/>
      <c r="I240" s="927"/>
      <c r="J240" s="82"/>
      <c r="K240" s="82"/>
      <c r="L240" s="82"/>
      <c r="M240" s="82"/>
      <c r="N240" s="82"/>
      <c r="O240" s="82"/>
      <c r="P240" s="82"/>
      <c r="Q240" s="82">
        <f t="shared" si="17"/>
        <v>0</v>
      </c>
      <c r="R240" s="324"/>
    </row>
    <row r="241" spans="1:18 16384:16384" ht="15" customHeight="1" x14ac:dyDescent="0.2">
      <c r="A241" s="102"/>
      <c r="B241" s="102"/>
      <c r="C241" s="118"/>
      <c r="D241" s="547" t="s">
        <v>412</v>
      </c>
      <c r="E241" s="553">
        <v>2</v>
      </c>
      <c r="F241" s="411">
        <v>151918</v>
      </c>
      <c r="G241" s="82"/>
      <c r="H241" s="82"/>
      <c r="I241" s="82">
        <v>-803</v>
      </c>
      <c r="J241" s="82"/>
      <c r="K241" s="82"/>
      <c r="L241" s="82"/>
      <c r="M241" s="82"/>
      <c r="N241" s="82"/>
      <c r="O241" s="82"/>
      <c r="P241" s="82"/>
      <c r="Q241" s="82">
        <f t="shared" si="17"/>
        <v>-803</v>
      </c>
      <c r="R241" s="324" t="s">
        <v>1187</v>
      </c>
    </row>
    <row r="242" spans="1:18 16384:16384" ht="15" hidden="1" customHeight="1" x14ac:dyDescent="0.2">
      <c r="A242" s="102"/>
      <c r="B242" s="102"/>
      <c r="C242" s="118"/>
      <c r="D242" s="547" t="s">
        <v>801</v>
      </c>
      <c r="E242" s="553">
        <v>2</v>
      </c>
      <c r="F242" s="411">
        <v>151524</v>
      </c>
      <c r="G242" s="82"/>
      <c r="H242" s="82"/>
      <c r="I242" s="927"/>
      <c r="J242" s="82"/>
      <c r="K242" s="82"/>
      <c r="L242" s="82"/>
      <c r="M242" s="82"/>
      <c r="N242" s="82"/>
      <c r="O242" s="82"/>
      <c r="P242" s="82"/>
      <c r="Q242" s="82">
        <f t="shared" si="17"/>
        <v>0</v>
      </c>
      <c r="R242" s="324"/>
    </row>
    <row r="243" spans="1:18 16384:16384" ht="17.25" customHeight="1" x14ac:dyDescent="0.2">
      <c r="A243" s="102"/>
      <c r="B243" s="102"/>
      <c r="C243" s="118"/>
      <c r="D243" s="591" t="s">
        <v>802</v>
      </c>
      <c r="E243" s="552">
        <v>2</v>
      </c>
      <c r="F243" s="411">
        <v>151531</v>
      </c>
      <c r="G243" s="82"/>
      <c r="H243" s="82"/>
      <c r="I243" s="82">
        <v>-1500</v>
      </c>
      <c r="J243" s="82"/>
      <c r="K243" s="82"/>
      <c r="L243" s="82"/>
      <c r="M243" s="82"/>
      <c r="N243" s="82"/>
      <c r="O243" s="82"/>
      <c r="P243" s="82"/>
      <c r="Q243" s="82">
        <f t="shared" si="17"/>
        <v>-1500</v>
      </c>
      <c r="R243" s="324" t="s">
        <v>1187</v>
      </c>
    </row>
    <row r="244" spans="1:18 16384:16384" ht="15" hidden="1" customHeight="1" x14ac:dyDescent="0.2">
      <c r="A244" s="102"/>
      <c r="B244" s="102"/>
      <c r="C244" s="118"/>
      <c r="D244" s="591" t="s">
        <v>803</v>
      </c>
      <c r="E244" s="552">
        <v>2</v>
      </c>
      <c r="F244" s="411">
        <v>151532</v>
      </c>
      <c r="G244" s="82"/>
      <c r="H244" s="82"/>
      <c r="I244" s="927"/>
      <c r="J244" s="82"/>
      <c r="K244" s="82"/>
      <c r="L244" s="82"/>
      <c r="M244" s="82"/>
      <c r="N244" s="82"/>
      <c r="O244" s="82"/>
      <c r="P244" s="82"/>
      <c r="Q244" s="82">
        <f t="shared" si="17"/>
        <v>0</v>
      </c>
      <c r="R244" s="324"/>
    </row>
    <row r="245" spans="1:18 16384:16384" ht="15" hidden="1" customHeight="1" x14ac:dyDescent="0.2">
      <c r="A245" s="102"/>
      <c r="B245" s="102"/>
      <c r="C245" s="118"/>
      <c r="D245" s="544" t="s">
        <v>804</v>
      </c>
      <c r="E245" s="552"/>
      <c r="F245" s="553"/>
      <c r="G245" s="82"/>
      <c r="H245" s="82"/>
      <c r="I245" s="927"/>
      <c r="J245" s="82"/>
      <c r="K245" s="82"/>
      <c r="L245" s="82"/>
      <c r="M245" s="82"/>
      <c r="N245" s="82"/>
      <c r="O245" s="82"/>
      <c r="P245" s="82"/>
      <c r="Q245" s="82"/>
      <c r="R245" s="324"/>
    </row>
    <row r="246" spans="1:18 16384:16384" ht="15" customHeight="1" x14ac:dyDescent="0.2">
      <c r="A246" s="102"/>
      <c r="B246" s="102"/>
      <c r="C246" s="118"/>
      <c r="D246" s="544" t="s">
        <v>413</v>
      </c>
      <c r="E246" s="411">
        <v>1</v>
      </c>
      <c r="F246" s="411">
        <v>151401</v>
      </c>
      <c r="G246" s="82"/>
      <c r="H246" s="82"/>
      <c r="I246" s="82">
        <v>-3800</v>
      </c>
      <c r="J246" s="82"/>
      <c r="K246" s="82"/>
      <c r="L246" s="82"/>
      <c r="M246" s="82"/>
      <c r="N246" s="82"/>
      <c r="O246" s="82"/>
      <c r="P246" s="82"/>
      <c r="Q246" s="82">
        <f t="shared" ref="Q246:Q255" si="18">SUM(G246:P246)</f>
        <v>-3800</v>
      </c>
      <c r="R246" s="324" t="s">
        <v>1182</v>
      </c>
    </row>
    <row r="247" spans="1:18 16384:16384" ht="15" hidden="1" customHeight="1" x14ac:dyDescent="0.2">
      <c r="A247" s="102"/>
      <c r="B247" s="102"/>
      <c r="C247" s="118"/>
      <c r="D247" s="544" t="s">
        <v>805</v>
      </c>
      <c r="E247" s="411">
        <v>1</v>
      </c>
      <c r="F247" s="411">
        <v>151422</v>
      </c>
      <c r="G247" s="82"/>
      <c r="H247" s="82"/>
      <c r="I247" s="927"/>
      <c r="J247" s="82"/>
      <c r="K247" s="82"/>
      <c r="L247" s="82"/>
      <c r="M247" s="82"/>
      <c r="N247" s="82"/>
      <c r="O247" s="82"/>
      <c r="P247" s="82"/>
      <c r="Q247" s="82">
        <f t="shared" si="18"/>
        <v>0</v>
      </c>
      <c r="R247" s="324"/>
    </row>
    <row r="248" spans="1:18 16384:16384" ht="14.45" customHeight="1" x14ac:dyDescent="0.2">
      <c r="A248" s="102"/>
      <c r="B248" s="102"/>
      <c r="C248" s="118"/>
      <c r="D248" s="544" t="s">
        <v>414</v>
      </c>
      <c r="E248" s="553">
        <v>1</v>
      </c>
      <c r="F248" s="411">
        <v>151402</v>
      </c>
      <c r="G248" s="82"/>
      <c r="H248" s="82"/>
      <c r="I248" s="82">
        <v>-1017</v>
      </c>
      <c r="J248" s="82"/>
      <c r="K248" s="82"/>
      <c r="L248" s="82"/>
      <c r="M248" s="82"/>
      <c r="N248" s="82"/>
      <c r="O248" s="82"/>
      <c r="P248" s="82"/>
      <c r="Q248" s="82">
        <f t="shared" si="18"/>
        <v>-1017</v>
      </c>
      <c r="R248" s="324" t="s">
        <v>1182</v>
      </c>
    </row>
    <row r="249" spans="1:18 16384:16384" ht="15" customHeight="1" x14ac:dyDescent="0.2">
      <c r="A249" s="102"/>
      <c r="B249" s="102"/>
      <c r="C249" s="118"/>
      <c r="D249" s="544" t="s">
        <v>806</v>
      </c>
      <c r="E249" s="553">
        <v>1</v>
      </c>
      <c r="F249" s="411">
        <v>151411</v>
      </c>
      <c r="G249" s="82"/>
      <c r="H249" s="82"/>
      <c r="I249" s="82">
        <v>345</v>
      </c>
      <c r="J249" s="82"/>
      <c r="K249" s="82"/>
      <c r="L249" s="82"/>
      <c r="M249" s="82">
        <v>-3000</v>
      </c>
      <c r="N249" s="82"/>
      <c r="O249" s="82"/>
      <c r="P249" s="82"/>
      <c r="Q249" s="82">
        <f t="shared" si="18"/>
        <v>-2655</v>
      </c>
      <c r="R249" s="324" t="s">
        <v>1182</v>
      </c>
      <c r="XFD249" s="1">
        <f>SUM(E249:XFC249)</f>
        <v>146102</v>
      </c>
    </row>
    <row r="250" spans="1:18 16384:16384" ht="15" hidden="1" customHeight="1" x14ac:dyDescent="0.2">
      <c r="A250" s="102"/>
      <c r="B250" s="102"/>
      <c r="C250" s="118"/>
      <c r="D250" s="544" t="s">
        <v>415</v>
      </c>
      <c r="E250" s="553">
        <v>2</v>
      </c>
      <c r="F250" s="411">
        <v>151415</v>
      </c>
      <c r="G250" s="82"/>
      <c r="H250" s="82"/>
      <c r="I250" s="927"/>
      <c r="J250" s="82"/>
      <c r="K250" s="82"/>
      <c r="L250" s="82"/>
      <c r="M250" s="82"/>
      <c r="N250" s="82"/>
      <c r="O250" s="82"/>
      <c r="P250" s="82"/>
      <c r="Q250" s="82">
        <f t="shared" si="18"/>
        <v>0</v>
      </c>
      <c r="R250" s="324"/>
      <c r="XFD250" s="1">
        <f>SUM(E250:XFC250)</f>
        <v>151417</v>
      </c>
    </row>
    <row r="251" spans="1:18 16384:16384" ht="15" customHeight="1" x14ac:dyDescent="0.2">
      <c r="A251" s="102"/>
      <c r="B251" s="102"/>
      <c r="C251" s="118"/>
      <c r="D251" s="544" t="s">
        <v>1188</v>
      </c>
      <c r="E251" s="553">
        <v>1</v>
      </c>
      <c r="F251" s="411">
        <v>151416</v>
      </c>
      <c r="G251" s="82"/>
      <c r="H251" s="82"/>
      <c r="I251" s="82">
        <v>-3000</v>
      </c>
      <c r="J251" s="82"/>
      <c r="K251" s="82"/>
      <c r="L251" s="82"/>
      <c r="M251" s="82"/>
      <c r="N251" s="82"/>
      <c r="O251" s="82"/>
      <c r="P251" s="82"/>
      <c r="Q251" s="82">
        <f t="shared" si="18"/>
        <v>-3000</v>
      </c>
      <c r="R251" s="324" t="s">
        <v>1182</v>
      </c>
      <c r="XFD251" s="1">
        <f>SUM(XFD249:XFD250)</f>
        <v>297519</v>
      </c>
    </row>
    <row r="252" spans="1:18 16384:16384" ht="15" customHeight="1" x14ac:dyDescent="0.2">
      <c r="A252" s="102"/>
      <c r="B252" s="102"/>
      <c r="C252" s="118"/>
      <c r="D252" s="544" t="s">
        <v>417</v>
      </c>
      <c r="E252" s="553">
        <v>1</v>
      </c>
      <c r="F252" s="411">
        <v>151417</v>
      </c>
      <c r="G252" s="82"/>
      <c r="H252" s="82"/>
      <c r="I252" s="82">
        <v>5806</v>
      </c>
      <c r="J252" s="82"/>
      <c r="K252" s="82"/>
      <c r="L252" s="82"/>
      <c r="M252" s="82"/>
      <c r="N252" s="82"/>
      <c r="O252" s="82"/>
      <c r="P252" s="82"/>
      <c r="Q252" s="82">
        <f t="shared" si="18"/>
        <v>5806</v>
      </c>
      <c r="R252" s="324" t="s">
        <v>1182</v>
      </c>
      <c r="XFD252" s="1">
        <f>SUM(E252:XFC252)</f>
        <v>163030</v>
      </c>
    </row>
    <row r="253" spans="1:18 16384:16384" ht="15" hidden="1" customHeight="1" x14ac:dyDescent="0.2">
      <c r="A253" s="102"/>
      <c r="B253" s="102"/>
      <c r="C253" s="118"/>
      <c r="D253" s="544" t="s">
        <v>418</v>
      </c>
      <c r="E253" s="553">
        <v>2</v>
      </c>
      <c r="F253" s="411">
        <v>151407</v>
      </c>
      <c r="G253" s="82"/>
      <c r="H253" s="82"/>
      <c r="I253" s="927"/>
      <c r="J253" s="82"/>
      <c r="K253" s="82"/>
      <c r="L253" s="82"/>
      <c r="M253" s="82"/>
      <c r="N253" s="82"/>
      <c r="O253" s="82"/>
      <c r="P253" s="82"/>
      <c r="Q253" s="82">
        <f t="shared" si="18"/>
        <v>0</v>
      </c>
      <c r="R253" s="324"/>
      <c r="XFD253" s="1">
        <f>SUM(E253:XFC253)</f>
        <v>151409</v>
      </c>
    </row>
    <row r="254" spans="1:18 16384:16384" ht="15" hidden="1" customHeight="1" x14ac:dyDescent="0.2">
      <c r="A254" s="102"/>
      <c r="B254" s="102"/>
      <c r="C254" s="118"/>
      <c r="D254" s="544" t="s">
        <v>419</v>
      </c>
      <c r="E254" s="553">
        <v>2</v>
      </c>
      <c r="F254" s="411">
        <v>151404</v>
      </c>
      <c r="G254" s="82"/>
      <c r="H254" s="82"/>
      <c r="I254" s="927"/>
      <c r="J254" s="82"/>
      <c r="K254" s="82"/>
      <c r="L254" s="82"/>
      <c r="M254" s="82"/>
      <c r="N254" s="82"/>
      <c r="O254" s="82"/>
      <c r="P254" s="82"/>
      <c r="Q254" s="82">
        <f t="shared" si="18"/>
        <v>0</v>
      </c>
      <c r="R254" s="324"/>
      <c r="XFD254" s="1">
        <f>SUM(E254:XFC254)</f>
        <v>151406</v>
      </c>
    </row>
    <row r="255" spans="1:18 16384:16384" ht="15.6" hidden="1" customHeight="1" x14ac:dyDescent="0.2">
      <c r="A255" s="102"/>
      <c r="B255" s="102"/>
      <c r="C255" s="118"/>
      <c r="D255" s="592" t="s">
        <v>713</v>
      </c>
      <c r="E255" s="355">
        <v>2</v>
      </c>
      <c r="F255" s="359">
        <v>151408</v>
      </c>
      <c r="G255" s="82"/>
      <c r="H255" s="82"/>
      <c r="I255" s="927"/>
      <c r="J255" s="82"/>
      <c r="K255" s="82"/>
      <c r="L255" s="82"/>
      <c r="M255" s="82"/>
      <c r="N255" s="82"/>
      <c r="O255" s="82"/>
      <c r="P255" s="82"/>
      <c r="Q255" s="82">
        <f t="shared" si="18"/>
        <v>0</v>
      </c>
      <c r="R255" s="324"/>
      <c r="XFD255" s="1">
        <f>SUM(Q255)</f>
        <v>0</v>
      </c>
    </row>
    <row r="256" spans="1:18 16384:16384" ht="24" hidden="1" customHeight="1" x14ac:dyDescent="0.2">
      <c r="A256" s="102"/>
      <c r="B256" s="102"/>
      <c r="C256" s="118"/>
      <c r="D256" s="593" t="s">
        <v>904</v>
      </c>
      <c r="E256" s="367">
        <v>2</v>
      </c>
      <c r="F256" s="368">
        <v>151926</v>
      </c>
      <c r="G256" s="82"/>
      <c r="H256" s="82"/>
      <c r="I256" s="927"/>
      <c r="J256" s="82"/>
      <c r="K256" s="82"/>
      <c r="L256" s="82"/>
      <c r="M256" s="82"/>
      <c r="N256" s="82"/>
      <c r="O256" s="82"/>
      <c r="P256" s="82"/>
      <c r="Q256" s="82">
        <f t="shared" ref="Q256:Q261" si="19">SUM(G256:P256)</f>
        <v>0</v>
      </c>
      <c r="R256" s="324"/>
      <c r="XFD256" s="1">
        <f>SUM(E256:XFC256)</f>
        <v>151928</v>
      </c>
    </row>
    <row r="257" spans="1:18 16384:16384" ht="14.25" customHeight="1" x14ac:dyDescent="0.2">
      <c r="A257" s="679"/>
      <c r="B257" s="679"/>
      <c r="C257" s="661"/>
      <c r="D257" s="705" t="s">
        <v>1144</v>
      </c>
      <c r="E257" s="706">
        <v>2</v>
      </c>
      <c r="F257" s="678">
        <v>151426</v>
      </c>
      <c r="G257" s="663"/>
      <c r="H257" s="663"/>
      <c r="I257" s="663">
        <v>-4000</v>
      </c>
      <c r="J257" s="663"/>
      <c r="K257" s="663"/>
      <c r="L257" s="663"/>
      <c r="M257" s="663"/>
      <c r="N257" s="663"/>
      <c r="O257" s="663"/>
      <c r="P257" s="663"/>
      <c r="Q257" s="663">
        <f t="shared" si="19"/>
        <v>-4000</v>
      </c>
      <c r="R257" s="666" t="s">
        <v>1182</v>
      </c>
      <c r="XFD257" s="1">
        <f>SUM(E257:XFC257)</f>
        <v>143428</v>
      </c>
    </row>
    <row r="258" spans="1:18 16384:16384" ht="14.25" hidden="1" customHeight="1" x14ac:dyDescent="0.2">
      <c r="A258" s="679"/>
      <c r="B258" s="679"/>
      <c r="C258" s="661"/>
      <c r="D258" s="705" t="s">
        <v>1006</v>
      </c>
      <c r="E258" s="706">
        <v>1</v>
      </c>
      <c r="F258" s="678">
        <v>151429</v>
      </c>
      <c r="G258" s="663"/>
      <c r="H258" s="663"/>
      <c r="I258" s="928"/>
      <c r="J258" s="663"/>
      <c r="K258" s="663"/>
      <c r="L258" s="663"/>
      <c r="M258" s="663"/>
      <c r="N258" s="663"/>
      <c r="O258" s="663"/>
      <c r="P258" s="663"/>
      <c r="Q258" s="663">
        <f t="shared" si="19"/>
        <v>0</v>
      </c>
      <c r="R258" s="666"/>
    </row>
    <row r="259" spans="1:18 16384:16384" ht="15" hidden="1" customHeight="1" x14ac:dyDescent="0.2">
      <c r="A259" s="82"/>
      <c r="B259" s="82"/>
      <c r="C259" s="82"/>
      <c r="D259" s="351" t="s">
        <v>420</v>
      </c>
      <c r="E259" s="594"/>
      <c r="F259" s="359"/>
      <c r="G259" s="82"/>
      <c r="H259" s="82"/>
      <c r="I259" s="927"/>
      <c r="J259" s="82"/>
      <c r="K259" s="82"/>
      <c r="L259" s="82"/>
      <c r="M259" s="82"/>
      <c r="N259" s="82"/>
      <c r="O259" s="82"/>
      <c r="P259" s="82"/>
      <c r="Q259" s="82">
        <f t="shared" si="19"/>
        <v>0</v>
      </c>
      <c r="R259" s="324"/>
      <c r="XFD259" s="1">
        <f>SUM(Q259)</f>
        <v>0</v>
      </c>
    </row>
    <row r="260" spans="1:18 16384:16384" ht="15.75" hidden="1" customHeight="1" x14ac:dyDescent="0.2">
      <c r="A260" s="102"/>
      <c r="B260" s="102"/>
      <c r="C260" s="118"/>
      <c r="D260" s="365" t="s">
        <v>421</v>
      </c>
      <c r="E260" s="367">
        <v>1</v>
      </c>
      <c r="F260" s="368">
        <v>191129</v>
      </c>
      <c r="G260" s="82"/>
      <c r="H260" s="82"/>
      <c r="I260" s="927"/>
      <c r="J260" s="82"/>
      <c r="K260" s="82"/>
      <c r="L260" s="82"/>
      <c r="M260" s="82"/>
      <c r="N260" s="82"/>
      <c r="O260" s="82"/>
      <c r="P260" s="82"/>
      <c r="Q260" s="82">
        <f t="shared" si="19"/>
        <v>0</v>
      </c>
      <c r="R260" s="324"/>
      <c r="XFD260" s="1">
        <f>SUM(E260:XFC260)</f>
        <v>191130</v>
      </c>
    </row>
    <row r="261" spans="1:18 16384:16384" ht="14.25" hidden="1" customHeight="1" x14ac:dyDescent="0.2">
      <c r="A261" s="102"/>
      <c r="B261" s="102"/>
      <c r="C261" s="118"/>
      <c r="D261" s="365" t="s">
        <v>905</v>
      </c>
      <c r="E261" s="367">
        <v>1</v>
      </c>
      <c r="F261" s="368">
        <v>151106</v>
      </c>
      <c r="G261" s="82"/>
      <c r="H261" s="82"/>
      <c r="I261" s="927"/>
      <c r="J261" s="82"/>
      <c r="K261" s="82"/>
      <c r="L261" s="82"/>
      <c r="M261" s="82"/>
      <c r="N261" s="82"/>
      <c r="O261" s="82"/>
      <c r="P261" s="82"/>
      <c r="Q261" s="82">
        <f t="shared" si="19"/>
        <v>0</v>
      </c>
      <c r="R261" s="324"/>
      <c r="XFD261" s="1">
        <f>SUM(E261:XFC261)</f>
        <v>151107</v>
      </c>
    </row>
    <row r="262" spans="1:18 16384:16384" ht="15" hidden="1" customHeight="1" x14ac:dyDescent="0.2">
      <c r="A262" s="102"/>
      <c r="B262" s="102"/>
      <c r="C262" s="118"/>
      <c r="D262" s="375" t="s">
        <v>422</v>
      </c>
      <c r="E262" s="594"/>
      <c r="F262" s="355"/>
      <c r="G262" s="82"/>
      <c r="H262" s="82"/>
      <c r="I262" s="927"/>
      <c r="J262" s="82"/>
      <c r="K262" s="82"/>
      <c r="L262" s="82"/>
      <c r="M262" s="82"/>
      <c r="N262" s="82"/>
      <c r="O262" s="82"/>
      <c r="P262" s="82"/>
      <c r="Q262" s="82"/>
      <c r="R262" s="324"/>
      <c r="XFD262" s="1">
        <f>SUM(E262:XFC262)</f>
        <v>0</v>
      </c>
    </row>
    <row r="263" spans="1:18 16384:16384" ht="15" hidden="1" customHeight="1" x14ac:dyDescent="0.2">
      <c r="A263" s="102"/>
      <c r="B263" s="102"/>
      <c r="C263" s="118"/>
      <c r="D263" s="351" t="s">
        <v>423</v>
      </c>
      <c r="E263" s="359">
        <v>1</v>
      </c>
      <c r="F263" s="359">
        <v>151102</v>
      </c>
      <c r="G263" s="82"/>
      <c r="H263" s="82"/>
      <c r="I263" s="927"/>
      <c r="J263" s="82"/>
      <c r="K263" s="82"/>
      <c r="L263" s="82"/>
      <c r="M263" s="82"/>
      <c r="N263" s="82"/>
      <c r="O263" s="82"/>
      <c r="P263" s="82"/>
      <c r="Q263" s="82">
        <f t="shared" ref="Q263:Q276" si="20">SUM(G263:P263)</f>
        <v>0</v>
      </c>
      <c r="R263" s="324"/>
      <c r="XFD263" s="1">
        <f>SUM(Q263)</f>
        <v>0</v>
      </c>
    </row>
    <row r="264" spans="1:18 16384:16384" ht="15" hidden="1" customHeight="1" x14ac:dyDescent="0.2">
      <c r="A264" s="102"/>
      <c r="B264" s="102"/>
      <c r="C264" s="118"/>
      <c r="D264" s="351" t="s">
        <v>1189</v>
      </c>
      <c r="E264" s="359">
        <v>1</v>
      </c>
      <c r="F264" s="359">
        <v>151103</v>
      </c>
      <c r="G264" s="82"/>
      <c r="H264" s="82"/>
      <c r="I264" s="927"/>
      <c r="J264" s="82"/>
      <c r="K264" s="82"/>
      <c r="L264" s="82"/>
      <c r="M264" s="82"/>
      <c r="N264" s="82"/>
      <c r="O264" s="82"/>
      <c r="P264" s="82"/>
      <c r="Q264" s="82">
        <f t="shared" si="20"/>
        <v>0</v>
      </c>
      <c r="R264" s="324"/>
      <c r="XFD264" s="1">
        <f>SUM(E264:XFC264)</f>
        <v>151104</v>
      </c>
    </row>
    <row r="265" spans="1:18 16384:16384" ht="15" customHeight="1" x14ac:dyDescent="0.2">
      <c r="A265" s="102"/>
      <c r="B265" s="102"/>
      <c r="C265" s="118"/>
      <c r="D265" s="351" t="s">
        <v>424</v>
      </c>
      <c r="E265" s="359">
        <v>1</v>
      </c>
      <c r="F265" s="359">
        <v>151105</v>
      </c>
      <c r="G265" s="82"/>
      <c r="H265" s="82"/>
      <c r="I265" s="82">
        <v>-9696</v>
      </c>
      <c r="J265" s="82"/>
      <c r="K265" s="82"/>
      <c r="L265" s="82"/>
      <c r="M265" s="82"/>
      <c r="N265" s="82"/>
      <c r="O265" s="82"/>
      <c r="P265" s="82"/>
      <c r="Q265" s="82">
        <f t="shared" si="20"/>
        <v>-9696</v>
      </c>
      <c r="R265" s="324" t="s">
        <v>1182</v>
      </c>
      <c r="XFD265" s="1">
        <f>SUM(E265:XFC265)</f>
        <v>131714</v>
      </c>
    </row>
    <row r="266" spans="1:18 16384:16384" ht="15" hidden="1" customHeight="1" x14ac:dyDescent="0.2">
      <c r="A266" s="102"/>
      <c r="B266" s="102"/>
      <c r="C266" s="118"/>
      <c r="D266" s="351" t="s">
        <v>425</v>
      </c>
      <c r="E266" s="594"/>
      <c r="F266" s="355"/>
      <c r="G266" s="82"/>
      <c r="H266" s="82"/>
      <c r="I266" s="927"/>
      <c r="J266" s="82"/>
      <c r="K266" s="82"/>
      <c r="L266" s="82"/>
      <c r="M266" s="82"/>
      <c r="N266" s="82"/>
      <c r="O266" s="82"/>
      <c r="P266" s="82"/>
      <c r="Q266" s="82"/>
      <c r="R266" s="324"/>
      <c r="XFD266" s="1">
        <f>SUM(XFD264:XFD265)</f>
        <v>282818</v>
      </c>
    </row>
    <row r="267" spans="1:18 16384:16384" ht="15" customHeight="1" x14ac:dyDescent="0.2">
      <c r="A267" s="102"/>
      <c r="B267" s="102"/>
      <c r="C267" s="118"/>
      <c r="D267" s="375" t="s">
        <v>426</v>
      </c>
      <c r="E267" s="355">
        <v>1</v>
      </c>
      <c r="F267" s="359">
        <v>151301</v>
      </c>
      <c r="G267" s="82"/>
      <c r="H267" s="82"/>
      <c r="I267" s="82">
        <v>1601</v>
      </c>
      <c r="J267" s="82"/>
      <c r="K267" s="82"/>
      <c r="L267" s="82"/>
      <c r="M267" s="82"/>
      <c r="N267" s="82"/>
      <c r="O267" s="82"/>
      <c r="P267" s="82"/>
      <c r="Q267" s="82">
        <f t="shared" si="20"/>
        <v>1601</v>
      </c>
      <c r="R267" s="324" t="s">
        <v>1182</v>
      </c>
      <c r="XFD267" s="1">
        <f>SUM(XFD263:XFD266)</f>
        <v>565636</v>
      </c>
    </row>
    <row r="268" spans="1:18 16384:16384" ht="16.5" hidden="1" customHeight="1" x14ac:dyDescent="0.2">
      <c r="A268" s="102"/>
      <c r="B268" s="102"/>
      <c r="C268" s="118"/>
      <c r="D268" s="375" t="s">
        <v>427</v>
      </c>
      <c r="E268" s="355">
        <v>1</v>
      </c>
      <c r="F268" s="359">
        <v>151310</v>
      </c>
      <c r="G268" s="82"/>
      <c r="H268" s="82"/>
      <c r="I268" s="927"/>
      <c r="J268" s="82"/>
      <c r="K268" s="82"/>
      <c r="L268" s="82"/>
      <c r="M268" s="82"/>
      <c r="N268" s="82"/>
      <c r="O268" s="82"/>
      <c r="P268" s="82"/>
      <c r="Q268" s="82">
        <f t="shared" si="20"/>
        <v>0</v>
      </c>
      <c r="R268" s="324"/>
      <c r="XFD268" s="1">
        <f>SUM(E268:XFC268)</f>
        <v>151311</v>
      </c>
    </row>
    <row r="269" spans="1:18 16384:16384" ht="13.9" hidden="1" customHeight="1" x14ac:dyDescent="0.2">
      <c r="A269" s="102"/>
      <c r="B269" s="102"/>
      <c r="C269" s="118"/>
      <c r="D269" s="375" t="s">
        <v>428</v>
      </c>
      <c r="E269" s="355">
        <v>1</v>
      </c>
      <c r="F269" s="359">
        <v>151313</v>
      </c>
      <c r="G269" s="82"/>
      <c r="H269" s="82"/>
      <c r="I269" s="927"/>
      <c r="J269" s="82"/>
      <c r="K269" s="82"/>
      <c r="L269" s="82"/>
      <c r="M269" s="82"/>
      <c r="N269" s="82"/>
      <c r="O269" s="82"/>
      <c r="P269" s="82"/>
      <c r="Q269" s="82">
        <f t="shared" si="20"/>
        <v>0</v>
      </c>
      <c r="R269" s="324"/>
      <c r="XFD269" s="1">
        <f>SUM(E269:XFC269)</f>
        <v>151314</v>
      </c>
    </row>
    <row r="270" spans="1:18 16384:16384" ht="14.45" hidden="1" customHeight="1" x14ac:dyDescent="0.2">
      <c r="A270" s="102"/>
      <c r="B270" s="102"/>
      <c r="C270" s="118"/>
      <c r="D270" s="375" t="s">
        <v>429</v>
      </c>
      <c r="E270" s="355">
        <v>1</v>
      </c>
      <c r="F270" s="359">
        <v>151314</v>
      </c>
      <c r="G270" s="82"/>
      <c r="H270" s="82"/>
      <c r="I270" s="927"/>
      <c r="J270" s="82"/>
      <c r="K270" s="82"/>
      <c r="L270" s="82"/>
      <c r="M270" s="82"/>
      <c r="N270" s="82"/>
      <c r="O270" s="82"/>
      <c r="P270" s="82"/>
      <c r="Q270" s="82">
        <f t="shared" si="20"/>
        <v>0</v>
      </c>
      <c r="R270" s="324"/>
      <c r="XFD270" s="1">
        <f>SUM(XFD268:XFD269)</f>
        <v>302625</v>
      </c>
    </row>
    <row r="271" spans="1:18 16384:16384" ht="15" customHeight="1" x14ac:dyDescent="0.2">
      <c r="A271" s="102"/>
      <c r="B271" s="102"/>
      <c r="C271" s="118"/>
      <c r="D271" s="375" t="s">
        <v>430</v>
      </c>
      <c r="E271" s="355">
        <v>1</v>
      </c>
      <c r="F271" s="359">
        <v>151317</v>
      </c>
      <c r="G271" s="82"/>
      <c r="H271" s="82"/>
      <c r="I271" s="82">
        <v>-2000</v>
      </c>
      <c r="J271" s="82"/>
      <c r="K271" s="82"/>
      <c r="L271" s="82"/>
      <c r="M271" s="82"/>
      <c r="N271" s="82"/>
      <c r="O271" s="82"/>
      <c r="P271" s="82"/>
      <c r="Q271" s="82">
        <f t="shared" si="20"/>
        <v>-2000</v>
      </c>
      <c r="R271" s="324" t="s">
        <v>1182</v>
      </c>
      <c r="XFD271" s="1">
        <f>SUM(E271:XFC271)</f>
        <v>147318</v>
      </c>
    </row>
    <row r="272" spans="1:18 16384:16384" ht="17.25" hidden="1" customHeight="1" x14ac:dyDescent="0.2">
      <c r="A272" s="102"/>
      <c r="B272" s="102"/>
      <c r="C272" s="118"/>
      <c r="D272" s="365" t="s">
        <v>647</v>
      </c>
      <c r="E272" s="355">
        <v>1</v>
      </c>
      <c r="F272" s="359">
        <v>151306</v>
      </c>
      <c r="G272" s="82"/>
      <c r="H272" s="82"/>
      <c r="I272" s="927"/>
      <c r="J272" s="82"/>
      <c r="K272" s="82"/>
      <c r="L272" s="82"/>
      <c r="M272" s="82"/>
      <c r="N272" s="82"/>
      <c r="O272" s="82"/>
      <c r="P272" s="82"/>
      <c r="Q272" s="82">
        <f t="shared" si="20"/>
        <v>0</v>
      </c>
      <c r="R272" s="324"/>
      <c r="XFD272" s="1">
        <f>SUM(E272:XFC272)</f>
        <v>151307</v>
      </c>
    </row>
    <row r="273" spans="1:18 16384:16384" ht="25.15" customHeight="1" x14ac:dyDescent="0.2">
      <c r="A273" s="102"/>
      <c r="B273" s="102"/>
      <c r="C273" s="118"/>
      <c r="D273" s="365" t="s">
        <v>431</v>
      </c>
      <c r="E273" s="355">
        <v>1</v>
      </c>
      <c r="F273" s="359">
        <v>151307</v>
      </c>
      <c r="G273" s="82"/>
      <c r="H273" s="82"/>
      <c r="I273" s="82">
        <v>-10000</v>
      </c>
      <c r="J273" s="82"/>
      <c r="K273" s="82"/>
      <c r="L273" s="82"/>
      <c r="M273" s="82"/>
      <c r="N273" s="82"/>
      <c r="O273" s="82"/>
      <c r="P273" s="82"/>
      <c r="Q273" s="82">
        <f t="shared" si="20"/>
        <v>-10000</v>
      </c>
      <c r="R273" s="324" t="s">
        <v>1182</v>
      </c>
      <c r="XFD273" s="1">
        <f>SUM(XFD271:XFD272)</f>
        <v>298625</v>
      </c>
    </row>
    <row r="274" spans="1:18 16384:16384" ht="25.5" hidden="1" customHeight="1" x14ac:dyDescent="0.2">
      <c r="A274" s="102"/>
      <c r="B274" s="102"/>
      <c r="C274" s="118"/>
      <c r="D274" s="365" t="s">
        <v>432</v>
      </c>
      <c r="E274" s="367">
        <v>1</v>
      </c>
      <c r="F274" s="368">
        <v>151311</v>
      </c>
      <c r="G274" s="82"/>
      <c r="H274" s="82"/>
      <c r="I274" s="927"/>
      <c r="J274" s="82"/>
      <c r="K274" s="82"/>
      <c r="L274" s="82"/>
      <c r="M274" s="82"/>
      <c r="N274" s="82"/>
      <c r="O274" s="82"/>
      <c r="P274" s="82"/>
      <c r="Q274" s="82">
        <f t="shared" si="20"/>
        <v>0</v>
      </c>
      <c r="R274" s="324"/>
      <c r="XFD274" s="1">
        <f>SUM(E274:XFC274)</f>
        <v>151312</v>
      </c>
    </row>
    <row r="275" spans="1:18 16384:16384" ht="16.5" hidden="1" customHeight="1" x14ac:dyDescent="0.2">
      <c r="A275" s="341"/>
      <c r="B275" s="341"/>
      <c r="C275" s="363"/>
      <c r="D275" s="351" t="s">
        <v>433</v>
      </c>
      <c r="E275" s="355">
        <v>1</v>
      </c>
      <c r="F275" s="359">
        <v>151312</v>
      </c>
      <c r="G275" s="359"/>
      <c r="H275" s="359"/>
      <c r="I275" s="929"/>
      <c r="J275" s="359"/>
      <c r="K275" s="359"/>
      <c r="L275" s="359"/>
      <c r="M275" s="359"/>
      <c r="N275" s="359"/>
      <c r="O275" s="359"/>
      <c r="P275" s="359"/>
      <c r="Q275" s="82">
        <f t="shared" si="20"/>
        <v>0</v>
      </c>
      <c r="R275" s="358"/>
      <c r="XFD275" s="1">
        <f>SUM(E275:XFC275)</f>
        <v>151313</v>
      </c>
    </row>
    <row r="276" spans="1:18 16384:16384" ht="16.149999999999999" hidden="1" customHeight="1" x14ac:dyDescent="0.2">
      <c r="A276" s="102"/>
      <c r="B276" s="102"/>
      <c r="C276" s="118"/>
      <c r="D276" s="365" t="s">
        <v>714</v>
      </c>
      <c r="E276" s="355">
        <v>1</v>
      </c>
      <c r="F276" s="359">
        <v>151302</v>
      </c>
      <c r="G276" s="82"/>
      <c r="H276" s="82"/>
      <c r="I276" s="927"/>
      <c r="J276" s="82"/>
      <c r="K276" s="82"/>
      <c r="L276" s="82"/>
      <c r="M276" s="82"/>
      <c r="N276" s="82"/>
      <c r="O276" s="82"/>
      <c r="P276" s="82"/>
      <c r="Q276" s="82">
        <f t="shared" si="20"/>
        <v>0</v>
      </c>
      <c r="R276" s="324"/>
      <c r="XFD276" s="1">
        <f>SUM(E276:XFC276)</f>
        <v>151303</v>
      </c>
    </row>
    <row r="277" spans="1:18 16384:16384" ht="12.6" customHeight="1" x14ac:dyDescent="0.2">
      <c r="A277" s="102"/>
      <c r="B277" s="102"/>
      <c r="C277" s="118"/>
      <c r="D277" s="595" t="s">
        <v>648</v>
      </c>
      <c r="E277" s="239">
        <v>1</v>
      </c>
      <c r="F277" s="368">
        <v>151321</v>
      </c>
      <c r="G277" s="82"/>
      <c r="H277" s="82"/>
      <c r="I277" s="82">
        <v>-2200</v>
      </c>
      <c r="J277" s="82"/>
      <c r="K277" s="82"/>
      <c r="L277" s="82"/>
      <c r="M277" s="82"/>
      <c r="N277" s="82"/>
      <c r="O277" s="82"/>
      <c r="P277" s="82"/>
      <c r="Q277" s="82">
        <f>SUM(G277:P277)</f>
        <v>-2200</v>
      </c>
      <c r="R277" s="324" t="s">
        <v>1182</v>
      </c>
      <c r="XFD277" s="1">
        <f>SUM(Q277)</f>
        <v>-2200</v>
      </c>
    </row>
    <row r="278" spans="1:18 16384:16384" ht="22.15" hidden="1" customHeight="1" x14ac:dyDescent="0.2">
      <c r="A278" s="102"/>
      <c r="B278" s="102"/>
      <c r="C278" s="118"/>
      <c r="D278" s="365" t="s">
        <v>434</v>
      </c>
      <c r="E278" s="367">
        <v>1</v>
      </c>
      <c r="F278" s="368">
        <v>151319</v>
      </c>
      <c r="G278" s="82"/>
      <c r="H278" s="82"/>
      <c r="I278" s="927"/>
      <c r="J278" s="82"/>
      <c r="K278" s="82"/>
      <c r="L278" s="82"/>
      <c r="M278" s="82"/>
      <c r="N278" s="82"/>
      <c r="O278" s="82"/>
      <c r="P278" s="82"/>
      <c r="Q278" s="82">
        <f t="shared" ref="Q278:Q279" si="21">SUM(G278:P278)</f>
        <v>0</v>
      </c>
      <c r="R278" s="324"/>
      <c r="XFD278" s="1">
        <f>SUM(E278:XFC278)</f>
        <v>151320</v>
      </c>
    </row>
    <row r="279" spans="1:18 16384:16384" ht="28.15" hidden="1" customHeight="1" x14ac:dyDescent="0.2">
      <c r="A279" s="102"/>
      <c r="B279" s="102"/>
      <c r="C279" s="118"/>
      <c r="D279" s="365" t="s">
        <v>807</v>
      </c>
      <c r="E279" s="367">
        <v>2</v>
      </c>
      <c r="F279" s="368">
        <v>151323</v>
      </c>
      <c r="G279" s="82"/>
      <c r="H279" s="82"/>
      <c r="I279" s="927"/>
      <c r="J279" s="82"/>
      <c r="K279" s="82"/>
      <c r="L279" s="82"/>
      <c r="M279" s="82"/>
      <c r="N279" s="82"/>
      <c r="O279" s="82"/>
      <c r="P279" s="82"/>
      <c r="Q279" s="82">
        <f t="shared" si="21"/>
        <v>0</v>
      </c>
      <c r="R279" s="324"/>
    </row>
    <row r="280" spans="1:18 16384:16384" ht="26.25" hidden="1" customHeight="1" x14ac:dyDescent="0.2">
      <c r="A280" s="102"/>
      <c r="B280" s="102"/>
      <c r="C280" s="118"/>
      <c r="D280" s="365" t="s">
        <v>435</v>
      </c>
      <c r="E280" s="596"/>
      <c r="F280" s="367"/>
      <c r="G280" s="82"/>
      <c r="H280" s="82"/>
      <c r="I280" s="927"/>
      <c r="J280" s="82"/>
      <c r="K280" s="82"/>
      <c r="L280" s="82"/>
      <c r="M280" s="82"/>
      <c r="N280" s="82"/>
      <c r="O280" s="82"/>
      <c r="P280" s="82"/>
      <c r="Q280" s="82"/>
      <c r="R280" s="324"/>
    </row>
    <row r="281" spans="1:18 16384:16384" ht="14.1" customHeight="1" x14ac:dyDescent="0.2">
      <c r="A281" s="102"/>
      <c r="B281" s="102"/>
      <c r="C281" s="118"/>
      <c r="D281" s="351" t="s">
        <v>906</v>
      </c>
      <c r="E281" s="359">
        <v>1</v>
      </c>
      <c r="F281" s="359">
        <v>151703</v>
      </c>
      <c r="G281" s="82"/>
      <c r="H281" s="82"/>
      <c r="I281" s="82">
        <v>3399</v>
      </c>
      <c r="J281" s="82"/>
      <c r="K281" s="82"/>
      <c r="L281" s="82"/>
      <c r="M281" s="82"/>
      <c r="N281" s="82"/>
      <c r="O281" s="82"/>
      <c r="P281" s="82"/>
      <c r="Q281" s="82">
        <f t="shared" ref="Q281:Q295" si="22">SUM(G281:P281)</f>
        <v>3399</v>
      </c>
      <c r="R281" s="324" t="s">
        <v>1182</v>
      </c>
    </row>
    <row r="282" spans="1:18 16384:16384" ht="14.1" hidden="1" customHeight="1" x14ac:dyDescent="0.2">
      <c r="A282" s="102"/>
      <c r="B282" s="102"/>
      <c r="C282" s="118"/>
      <c r="D282" s="351" t="s">
        <v>907</v>
      </c>
      <c r="E282" s="359">
        <v>1</v>
      </c>
      <c r="F282" s="359">
        <v>151702</v>
      </c>
      <c r="G282" s="82"/>
      <c r="H282" s="82"/>
      <c r="I282" s="927"/>
      <c r="J282" s="82"/>
      <c r="K282" s="82"/>
      <c r="L282" s="82"/>
      <c r="M282" s="82"/>
      <c r="N282" s="82"/>
      <c r="O282" s="82"/>
      <c r="P282" s="82"/>
      <c r="Q282" s="82">
        <f t="shared" si="22"/>
        <v>0</v>
      </c>
      <c r="R282" s="324"/>
    </row>
    <row r="283" spans="1:18 16384:16384" ht="15" hidden="1" customHeight="1" x14ac:dyDescent="0.2">
      <c r="A283" s="102" t="s">
        <v>82</v>
      </c>
      <c r="B283" s="102"/>
      <c r="C283" s="118"/>
      <c r="D283" s="375" t="s">
        <v>208</v>
      </c>
      <c r="E283" s="597"/>
      <c r="F283" s="355"/>
      <c r="G283" s="82"/>
      <c r="H283" s="82"/>
      <c r="I283" s="927"/>
      <c r="J283" s="82"/>
      <c r="K283" s="82"/>
      <c r="L283" s="82"/>
      <c r="M283" s="82"/>
      <c r="N283" s="82"/>
      <c r="O283" s="82"/>
      <c r="P283" s="82"/>
      <c r="Q283" s="82"/>
      <c r="R283" s="324"/>
    </row>
    <row r="284" spans="1:18 16384:16384" ht="17.100000000000001" customHeight="1" x14ac:dyDescent="0.2">
      <c r="A284" s="102"/>
      <c r="B284" s="102"/>
      <c r="C284" s="118"/>
      <c r="D284" s="351" t="s">
        <v>1150</v>
      </c>
      <c r="E284" s="359">
        <v>1</v>
      </c>
      <c r="F284" s="359">
        <v>151601</v>
      </c>
      <c r="G284" s="82"/>
      <c r="H284" s="82"/>
      <c r="I284" s="82">
        <v>-9376</v>
      </c>
      <c r="J284" s="82"/>
      <c r="K284" s="82"/>
      <c r="L284" s="82">
        <v>1000</v>
      </c>
      <c r="M284" s="82"/>
      <c r="N284" s="82"/>
      <c r="O284" s="82"/>
      <c r="P284" s="82"/>
      <c r="Q284" s="82">
        <f t="shared" si="22"/>
        <v>-8376</v>
      </c>
      <c r="R284" s="324" t="s">
        <v>1182</v>
      </c>
    </row>
    <row r="285" spans="1:18 16384:16384" ht="15" hidden="1" customHeight="1" x14ac:dyDescent="0.2">
      <c r="A285" s="102"/>
      <c r="B285" s="102"/>
      <c r="C285" s="118"/>
      <c r="D285" s="351" t="s">
        <v>437</v>
      </c>
      <c r="E285" s="359">
        <v>1</v>
      </c>
      <c r="F285" s="359">
        <v>151602</v>
      </c>
      <c r="G285" s="82"/>
      <c r="H285" s="82"/>
      <c r="I285" s="927"/>
      <c r="J285" s="82"/>
      <c r="K285" s="82"/>
      <c r="L285" s="82"/>
      <c r="M285" s="82"/>
      <c r="N285" s="82"/>
      <c r="O285" s="82"/>
      <c r="P285" s="82"/>
      <c r="Q285" s="82">
        <f t="shared" si="22"/>
        <v>0</v>
      </c>
      <c r="R285" s="324"/>
    </row>
    <row r="286" spans="1:18 16384:16384" ht="15" customHeight="1" x14ac:dyDescent="0.2">
      <c r="A286" s="102"/>
      <c r="B286" s="102"/>
      <c r="C286" s="118"/>
      <c r="D286" s="351" t="s">
        <v>908</v>
      </c>
      <c r="E286" s="359">
        <v>1</v>
      </c>
      <c r="F286" s="359">
        <v>151622</v>
      </c>
      <c r="G286" s="82"/>
      <c r="H286" s="82"/>
      <c r="I286" s="82">
        <v>-9382</v>
      </c>
      <c r="J286" s="82"/>
      <c r="K286" s="82"/>
      <c r="L286" s="82"/>
      <c r="M286" s="82"/>
      <c r="N286" s="82"/>
      <c r="O286" s="82"/>
      <c r="P286" s="82"/>
      <c r="Q286" s="82">
        <f t="shared" si="22"/>
        <v>-9382</v>
      </c>
      <c r="R286" s="324" t="s">
        <v>1182</v>
      </c>
    </row>
    <row r="287" spans="1:18 16384:16384" ht="13.9" customHeight="1" x14ac:dyDescent="0.2">
      <c r="A287" s="102"/>
      <c r="B287" s="102"/>
      <c r="C287" s="118"/>
      <c r="D287" s="351" t="s">
        <v>438</v>
      </c>
      <c r="E287" s="359">
        <v>1</v>
      </c>
      <c r="F287" s="359">
        <v>151607</v>
      </c>
      <c r="G287" s="82">
        <v>8</v>
      </c>
      <c r="H287" s="82"/>
      <c r="I287" s="82">
        <v>-8</v>
      </c>
      <c r="J287" s="82"/>
      <c r="K287" s="82"/>
      <c r="L287" s="82"/>
      <c r="M287" s="82"/>
      <c r="N287" s="82"/>
      <c r="O287" s="82"/>
      <c r="P287" s="82"/>
      <c r="Q287" s="82">
        <f t="shared" si="22"/>
        <v>0</v>
      </c>
      <c r="R287" s="324" t="s">
        <v>1182</v>
      </c>
    </row>
    <row r="288" spans="1:18 16384:16384" ht="23.25" customHeight="1" x14ac:dyDescent="0.2">
      <c r="A288" s="102"/>
      <c r="B288" s="102"/>
      <c r="C288" s="118"/>
      <c r="D288" s="365" t="s">
        <v>439</v>
      </c>
      <c r="E288" s="355">
        <v>1</v>
      </c>
      <c r="F288" s="359">
        <v>151619</v>
      </c>
      <c r="G288" s="82"/>
      <c r="H288" s="82"/>
      <c r="I288" s="82">
        <v>-3440</v>
      </c>
      <c r="J288" s="82"/>
      <c r="K288" s="82"/>
      <c r="L288" s="82"/>
      <c r="M288" s="82"/>
      <c r="N288" s="82"/>
      <c r="O288" s="82"/>
      <c r="P288" s="82"/>
      <c r="Q288" s="82">
        <f t="shared" si="22"/>
        <v>-3440</v>
      </c>
      <c r="R288" s="324" t="s">
        <v>1182</v>
      </c>
    </row>
    <row r="289" spans="1:18" ht="15.6" hidden="1" customHeight="1" x14ac:dyDescent="0.2">
      <c r="A289" s="102"/>
      <c r="B289" s="102"/>
      <c r="C289" s="118"/>
      <c r="D289" s="375" t="s">
        <v>808</v>
      </c>
      <c r="E289" s="367">
        <v>1</v>
      </c>
      <c r="F289" s="368">
        <v>151618</v>
      </c>
      <c r="G289" s="82"/>
      <c r="H289" s="82"/>
      <c r="I289" s="927"/>
      <c r="J289" s="82"/>
      <c r="K289" s="82"/>
      <c r="L289" s="82"/>
      <c r="M289" s="82"/>
      <c r="N289" s="82"/>
      <c r="O289" s="82"/>
      <c r="P289" s="82"/>
      <c r="Q289" s="82">
        <f t="shared" si="22"/>
        <v>0</v>
      </c>
      <c r="R289" s="324"/>
    </row>
    <row r="290" spans="1:18" ht="17.100000000000001" customHeight="1" x14ac:dyDescent="0.2">
      <c r="A290" s="102"/>
      <c r="B290" s="102"/>
      <c r="C290" s="118"/>
      <c r="D290" s="351" t="s">
        <v>440</v>
      </c>
      <c r="E290" s="359">
        <v>1</v>
      </c>
      <c r="F290" s="359">
        <v>151603</v>
      </c>
      <c r="G290" s="82"/>
      <c r="H290" s="82"/>
      <c r="I290" s="82">
        <v>-2295</v>
      </c>
      <c r="J290" s="82"/>
      <c r="K290" s="82"/>
      <c r="L290" s="82"/>
      <c r="M290" s="82"/>
      <c r="N290" s="82"/>
      <c r="O290" s="82"/>
      <c r="P290" s="82"/>
      <c r="Q290" s="82">
        <f t="shared" si="22"/>
        <v>-2295</v>
      </c>
      <c r="R290" s="324" t="s">
        <v>1182</v>
      </c>
    </row>
    <row r="291" spans="1:18" ht="15.6" customHeight="1" x14ac:dyDescent="0.2">
      <c r="A291" s="102"/>
      <c r="B291" s="102"/>
      <c r="C291" s="118"/>
      <c r="D291" s="351" t="s">
        <v>441</v>
      </c>
      <c r="E291" s="359">
        <v>1</v>
      </c>
      <c r="F291" s="359">
        <v>151605</v>
      </c>
      <c r="G291" s="82"/>
      <c r="H291" s="82"/>
      <c r="I291" s="82">
        <v>-1000</v>
      </c>
      <c r="J291" s="82"/>
      <c r="K291" s="82"/>
      <c r="L291" s="82"/>
      <c r="M291" s="82"/>
      <c r="N291" s="82"/>
      <c r="O291" s="82"/>
      <c r="P291" s="82"/>
      <c r="Q291" s="82">
        <f t="shared" si="22"/>
        <v>-1000</v>
      </c>
      <c r="R291" s="324" t="s">
        <v>1182</v>
      </c>
    </row>
    <row r="292" spans="1:18" ht="15" hidden="1" customHeight="1" x14ac:dyDescent="0.2">
      <c r="A292" s="102"/>
      <c r="B292" s="102"/>
      <c r="C292" s="118"/>
      <c r="D292" s="351" t="s">
        <v>442</v>
      </c>
      <c r="E292" s="359">
        <v>1</v>
      </c>
      <c r="F292" s="359">
        <v>151608</v>
      </c>
      <c r="G292" s="82"/>
      <c r="H292" s="82"/>
      <c r="I292" s="927"/>
      <c r="J292" s="82"/>
      <c r="K292" s="82"/>
      <c r="L292" s="82"/>
      <c r="M292" s="82"/>
      <c r="N292" s="82"/>
      <c r="O292" s="82"/>
      <c r="P292" s="82"/>
      <c r="Q292" s="82">
        <f t="shared" si="22"/>
        <v>0</v>
      </c>
      <c r="R292" s="324"/>
    </row>
    <row r="293" spans="1:18" ht="14.1" hidden="1" customHeight="1" x14ac:dyDescent="0.2">
      <c r="A293" s="102"/>
      <c r="B293" s="102"/>
      <c r="C293" s="118"/>
      <c r="D293" s="351" t="s">
        <v>443</v>
      </c>
      <c r="E293" s="359">
        <v>2</v>
      </c>
      <c r="F293" s="359">
        <v>151624</v>
      </c>
      <c r="G293" s="82"/>
      <c r="H293" s="82"/>
      <c r="I293" s="927"/>
      <c r="J293" s="82"/>
      <c r="K293" s="82"/>
      <c r="L293" s="82"/>
      <c r="M293" s="82"/>
      <c r="N293" s="82"/>
      <c r="O293" s="82"/>
      <c r="P293" s="82"/>
      <c r="Q293" s="82">
        <f t="shared" si="22"/>
        <v>0</v>
      </c>
      <c r="R293" s="324"/>
    </row>
    <row r="294" spans="1:18" hidden="1" x14ac:dyDescent="0.2">
      <c r="A294" s="102"/>
      <c r="B294" s="102"/>
      <c r="C294" s="118"/>
      <c r="D294" s="351" t="s">
        <v>444</v>
      </c>
      <c r="E294" s="359">
        <v>1</v>
      </c>
      <c r="F294" s="359">
        <v>151631</v>
      </c>
      <c r="G294" s="82"/>
      <c r="H294" s="82"/>
      <c r="I294" s="927"/>
      <c r="J294" s="82"/>
      <c r="K294" s="82"/>
      <c r="L294" s="82"/>
      <c r="M294" s="82"/>
      <c r="N294" s="82"/>
      <c r="O294" s="82"/>
      <c r="P294" s="82"/>
      <c r="Q294" s="82">
        <f t="shared" si="22"/>
        <v>0</v>
      </c>
      <c r="R294" s="324"/>
    </row>
    <row r="295" spans="1:18" hidden="1" x14ac:dyDescent="0.2">
      <c r="A295" s="102"/>
      <c r="B295" s="102"/>
      <c r="C295" s="118"/>
      <c r="D295" s="453" t="s">
        <v>445</v>
      </c>
      <c r="E295" s="359">
        <v>1</v>
      </c>
      <c r="F295" s="359">
        <v>151612</v>
      </c>
      <c r="G295" s="82"/>
      <c r="H295" s="82"/>
      <c r="I295" s="927"/>
      <c r="J295" s="82"/>
      <c r="K295" s="82"/>
      <c r="L295" s="82"/>
      <c r="M295" s="82"/>
      <c r="N295" s="82"/>
      <c r="O295" s="82"/>
      <c r="P295" s="82"/>
      <c r="Q295" s="82">
        <f t="shared" si="22"/>
        <v>0</v>
      </c>
      <c r="R295" s="324"/>
    </row>
    <row r="296" spans="1:18" hidden="1" x14ac:dyDescent="0.2">
      <c r="A296" s="102"/>
      <c r="B296" s="102"/>
      <c r="C296" s="118"/>
      <c r="D296" s="375" t="s">
        <v>909</v>
      </c>
      <c r="E296" s="359">
        <v>1</v>
      </c>
      <c r="F296" s="359">
        <v>152133</v>
      </c>
      <c r="G296" s="82"/>
      <c r="H296" s="82"/>
      <c r="I296" s="927"/>
      <c r="J296" s="82"/>
      <c r="K296" s="82"/>
      <c r="L296" s="82"/>
      <c r="M296" s="82"/>
      <c r="N296" s="82"/>
      <c r="O296" s="82"/>
      <c r="P296" s="82"/>
      <c r="Q296" s="82">
        <f>SUM(G296:P296)</f>
        <v>0</v>
      </c>
      <c r="R296" s="324"/>
    </row>
    <row r="297" spans="1:18" hidden="1" x14ac:dyDescent="0.2">
      <c r="A297" s="102"/>
      <c r="B297" s="102"/>
      <c r="C297" s="118"/>
      <c r="D297" s="452" t="s">
        <v>400</v>
      </c>
      <c r="E297" s="598"/>
      <c r="F297" s="359"/>
      <c r="G297" s="82"/>
      <c r="H297" s="82"/>
      <c r="I297" s="927"/>
      <c r="J297" s="82"/>
      <c r="K297" s="82"/>
      <c r="L297" s="82"/>
      <c r="M297" s="82"/>
      <c r="N297" s="82"/>
      <c r="O297" s="82"/>
      <c r="P297" s="82"/>
      <c r="Q297" s="82"/>
      <c r="R297" s="324"/>
    </row>
    <row r="298" spans="1:18" hidden="1" x14ac:dyDescent="0.2">
      <c r="A298" s="102"/>
      <c r="B298" s="102"/>
      <c r="C298" s="102"/>
      <c r="D298" s="365" t="s">
        <v>446</v>
      </c>
      <c r="E298" s="359">
        <v>1</v>
      </c>
      <c r="F298" s="359">
        <v>151505</v>
      </c>
      <c r="G298" s="82"/>
      <c r="H298" s="82"/>
      <c r="I298" s="927"/>
      <c r="J298" s="82"/>
      <c r="K298" s="82"/>
      <c r="L298" s="82"/>
      <c r="M298" s="82"/>
      <c r="N298" s="82"/>
      <c r="O298" s="82"/>
      <c r="P298" s="82"/>
      <c r="Q298" s="82">
        <f>SUM(G298:P298)</f>
        <v>0</v>
      </c>
      <c r="R298" s="324"/>
    </row>
    <row r="299" spans="1:18" hidden="1" x14ac:dyDescent="0.2">
      <c r="A299" s="102"/>
      <c r="B299" s="102"/>
      <c r="C299" s="118"/>
      <c r="D299" s="375" t="s">
        <v>200</v>
      </c>
      <c r="E299" s="594"/>
      <c r="F299" s="355"/>
      <c r="G299" s="82"/>
      <c r="H299" s="82"/>
      <c r="I299" s="927"/>
      <c r="J299" s="82"/>
      <c r="K299" s="82"/>
      <c r="L299" s="82"/>
      <c r="M299" s="82"/>
      <c r="N299" s="82"/>
      <c r="O299" s="82"/>
      <c r="P299" s="82"/>
      <c r="Q299" s="82"/>
      <c r="R299" s="324"/>
    </row>
    <row r="300" spans="1:18" hidden="1" x14ac:dyDescent="0.2">
      <c r="A300" s="102"/>
      <c r="B300" s="102"/>
      <c r="C300" s="118"/>
      <c r="D300" s="351" t="s">
        <v>809</v>
      </c>
      <c r="E300" s="359">
        <v>2</v>
      </c>
      <c r="F300" s="359">
        <v>151906</v>
      </c>
      <c r="G300" s="82"/>
      <c r="H300" s="82"/>
      <c r="I300" s="927"/>
      <c r="J300" s="82"/>
      <c r="K300" s="82"/>
      <c r="L300" s="82"/>
      <c r="M300" s="82"/>
      <c r="N300" s="82"/>
      <c r="O300" s="82"/>
      <c r="P300" s="82"/>
      <c r="Q300" s="82">
        <f>SUM(G300:P300)</f>
        <v>0</v>
      </c>
      <c r="R300" s="324"/>
    </row>
    <row r="301" spans="1:18" hidden="1" x14ac:dyDescent="0.2">
      <c r="A301" s="102"/>
      <c r="B301" s="102"/>
      <c r="C301" s="118"/>
      <c r="D301" s="351" t="s">
        <v>201</v>
      </c>
      <c r="E301" s="359">
        <v>2</v>
      </c>
      <c r="F301" s="359">
        <v>151907</v>
      </c>
      <c r="G301" s="82"/>
      <c r="H301" s="82"/>
      <c r="I301" s="927"/>
      <c r="J301" s="82"/>
      <c r="K301" s="82"/>
      <c r="L301" s="82"/>
      <c r="M301" s="82"/>
      <c r="N301" s="82"/>
      <c r="O301" s="82"/>
      <c r="P301" s="82"/>
      <c r="Q301" s="82">
        <f>SUM(G301:P301)</f>
        <v>0</v>
      </c>
      <c r="R301" s="324"/>
    </row>
    <row r="302" spans="1:18" ht="17.100000000000001" hidden="1" customHeight="1" x14ac:dyDescent="0.2">
      <c r="A302" s="102"/>
      <c r="B302" s="102"/>
      <c r="C302" s="118"/>
      <c r="D302" s="375" t="s">
        <v>447</v>
      </c>
      <c r="E302" s="594"/>
      <c r="F302" s="355"/>
      <c r="G302" s="82"/>
      <c r="H302" s="82"/>
      <c r="I302" s="927"/>
      <c r="J302" s="82"/>
      <c r="K302" s="82"/>
      <c r="L302" s="82"/>
      <c r="M302" s="82"/>
      <c r="N302" s="82"/>
      <c r="O302" s="82"/>
      <c r="P302" s="82"/>
      <c r="Q302" s="82"/>
      <c r="R302" s="324"/>
    </row>
    <row r="303" spans="1:18" ht="24.75" customHeight="1" x14ac:dyDescent="0.2">
      <c r="A303" s="102"/>
      <c r="B303" s="102"/>
      <c r="C303" s="118"/>
      <c r="D303" s="396" t="s">
        <v>448</v>
      </c>
      <c r="E303" s="355">
        <v>1</v>
      </c>
      <c r="F303" s="359">
        <v>151801</v>
      </c>
      <c r="G303" s="82"/>
      <c r="H303" s="82"/>
      <c r="I303" s="927"/>
      <c r="J303" s="82"/>
      <c r="K303" s="82">
        <v>22500</v>
      </c>
      <c r="L303" s="82"/>
      <c r="M303" s="82"/>
      <c r="N303" s="82"/>
      <c r="O303" s="82"/>
      <c r="P303" s="82"/>
      <c r="Q303" s="82">
        <f>SUM(G303:P303)</f>
        <v>22500</v>
      </c>
      <c r="R303" s="324" t="s">
        <v>1181</v>
      </c>
    </row>
    <row r="304" spans="1:18" ht="17.100000000000001" hidden="1" customHeight="1" x14ac:dyDescent="0.2">
      <c r="A304" s="102"/>
      <c r="B304" s="102"/>
      <c r="C304" s="118"/>
      <c r="D304" s="375" t="s">
        <v>449</v>
      </c>
      <c r="E304" s="594"/>
      <c r="F304" s="355"/>
      <c r="G304" s="82"/>
      <c r="H304" s="82"/>
      <c r="I304" s="927"/>
      <c r="J304" s="82"/>
      <c r="K304" s="82"/>
      <c r="L304" s="82"/>
      <c r="M304" s="82"/>
      <c r="N304" s="82"/>
      <c r="O304" s="82"/>
      <c r="P304" s="82"/>
      <c r="Q304" s="82"/>
      <c r="R304" s="324"/>
    </row>
    <row r="305" spans="1:18" ht="17.100000000000001" customHeight="1" x14ac:dyDescent="0.2">
      <c r="A305" s="102"/>
      <c r="B305" s="102"/>
      <c r="C305" s="118"/>
      <c r="D305" s="375" t="s">
        <v>810</v>
      </c>
      <c r="E305" s="355">
        <v>1</v>
      </c>
      <c r="F305" s="359">
        <v>151201</v>
      </c>
      <c r="G305" s="82"/>
      <c r="H305" s="82"/>
      <c r="I305" s="82">
        <v>-10000</v>
      </c>
      <c r="J305" s="82"/>
      <c r="K305" s="82"/>
      <c r="L305" s="82"/>
      <c r="M305" s="82"/>
      <c r="N305" s="82"/>
      <c r="O305" s="82"/>
      <c r="P305" s="82"/>
      <c r="Q305" s="82">
        <f t="shared" ref="Q305:Q319" si="23">SUM(G305:P305)</f>
        <v>-10000</v>
      </c>
      <c r="R305" s="324" t="s">
        <v>1181</v>
      </c>
    </row>
    <row r="306" spans="1:18" ht="17.100000000000001" hidden="1" customHeight="1" x14ac:dyDescent="0.2">
      <c r="A306" s="102"/>
      <c r="B306" s="102"/>
      <c r="C306" s="118"/>
      <c r="D306" s="375" t="s">
        <v>811</v>
      </c>
      <c r="E306" s="359">
        <v>1</v>
      </c>
      <c r="F306" s="359">
        <v>151209</v>
      </c>
      <c r="G306" s="82"/>
      <c r="H306" s="82"/>
      <c r="I306" s="927"/>
      <c r="J306" s="82"/>
      <c r="K306" s="82"/>
      <c r="L306" s="82"/>
      <c r="M306" s="82"/>
      <c r="N306" s="82"/>
      <c r="O306" s="82"/>
      <c r="P306" s="82"/>
      <c r="Q306" s="82">
        <f t="shared" si="23"/>
        <v>0</v>
      </c>
      <c r="R306" s="324"/>
    </row>
    <row r="307" spans="1:18" ht="17.100000000000001" hidden="1" customHeight="1" x14ac:dyDescent="0.2">
      <c r="A307" s="341"/>
      <c r="B307" s="341"/>
      <c r="C307" s="363"/>
      <c r="D307" s="375" t="s">
        <v>450</v>
      </c>
      <c r="E307" s="355">
        <v>1</v>
      </c>
      <c r="F307" s="359">
        <v>151204</v>
      </c>
      <c r="G307" s="359"/>
      <c r="H307" s="359"/>
      <c r="I307" s="929"/>
      <c r="J307" s="359"/>
      <c r="K307" s="359"/>
      <c r="L307" s="359"/>
      <c r="M307" s="359"/>
      <c r="N307" s="359"/>
      <c r="O307" s="359"/>
      <c r="P307" s="359"/>
      <c r="Q307" s="82">
        <f t="shared" si="23"/>
        <v>0</v>
      </c>
      <c r="R307" s="358"/>
    </row>
    <row r="308" spans="1:18" ht="17.100000000000001" hidden="1" customHeight="1" x14ac:dyDescent="0.2">
      <c r="A308" s="341"/>
      <c r="B308" s="341"/>
      <c r="C308" s="363"/>
      <c r="D308" s="375" t="s">
        <v>451</v>
      </c>
      <c r="E308" s="355">
        <v>1</v>
      </c>
      <c r="F308" s="359">
        <v>151202</v>
      </c>
      <c r="G308" s="359"/>
      <c r="H308" s="359"/>
      <c r="I308" s="929"/>
      <c r="J308" s="359"/>
      <c r="K308" s="359"/>
      <c r="L308" s="359"/>
      <c r="M308" s="359"/>
      <c r="N308" s="359"/>
      <c r="O308" s="359"/>
      <c r="P308" s="359"/>
      <c r="Q308" s="82">
        <f t="shared" si="23"/>
        <v>0</v>
      </c>
      <c r="R308" s="358"/>
    </row>
    <row r="309" spans="1:18" ht="25.9" customHeight="1" x14ac:dyDescent="0.2">
      <c r="A309" s="341"/>
      <c r="B309" s="341"/>
      <c r="C309" s="363"/>
      <c r="D309" s="396" t="s">
        <v>715</v>
      </c>
      <c r="E309" s="355">
        <v>1</v>
      </c>
      <c r="F309" s="359">
        <v>151208</v>
      </c>
      <c r="G309" s="359"/>
      <c r="H309" s="359"/>
      <c r="I309" s="359">
        <v>-8220</v>
      </c>
      <c r="J309" s="359"/>
      <c r="K309" s="359"/>
      <c r="L309" s="359"/>
      <c r="M309" s="359"/>
      <c r="N309" s="359"/>
      <c r="O309" s="359"/>
      <c r="P309" s="359"/>
      <c r="Q309" s="82">
        <f t="shared" si="23"/>
        <v>-8220</v>
      </c>
      <c r="R309" s="358" t="s">
        <v>1182</v>
      </c>
    </row>
    <row r="310" spans="1:18" ht="17.100000000000001" hidden="1" customHeight="1" x14ac:dyDescent="0.2">
      <c r="A310" s="341"/>
      <c r="B310" s="341"/>
      <c r="C310" s="363"/>
      <c r="D310" s="375" t="s">
        <v>452</v>
      </c>
      <c r="E310" s="355">
        <v>1</v>
      </c>
      <c r="F310" s="359">
        <v>151205</v>
      </c>
      <c r="G310" s="359"/>
      <c r="H310" s="359"/>
      <c r="I310" s="359"/>
      <c r="J310" s="359"/>
      <c r="K310" s="359"/>
      <c r="L310" s="359"/>
      <c r="M310" s="359"/>
      <c r="N310" s="359"/>
      <c r="O310" s="359"/>
      <c r="P310" s="359"/>
      <c r="Q310" s="82">
        <f t="shared" si="23"/>
        <v>0</v>
      </c>
      <c r="R310" s="358"/>
    </row>
    <row r="311" spans="1:18" ht="17.100000000000001" hidden="1" customHeight="1" x14ac:dyDescent="0.2">
      <c r="A311" s="341"/>
      <c r="B311" s="341"/>
      <c r="C311" s="363"/>
      <c r="D311" s="375" t="s">
        <v>453</v>
      </c>
      <c r="E311" s="594"/>
      <c r="F311" s="359"/>
      <c r="G311" s="359"/>
      <c r="H311" s="359"/>
      <c r="I311" s="359"/>
      <c r="J311" s="359"/>
      <c r="K311" s="359"/>
      <c r="L311" s="359"/>
      <c r="M311" s="359"/>
      <c r="N311" s="359"/>
      <c r="O311" s="359"/>
      <c r="P311" s="359"/>
      <c r="Q311" s="82"/>
      <c r="R311" s="358"/>
    </row>
    <row r="312" spans="1:18" ht="17.100000000000001" hidden="1" customHeight="1" x14ac:dyDescent="0.2">
      <c r="A312" s="341"/>
      <c r="B312" s="341"/>
      <c r="C312" s="363"/>
      <c r="D312" s="375" t="s">
        <v>776</v>
      </c>
      <c r="E312" s="355">
        <v>1</v>
      </c>
      <c r="F312" s="359">
        <v>151902</v>
      </c>
      <c r="G312" s="359"/>
      <c r="H312" s="359"/>
      <c r="I312" s="359"/>
      <c r="J312" s="359"/>
      <c r="K312" s="359"/>
      <c r="L312" s="359"/>
      <c r="M312" s="359"/>
      <c r="N312" s="359"/>
      <c r="O312" s="359"/>
      <c r="P312" s="359"/>
      <c r="Q312" s="82">
        <f t="shared" si="23"/>
        <v>0</v>
      </c>
      <c r="R312" s="358"/>
    </row>
    <row r="313" spans="1:18" ht="23.25" hidden="1" customHeight="1" x14ac:dyDescent="0.2">
      <c r="A313" s="341"/>
      <c r="B313" s="341"/>
      <c r="C313" s="363"/>
      <c r="D313" s="396" t="s">
        <v>454</v>
      </c>
      <c r="E313" s="355">
        <v>1</v>
      </c>
      <c r="F313" s="359">
        <v>151925</v>
      </c>
      <c r="G313" s="359"/>
      <c r="H313" s="359"/>
      <c r="I313" s="359"/>
      <c r="J313" s="359"/>
      <c r="K313" s="359"/>
      <c r="L313" s="359"/>
      <c r="M313" s="359"/>
      <c r="N313" s="359"/>
      <c r="O313" s="359"/>
      <c r="P313" s="359"/>
      <c r="Q313" s="82">
        <f t="shared" si="23"/>
        <v>0</v>
      </c>
      <c r="R313" s="358"/>
    </row>
    <row r="314" spans="1:18" ht="17.100000000000001" hidden="1" customHeight="1" x14ac:dyDescent="0.2">
      <c r="A314" s="341"/>
      <c r="B314" s="341"/>
      <c r="C314" s="363"/>
      <c r="D314" s="365" t="s">
        <v>209</v>
      </c>
      <c r="E314" s="596"/>
      <c r="F314" s="367"/>
      <c r="G314" s="359"/>
      <c r="H314" s="359"/>
      <c r="I314" s="359"/>
      <c r="J314" s="359"/>
      <c r="K314" s="359"/>
      <c r="L314" s="359"/>
      <c r="M314" s="359"/>
      <c r="N314" s="359"/>
      <c r="O314" s="359"/>
      <c r="P314" s="359"/>
      <c r="Q314" s="82"/>
      <c r="R314" s="358"/>
    </row>
    <row r="315" spans="1:18" ht="24" hidden="1" customHeight="1" x14ac:dyDescent="0.2">
      <c r="A315" s="341"/>
      <c r="B315" s="341"/>
      <c r="C315" s="363"/>
      <c r="D315" s="365" t="s">
        <v>455</v>
      </c>
      <c r="E315" s="367">
        <v>2</v>
      </c>
      <c r="F315" s="368">
        <v>151910</v>
      </c>
      <c r="G315" s="359"/>
      <c r="H315" s="359"/>
      <c r="I315" s="359"/>
      <c r="J315" s="359"/>
      <c r="K315" s="359"/>
      <c r="L315" s="359"/>
      <c r="M315" s="359"/>
      <c r="N315" s="359"/>
      <c r="O315" s="359"/>
      <c r="P315" s="359"/>
      <c r="Q315" s="82">
        <f t="shared" si="23"/>
        <v>0</v>
      </c>
      <c r="R315" s="358"/>
    </row>
    <row r="316" spans="1:18" ht="17.100000000000001" hidden="1" customHeight="1" x14ac:dyDescent="0.2">
      <c r="A316" s="341"/>
      <c r="B316" s="341"/>
      <c r="C316" s="363"/>
      <c r="D316" s="365" t="s">
        <v>231</v>
      </c>
      <c r="E316" s="596"/>
      <c r="F316" s="367"/>
      <c r="G316" s="359"/>
      <c r="H316" s="359"/>
      <c r="I316" s="359"/>
      <c r="J316" s="359"/>
      <c r="K316" s="359"/>
      <c r="L316" s="359"/>
      <c r="M316" s="359"/>
      <c r="N316" s="359"/>
      <c r="O316" s="359"/>
      <c r="P316" s="359"/>
      <c r="Q316" s="82"/>
      <c r="R316" s="358"/>
    </row>
    <row r="317" spans="1:18" ht="24" hidden="1" customHeight="1" x14ac:dyDescent="0.2">
      <c r="A317" s="341"/>
      <c r="B317" s="341"/>
      <c r="C317" s="363"/>
      <c r="D317" s="365" t="s">
        <v>456</v>
      </c>
      <c r="E317" s="367">
        <v>1</v>
      </c>
      <c r="F317" s="368">
        <v>152915</v>
      </c>
      <c r="G317" s="359"/>
      <c r="H317" s="359"/>
      <c r="I317" s="359"/>
      <c r="J317" s="359"/>
      <c r="K317" s="359"/>
      <c r="L317" s="359"/>
      <c r="M317" s="359"/>
      <c r="N317" s="359"/>
      <c r="O317" s="359"/>
      <c r="P317" s="359"/>
      <c r="Q317" s="82">
        <f t="shared" si="23"/>
        <v>0</v>
      </c>
      <c r="R317" s="358"/>
    </row>
    <row r="318" spans="1:18" ht="17.100000000000001" hidden="1" customHeight="1" x14ac:dyDescent="0.2">
      <c r="A318" s="341"/>
      <c r="B318" s="341"/>
      <c r="C318" s="363"/>
      <c r="D318" s="375" t="s">
        <v>457</v>
      </c>
      <c r="E318" s="594"/>
      <c r="F318" s="355"/>
      <c r="G318" s="359"/>
      <c r="H318" s="359"/>
      <c r="I318" s="359"/>
      <c r="J318" s="359"/>
      <c r="K318" s="359"/>
      <c r="L318" s="359"/>
      <c r="M318" s="359"/>
      <c r="N318" s="359"/>
      <c r="O318" s="359"/>
      <c r="P318" s="359"/>
      <c r="Q318" s="82"/>
      <c r="R318" s="358"/>
    </row>
    <row r="319" spans="1:18" ht="17.100000000000001" hidden="1" customHeight="1" x14ac:dyDescent="0.2">
      <c r="A319" s="341"/>
      <c r="B319" s="341"/>
      <c r="C319" s="363"/>
      <c r="D319" s="375" t="s">
        <v>458</v>
      </c>
      <c r="E319" s="359">
        <v>1</v>
      </c>
      <c r="F319" s="359">
        <v>151704</v>
      </c>
      <c r="G319" s="359"/>
      <c r="H319" s="359"/>
      <c r="I319" s="359"/>
      <c r="J319" s="359"/>
      <c r="K319" s="359"/>
      <c r="L319" s="359"/>
      <c r="M319" s="359"/>
      <c r="N319" s="359"/>
      <c r="O319" s="359"/>
      <c r="P319" s="359"/>
      <c r="Q319" s="82">
        <f t="shared" si="23"/>
        <v>0</v>
      </c>
      <c r="R319" s="358"/>
    </row>
    <row r="320" spans="1:18" ht="20.25" customHeight="1" x14ac:dyDescent="0.2">
      <c r="A320" s="124"/>
      <c r="B320" s="124"/>
      <c r="C320" s="125"/>
      <c r="D320" s="240" t="s">
        <v>459</v>
      </c>
      <c r="E320" s="127"/>
      <c r="F320" s="128"/>
      <c r="G320" s="128">
        <f t="shared" ref="G320:Q320" si="24">SUM(G227:G319)</f>
        <v>8</v>
      </c>
      <c r="H320" s="128">
        <f t="shared" si="24"/>
        <v>0</v>
      </c>
      <c r="I320" s="128">
        <f t="shared" si="24"/>
        <v>-59581</v>
      </c>
      <c r="J320" s="128">
        <f t="shared" si="24"/>
        <v>0</v>
      </c>
      <c r="K320" s="128">
        <f t="shared" si="24"/>
        <v>22500</v>
      </c>
      <c r="L320" s="128">
        <f t="shared" si="24"/>
        <v>1000</v>
      </c>
      <c r="M320" s="128">
        <f t="shared" si="24"/>
        <v>-3000</v>
      </c>
      <c r="N320" s="128">
        <f t="shared" si="24"/>
        <v>0</v>
      </c>
      <c r="O320" s="128">
        <f t="shared" si="24"/>
        <v>0</v>
      </c>
      <c r="P320" s="128">
        <f t="shared" si="24"/>
        <v>0</v>
      </c>
      <c r="Q320" s="128">
        <f t="shared" si="24"/>
        <v>-39073</v>
      </c>
      <c r="R320" s="325"/>
    </row>
    <row r="321" spans="1:18" ht="17.100000000000001" customHeight="1" x14ac:dyDescent="0.2">
      <c r="A321" s="129"/>
      <c r="B321" s="129"/>
      <c r="C321" s="129"/>
      <c r="D321" s="143" t="s">
        <v>291</v>
      </c>
      <c r="E321" s="131"/>
      <c r="F321" s="132"/>
      <c r="G321" s="132"/>
      <c r="H321" s="132"/>
      <c r="I321" s="132"/>
      <c r="J321" s="132"/>
      <c r="K321" s="132"/>
      <c r="L321" s="132"/>
      <c r="M321" s="132"/>
      <c r="N321" s="132"/>
      <c r="O321" s="132"/>
      <c r="P321" s="132"/>
      <c r="Q321" s="132"/>
      <c r="R321" s="324"/>
    </row>
    <row r="322" spans="1:18" ht="17.25" hidden="1" customHeight="1" x14ac:dyDescent="0.2">
      <c r="A322" s="129"/>
      <c r="B322" s="129"/>
      <c r="C322" s="599" t="s">
        <v>86</v>
      </c>
      <c r="D322" s="760" t="s">
        <v>460</v>
      </c>
      <c r="E322" s="662"/>
      <c r="F322" s="362"/>
      <c r="G322" s="82"/>
      <c r="H322" s="82"/>
      <c r="I322" s="82"/>
      <c r="J322" s="82"/>
      <c r="K322" s="82"/>
      <c r="L322" s="82"/>
      <c r="M322" s="82"/>
      <c r="N322" s="82"/>
      <c r="O322" s="82"/>
      <c r="P322" s="82"/>
      <c r="Q322" s="132"/>
      <c r="R322" s="324"/>
    </row>
    <row r="323" spans="1:18" ht="17.25" customHeight="1" x14ac:dyDescent="0.2">
      <c r="A323" s="660"/>
      <c r="B323" s="660"/>
      <c r="C323" s="714" t="s">
        <v>1091</v>
      </c>
      <c r="D323" s="761" t="s">
        <v>1090</v>
      </c>
      <c r="E323" s="662"/>
      <c r="F323" s="684">
        <v>152112</v>
      </c>
      <c r="G323" s="663"/>
      <c r="H323" s="663"/>
      <c r="I323" s="663">
        <v>-4000</v>
      </c>
      <c r="J323" s="663"/>
      <c r="K323" s="663"/>
      <c r="L323" s="663">
        <v>1161</v>
      </c>
      <c r="M323" s="663">
        <v>15660</v>
      </c>
      <c r="N323" s="663"/>
      <c r="O323" s="663"/>
      <c r="P323" s="663"/>
      <c r="Q323" s="359">
        <f t="shared" ref="Q323:Q358" si="25">SUM(G323:P323)</f>
        <v>12821</v>
      </c>
      <c r="R323" s="666" t="s">
        <v>1182</v>
      </c>
    </row>
    <row r="324" spans="1:18" ht="17.25" hidden="1" customHeight="1" x14ac:dyDescent="0.2">
      <c r="A324" s="360"/>
      <c r="B324" s="360"/>
      <c r="C324" s="370" t="s">
        <v>294</v>
      </c>
      <c r="D324" s="376" t="s">
        <v>812</v>
      </c>
      <c r="E324" s="601"/>
      <c r="F324" s="598">
        <v>154135</v>
      </c>
      <c r="G324" s="359"/>
      <c r="H324" s="359"/>
      <c r="I324" s="359"/>
      <c r="J324" s="359"/>
      <c r="K324" s="359"/>
      <c r="L324" s="359"/>
      <c r="M324" s="359"/>
      <c r="N324" s="359"/>
      <c r="O324" s="359"/>
      <c r="P324" s="359"/>
      <c r="Q324" s="359">
        <f t="shared" si="25"/>
        <v>0</v>
      </c>
      <c r="R324" s="358"/>
    </row>
    <row r="325" spans="1:18" ht="17.25" hidden="1" customHeight="1" x14ac:dyDescent="0.2">
      <c r="A325" s="360"/>
      <c r="B325" s="360"/>
      <c r="C325" s="370" t="s">
        <v>296</v>
      </c>
      <c r="D325" s="373" t="s">
        <v>910</v>
      </c>
      <c r="E325" s="601"/>
      <c r="F325" s="598">
        <v>162171</v>
      </c>
      <c r="G325" s="359"/>
      <c r="H325" s="359"/>
      <c r="I325" s="359"/>
      <c r="J325" s="359"/>
      <c r="K325" s="359"/>
      <c r="L325" s="359"/>
      <c r="M325" s="359"/>
      <c r="N325" s="359"/>
      <c r="O325" s="359"/>
      <c r="P325" s="359"/>
      <c r="Q325" s="359">
        <f t="shared" si="25"/>
        <v>0</v>
      </c>
      <c r="R325" s="358"/>
    </row>
    <row r="326" spans="1:18" ht="17.25" hidden="1" customHeight="1" x14ac:dyDescent="0.2">
      <c r="A326" s="360"/>
      <c r="B326" s="360"/>
      <c r="C326" s="454" t="s">
        <v>85</v>
      </c>
      <c r="D326" s="602" t="s">
        <v>463</v>
      </c>
      <c r="E326" s="601"/>
      <c r="F326" s="598"/>
      <c r="G326" s="359"/>
      <c r="H326" s="359"/>
      <c r="I326" s="359"/>
      <c r="J326" s="359"/>
      <c r="K326" s="359"/>
      <c r="L326" s="359"/>
      <c r="M326" s="359"/>
      <c r="N326" s="359"/>
      <c r="O326" s="359"/>
      <c r="P326" s="359"/>
      <c r="Q326" s="359"/>
      <c r="R326" s="358"/>
    </row>
    <row r="327" spans="1:18" ht="17.25" hidden="1" customHeight="1" x14ac:dyDescent="0.2">
      <c r="A327" s="360"/>
      <c r="B327" s="360"/>
      <c r="C327" s="371" t="s">
        <v>87</v>
      </c>
      <c r="D327" s="455" t="s">
        <v>464</v>
      </c>
      <c r="E327" s="601"/>
      <c r="F327" s="601"/>
      <c r="G327" s="359"/>
      <c r="H327" s="359"/>
      <c r="I327" s="359"/>
      <c r="J327" s="359"/>
      <c r="K327" s="359"/>
      <c r="L327" s="359"/>
      <c r="M327" s="359"/>
      <c r="N327" s="359"/>
      <c r="O327" s="359"/>
      <c r="P327" s="359"/>
      <c r="Q327" s="359"/>
      <c r="R327" s="358"/>
    </row>
    <row r="328" spans="1:18" ht="17.25" hidden="1" customHeight="1" x14ac:dyDescent="0.2">
      <c r="A328" s="360"/>
      <c r="B328" s="360"/>
      <c r="C328" s="370" t="s">
        <v>388</v>
      </c>
      <c r="D328" s="449" t="s">
        <v>911</v>
      </c>
      <c r="E328" s="601"/>
      <c r="F328" s="598">
        <v>152317</v>
      </c>
      <c r="G328" s="359"/>
      <c r="H328" s="359"/>
      <c r="I328" s="359"/>
      <c r="J328" s="359"/>
      <c r="K328" s="359"/>
      <c r="L328" s="359"/>
      <c r="M328" s="359"/>
      <c r="N328" s="359"/>
      <c r="O328" s="359"/>
      <c r="P328" s="359"/>
      <c r="Q328" s="359">
        <f t="shared" si="25"/>
        <v>0</v>
      </c>
      <c r="R328" s="358"/>
    </row>
    <row r="329" spans="1:18" ht="17.25" hidden="1" customHeight="1" x14ac:dyDescent="0.2">
      <c r="A329" s="360"/>
      <c r="B329" s="360"/>
      <c r="C329" s="341" t="s">
        <v>912</v>
      </c>
      <c r="D329" s="373" t="s">
        <v>913</v>
      </c>
      <c r="E329" s="598"/>
      <c r="F329" s="598">
        <v>162307</v>
      </c>
      <c r="G329" s="359"/>
      <c r="H329" s="359"/>
      <c r="I329" s="359"/>
      <c r="J329" s="359"/>
      <c r="K329" s="359"/>
      <c r="L329" s="359"/>
      <c r="M329" s="359"/>
      <c r="N329" s="359"/>
      <c r="O329" s="359"/>
      <c r="P329" s="359"/>
      <c r="Q329" s="359">
        <f t="shared" si="25"/>
        <v>0</v>
      </c>
      <c r="R329" s="358"/>
    </row>
    <row r="330" spans="1:18" ht="17.25" hidden="1" customHeight="1" x14ac:dyDescent="0.2">
      <c r="A330" s="360"/>
      <c r="B330" s="360"/>
      <c r="C330" s="371"/>
      <c r="D330" s="351" t="s">
        <v>868</v>
      </c>
      <c r="E330" s="601"/>
      <c r="F330" s="598"/>
      <c r="G330" s="359"/>
      <c r="H330" s="359"/>
      <c r="I330" s="359"/>
      <c r="J330" s="359"/>
      <c r="K330" s="359"/>
      <c r="L330" s="359"/>
      <c r="M330" s="359"/>
      <c r="N330" s="359"/>
      <c r="O330" s="359"/>
      <c r="P330" s="359"/>
      <c r="Q330" s="359"/>
      <c r="R330" s="358"/>
    </row>
    <row r="331" spans="1:18" ht="17.25" customHeight="1" x14ac:dyDescent="0.2">
      <c r="A331" s="360"/>
      <c r="B331" s="360"/>
      <c r="C331" s="603" t="s">
        <v>465</v>
      </c>
      <c r="D331" s="372" t="s">
        <v>466</v>
      </c>
      <c r="E331" s="601"/>
      <c r="F331" s="598">
        <v>152301</v>
      </c>
      <c r="G331" s="359"/>
      <c r="H331" s="359"/>
      <c r="I331" s="359"/>
      <c r="J331" s="359"/>
      <c r="K331" s="359"/>
      <c r="L331" s="359">
        <v>2158</v>
      </c>
      <c r="M331" s="359">
        <v>6062</v>
      </c>
      <c r="N331" s="359"/>
      <c r="O331" s="359"/>
      <c r="P331" s="359"/>
      <c r="Q331" s="359">
        <f t="shared" si="25"/>
        <v>8220</v>
      </c>
      <c r="R331" s="358" t="s">
        <v>1182</v>
      </c>
    </row>
    <row r="332" spans="1:18" ht="17.25" customHeight="1" x14ac:dyDescent="0.2">
      <c r="A332" s="360"/>
      <c r="B332" s="360"/>
      <c r="C332" s="603" t="s">
        <v>914</v>
      </c>
      <c r="D332" s="373" t="s">
        <v>1092</v>
      </c>
      <c r="E332" s="598"/>
      <c r="F332" s="598">
        <v>154302</v>
      </c>
      <c r="G332" s="359"/>
      <c r="H332" s="359"/>
      <c r="I332" s="359"/>
      <c r="J332" s="359"/>
      <c r="K332" s="359"/>
      <c r="L332" s="359">
        <v>-4720</v>
      </c>
      <c r="M332" s="359">
        <v>15720</v>
      </c>
      <c r="N332" s="929"/>
      <c r="O332" s="359"/>
      <c r="P332" s="359"/>
      <c r="Q332" s="359">
        <f t="shared" si="25"/>
        <v>11000</v>
      </c>
      <c r="R332" s="358" t="s">
        <v>1182</v>
      </c>
    </row>
    <row r="333" spans="1:18" ht="17.25" hidden="1" customHeight="1" x14ac:dyDescent="0.2">
      <c r="A333" s="360"/>
      <c r="B333" s="360"/>
      <c r="C333" s="371" t="s">
        <v>88</v>
      </c>
      <c r="D333" s="374" t="s">
        <v>915</v>
      </c>
      <c r="E333" s="598"/>
      <c r="F333" s="598"/>
      <c r="G333" s="359"/>
      <c r="H333" s="359"/>
      <c r="I333" s="929"/>
      <c r="J333" s="929"/>
      <c r="K333" s="929"/>
      <c r="L333" s="929"/>
      <c r="M333" s="929"/>
      <c r="N333" s="929"/>
      <c r="O333" s="359"/>
      <c r="P333" s="359"/>
      <c r="Q333" s="359"/>
      <c r="R333" s="358"/>
    </row>
    <row r="334" spans="1:18" ht="17.25" hidden="1" customHeight="1" x14ac:dyDescent="0.2">
      <c r="A334" s="360"/>
      <c r="B334" s="360"/>
      <c r="C334" s="603" t="s">
        <v>916</v>
      </c>
      <c r="D334" s="376" t="s">
        <v>917</v>
      </c>
      <c r="E334" s="598"/>
      <c r="F334" s="598">
        <v>152426</v>
      </c>
      <c r="G334" s="359"/>
      <c r="H334" s="359"/>
      <c r="I334" s="929"/>
      <c r="J334" s="929"/>
      <c r="K334" s="929"/>
      <c r="L334" s="929"/>
      <c r="M334" s="929"/>
      <c r="N334" s="929"/>
      <c r="O334" s="359"/>
      <c r="P334" s="359"/>
      <c r="Q334" s="359">
        <f t="shared" si="25"/>
        <v>0</v>
      </c>
      <c r="R334" s="358"/>
    </row>
    <row r="335" spans="1:18" ht="28.5" customHeight="1" x14ac:dyDescent="0.2">
      <c r="A335" s="660"/>
      <c r="B335" s="660"/>
      <c r="C335" s="685" t="s">
        <v>990</v>
      </c>
      <c r="D335" s="708" t="s">
        <v>1093</v>
      </c>
      <c r="E335" s="684"/>
      <c r="F335" s="684">
        <v>154414</v>
      </c>
      <c r="G335" s="663"/>
      <c r="H335" s="663"/>
      <c r="I335" s="928"/>
      <c r="J335" s="663"/>
      <c r="K335" s="663"/>
      <c r="L335" s="663"/>
      <c r="M335" s="663">
        <v>2393</v>
      </c>
      <c r="N335" s="928"/>
      <c r="O335" s="663"/>
      <c r="P335" s="663"/>
      <c r="Q335" s="359">
        <f t="shared" si="25"/>
        <v>2393</v>
      </c>
      <c r="R335" s="666" t="s">
        <v>1182</v>
      </c>
    </row>
    <row r="336" spans="1:18" ht="17.25" hidden="1" customHeight="1" x14ac:dyDescent="0.2">
      <c r="A336" s="660"/>
      <c r="B336" s="660"/>
      <c r="C336" s="685" t="s">
        <v>1007</v>
      </c>
      <c r="D336" s="683" t="s">
        <v>1008</v>
      </c>
      <c r="E336" s="684"/>
      <c r="F336" s="684">
        <v>154404</v>
      </c>
      <c r="G336" s="663"/>
      <c r="H336" s="663"/>
      <c r="I336" s="928"/>
      <c r="J336" s="928"/>
      <c r="K336" s="928"/>
      <c r="L336" s="928"/>
      <c r="M336" s="928"/>
      <c r="N336" s="928"/>
      <c r="O336" s="663"/>
      <c r="P336" s="663"/>
      <c r="Q336" s="359">
        <f t="shared" si="25"/>
        <v>0</v>
      </c>
      <c r="R336" s="666"/>
    </row>
    <row r="337" spans="1:18" ht="27.6" customHeight="1" x14ac:dyDescent="0.2">
      <c r="A337" s="660"/>
      <c r="B337" s="660"/>
      <c r="C337" s="685" t="s">
        <v>1009</v>
      </c>
      <c r="D337" s="708" t="s">
        <v>1010</v>
      </c>
      <c r="E337" s="684"/>
      <c r="F337" s="684">
        <v>154401</v>
      </c>
      <c r="G337" s="663"/>
      <c r="H337" s="663"/>
      <c r="I337" s="928"/>
      <c r="J337" s="928"/>
      <c r="K337" s="928"/>
      <c r="L337" s="928"/>
      <c r="M337" s="663">
        <v>419</v>
      </c>
      <c r="N337" s="928"/>
      <c r="O337" s="663"/>
      <c r="P337" s="663"/>
      <c r="Q337" s="359">
        <f t="shared" si="25"/>
        <v>419</v>
      </c>
      <c r="R337" s="666" t="s">
        <v>1182</v>
      </c>
    </row>
    <row r="338" spans="1:18" ht="17.25" hidden="1" customHeight="1" x14ac:dyDescent="0.2">
      <c r="A338" s="660"/>
      <c r="B338" s="660"/>
      <c r="C338" s="685" t="s">
        <v>1011</v>
      </c>
      <c r="D338" s="708" t="s">
        <v>1012</v>
      </c>
      <c r="E338" s="684"/>
      <c r="F338" s="684">
        <v>154402</v>
      </c>
      <c r="G338" s="663"/>
      <c r="H338" s="663"/>
      <c r="I338" s="928"/>
      <c r="J338" s="928"/>
      <c r="K338" s="928"/>
      <c r="L338" s="928"/>
      <c r="M338" s="928"/>
      <c r="N338" s="928"/>
      <c r="O338" s="663"/>
      <c r="P338" s="663"/>
      <c r="Q338" s="359">
        <f t="shared" si="25"/>
        <v>0</v>
      </c>
      <c r="R338" s="666"/>
    </row>
    <row r="339" spans="1:18" ht="17.25" customHeight="1" x14ac:dyDescent="0.2">
      <c r="A339" s="660"/>
      <c r="B339" s="660"/>
      <c r="C339" s="685" t="s">
        <v>1014</v>
      </c>
      <c r="D339" s="708" t="s">
        <v>1013</v>
      </c>
      <c r="E339" s="684"/>
      <c r="F339" s="684">
        <v>154454</v>
      </c>
      <c r="G339" s="663"/>
      <c r="H339" s="663"/>
      <c r="I339" s="928"/>
      <c r="J339" s="928"/>
      <c r="K339" s="928"/>
      <c r="L339" s="928"/>
      <c r="M339" s="663">
        <v>9500</v>
      </c>
      <c r="N339" s="928"/>
      <c r="O339" s="663"/>
      <c r="P339" s="663"/>
      <c r="Q339" s="663">
        <f t="shared" si="25"/>
        <v>9500</v>
      </c>
      <c r="R339" s="666" t="s">
        <v>1182</v>
      </c>
    </row>
    <row r="340" spans="1:18" ht="17.25" customHeight="1" x14ac:dyDescent="0.2">
      <c r="A340" s="660"/>
      <c r="B340" s="660"/>
      <c r="C340" s="685" t="s">
        <v>1017</v>
      </c>
      <c r="D340" s="708" t="s">
        <v>1015</v>
      </c>
      <c r="E340" s="684"/>
      <c r="F340" s="684">
        <v>154407</v>
      </c>
      <c r="G340" s="663"/>
      <c r="H340" s="663"/>
      <c r="I340" s="928"/>
      <c r="J340" s="928"/>
      <c r="K340" s="928"/>
      <c r="L340" s="928"/>
      <c r="M340" s="663">
        <v>-2000</v>
      </c>
      <c r="N340" s="928"/>
      <c r="O340" s="663"/>
      <c r="P340" s="663"/>
      <c r="Q340" s="663">
        <f t="shared" si="25"/>
        <v>-2000</v>
      </c>
      <c r="R340" s="666" t="s">
        <v>1182</v>
      </c>
    </row>
    <row r="341" spans="1:18" ht="17.25" customHeight="1" x14ac:dyDescent="0.2">
      <c r="A341" s="660"/>
      <c r="B341" s="660"/>
      <c r="C341" s="685" t="s">
        <v>1055</v>
      </c>
      <c r="D341" s="708" t="s">
        <v>1016</v>
      </c>
      <c r="E341" s="684"/>
      <c r="F341" s="684">
        <v>152459</v>
      </c>
      <c r="G341" s="663"/>
      <c r="H341" s="663"/>
      <c r="I341" s="928"/>
      <c r="J341" s="928"/>
      <c r="K341" s="928"/>
      <c r="L341" s="663">
        <v>3800</v>
      </c>
      <c r="M341" s="928"/>
      <c r="N341" s="928"/>
      <c r="O341" s="663"/>
      <c r="P341" s="663"/>
      <c r="Q341" s="663">
        <f t="shared" si="25"/>
        <v>3800</v>
      </c>
      <c r="R341" s="666" t="s">
        <v>1182</v>
      </c>
    </row>
    <row r="342" spans="1:18" ht="17.25" hidden="1" customHeight="1" x14ac:dyDescent="0.2">
      <c r="A342" s="660"/>
      <c r="B342" s="660"/>
      <c r="C342" s="685" t="s">
        <v>1056</v>
      </c>
      <c r="D342" s="708" t="s">
        <v>1052</v>
      </c>
      <c r="E342" s="684"/>
      <c r="F342" s="684">
        <v>154472</v>
      </c>
      <c r="G342" s="663"/>
      <c r="H342" s="663"/>
      <c r="I342" s="928"/>
      <c r="J342" s="928"/>
      <c r="K342" s="928"/>
      <c r="L342" s="928"/>
      <c r="M342" s="928"/>
      <c r="N342" s="928"/>
      <c r="O342" s="663"/>
      <c r="P342" s="663"/>
      <c r="Q342" s="663">
        <f t="shared" si="25"/>
        <v>0</v>
      </c>
      <c r="R342" s="666"/>
    </row>
    <row r="343" spans="1:18" ht="17.25" customHeight="1" x14ac:dyDescent="0.2">
      <c r="A343" s="660"/>
      <c r="B343" s="660"/>
      <c r="C343" s="685" t="s">
        <v>1057</v>
      </c>
      <c r="D343" s="708" t="s">
        <v>1053</v>
      </c>
      <c r="E343" s="684"/>
      <c r="F343" s="684">
        <v>154476</v>
      </c>
      <c r="G343" s="663"/>
      <c r="H343" s="663"/>
      <c r="I343" s="928"/>
      <c r="J343" s="928"/>
      <c r="K343" s="928"/>
      <c r="L343" s="663">
        <v>530</v>
      </c>
      <c r="M343" s="928"/>
      <c r="N343" s="928"/>
      <c r="O343" s="663"/>
      <c r="P343" s="663"/>
      <c r="Q343" s="663">
        <f t="shared" si="25"/>
        <v>530</v>
      </c>
      <c r="R343" s="666" t="s">
        <v>1182</v>
      </c>
    </row>
    <row r="344" spans="1:18" ht="25.15" customHeight="1" x14ac:dyDescent="0.2">
      <c r="A344" s="660"/>
      <c r="B344" s="660"/>
      <c r="C344" s="685" t="s">
        <v>1058</v>
      </c>
      <c r="D344" s="708" t="s">
        <v>1054</v>
      </c>
      <c r="E344" s="684"/>
      <c r="F344" s="684">
        <v>152468</v>
      </c>
      <c r="G344" s="663"/>
      <c r="H344" s="663"/>
      <c r="I344" s="663">
        <v>2178</v>
      </c>
      <c r="J344" s="663"/>
      <c r="K344" s="663"/>
      <c r="L344" s="663">
        <v>-1878</v>
      </c>
      <c r="M344" s="663"/>
      <c r="N344" s="928"/>
      <c r="O344" s="663"/>
      <c r="P344" s="663"/>
      <c r="Q344" s="663">
        <f t="shared" si="25"/>
        <v>300</v>
      </c>
      <c r="R344" s="666" t="s">
        <v>1182</v>
      </c>
    </row>
    <row r="345" spans="1:18" ht="25.15" hidden="1" customHeight="1" x14ac:dyDescent="0.2">
      <c r="A345" s="660"/>
      <c r="B345" s="660"/>
      <c r="C345" s="762" t="s">
        <v>1094</v>
      </c>
      <c r="D345" s="708" t="s">
        <v>1095</v>
      </c>
      <c r="E345" s="684"/>
      <c r="F345" s="684">
        <v>154408</v>
      </c>
      <c r="G345" s="663"/>
      <c r="H345" s="663"/>
      <c r="I345" s="928"/>
      <c r="J345" s="928"/>
      <c r="K345" s="928"/>
      <c r="L345" s="928"/>
      <c r="M345" s="928"/>
      <c r="N345" s="928"/>
      <c r="O345" s="663"/>
      <c r="P345" s="663"/>
      <c r="Q345" s="663">
        <f t="shared" si="25"/>
        <v>0</v>
      </c>
      <c r="R345" s="666"/>
    </row>
    <row r="346" spans="1:18" ht="16.5" hidden="1" customHeight="1" x14ac:dyDescent="0.2">
      <c r="A346" s="814"/>
      <c r="B346" s="814"/>
      <c r="C346" s="762" t="s">
        <v>1131</v>
      </c>
      <c r="D346" s="818" t="s">
        <v>1132</v>
      </c>
      <c r="E346" s="810"/>
      <c r="F346" s="810">
        <v>154925</v>
      </c>
      <c r="G346" s="811"/>
      <c r="H346" s="811"/>
      <c r="I346" s="930"/>
      <c r="J346" s="930"/>
      <c r="K346" s="930"/>
      <c r="L346" s="930"/>
      <c r="M346" s="930"/>
      <c r="N346" s="930"/>
      <c r="O346" s="811"/>
      <c r="P346" s="811"/>
      <c r="Q346" s="663">
        <f t="shared" si="25"/>
        <v>0</v>
      </c>
      <c r="R346" s="812"/>
    </row>
    <row r="347" spans="1:18" ht="16.5" customHeight="1" x14ac:dyDescent="0.2">
      <c r="A347" s="814"/>
      <c r="B347" s="814"/>
      <c r="C347" s="762" t="s">
        <v>1133</v>
      </c>
      <c r="D347" s="819" t="s">
        <v>1134</v>
      </c>
      <c r="E347" s="810"/>
      <c r="F347" s="810">
        <v>152469</v>
      </c>
      <c r="G347" s="811"/>
      <c r="H347" s="811"/>
      <c r="I347" s="930"/>
      <c r="J347" s="811"/>
      <c r="K347" s="811"/>
      <c r="L347" s="811">
        <v>-4500</v>
      </c>
      <c r="M347" s="811"/>
      <c r="N347" s="930"/>
      <c r="O347" s="811"/>
      <c r="P347" s="811"/>
      <c r="Q347" s="663">
        <f t="shared" si="25"/>
        <v>-4500</v>
      </c>
      <c r="R347" s="812" t="s">
        <v>1182</v>
      </c>
    </row>
    <row r="348" spans="1:18" ht="16.5" customHeight="1" x14ac:dyDescent="0.2">
      <c r="A348" s="814"/>
      <c r="B348" s="814"/>
      <c r="C348" s="762" t="s">
        <v>1145</v>
      </c>
      <c r="D348" s="819" t="s">
        <v>1146</v>
      </c>
      <c r="E348" s="810"/>
      <c r="F348" s="810">
        <v>154478</v>
      </c>
      <c r="G348" s="811"/>
      <c r="H348" s="811"/>
      <c r="I348" s="930"/>
      <c r="J348" s="811"/>
      <c r="K348" s="811"/>
      <c r="L348" s="811"/>
      <c r="M348" s="811">
        <v>9309</v>
      </c>
      <c r="N348" s="930"/>
      <c r="O348" s="811"/>
      <c r="P348" s="811"/>
      <c r="Q348" s="663">
        <f t="shared" si="25"/>
        <v>9309</v>
      </c>
      <c r="R348" s="812" t="s">
        <v>1182</v>
      </c>
    </row>
    <row r="349" spans="1:18" ht="16.5" hidden="1" customHeight="1" x14ac:dyDescent="0.2">
      <c r="A349" s="814"/>
      <c r="B349" s="814"/>
      <c r="C349" s="762" t="s">
        <v>1148</v>
      </c>
      <c r="D349" s="819" t="s">
        <v>1149</v>
      </c>
      <c r="E349" s="810"/>
      <c r="F349" s="810">
        <v>152454</v>
      </c>
      <c r="G349" s="811"/>
      <c r="H349" s="811"/>
      <c r="I349" s="930"/>
      <c r="J349" s="930"/>
      <c r="K349" s="930"/>
      <c r="L349" s="930"/>
      <c r="M349" s="930"/>
      <c r="N349" s="930"/>
      <c r="O349" s="811"/>
      <c r="P349" s="811"/>
      <c r="Q349" s="663">
        <f t="shared" si="25"/>
        <v>0</v>
      </c>
      <c r="R349" s="812"/>
    </row>
    <row r="350" spans="1:18" ht="17.25" hidden="1" customHeight="1" x14ac:dyDescent="0.2">
      <c r="A350" s="360"/>
      <c r="B350" s="360"/>
      <c r="C350" s="685"/>
      <c r="D350" s="351" t="s">
        <v>868</v>
      </c>
      <c r="E350" s="598"/>
      <c r="F350" s="359"/>
      <c r="G350" s="359"/>
      <c r="H350" s="359"/>
      <c r="I350" s="929"/>
      <c r="J350" s="929"/>
      <c r="K350" s="929"/>
      <c r="L350" s="929"/>
      <c r="M350" s="929"/>
      <c r="N350" s="929"/>
      <c r="O350" s="359"/>
      <c r="P350" s="359"/>
      <c r="Q350" s="359"/>
      <c r="R350" s="358"/>
    </row>
    <row r="351" spans="1:18" ht="17.25" hidden="1" customHeight="1" x14ac:dyDescent="0.2">
      <c r="A351" s="360"/>
      <c r="B351" s="360"/>
      <c r="C351" s="370" t="s">
        <v>473</v>
      </c>
      <c r="D351" s="376" t="s">
        <v>813</v>
      </c>
      <c r="E351" s="604"/>
      <c r="F351" s="359">
        <v>154475</v>
      </c>
      <c r="G351" s="359"/>
      <c r="H351" s="359"/>
      <c r="I351" s="929"/>
      <c r="J351" s="929"/>
      <c r="K351" s="929"/>
      <c r="L351" s="929"/>
      <c r="M351" s="929"/>
      <c r="N351" s="929"/>
      <c r="O351" s="359"/>
      <c r="P351" s="359"/>
      <c r="Q351" s="359">
        <f t="shared" si="25"/>
        <v>0</v>
      </c>
      <c r="R351" s="358"/>
    </row>
    <row r="352" spans="1:18" ht="17.25" hidden="1" customHeight="1" x14ac:dyDescent="0.2">
      <c r="A352" s="360"/>
      <c r="B352" s="360"/>
      <c r="C352" s="370" t="s">
        <v>474</v>
      </c>
      <c r="D352" s="376" t="s">
        <v>814</v>
      </c>
      <c r="E352" s="605"/>
      <c r="F352" s="359">
        <v>154462</v>
      </c>
      <c r="G352" s="359"/>
      <c r="H352" s="359"/>
      <c r="I352" s="929"/>
      <c r="J352" s="929"/>
      <c r="K352" s="929"/>
      <c r="L352" s="929"/>
      <c r="M352" s="929"/>
      <c r="N352" s="929"/>
      <c r="O352" s="359"/>
      <c r="P352" s="359"/>
      <c r="Q352" s="359">
        <f t="shared" si="25"/>
        <v>0</v>
      </c>
      <c r="R352" s="358"/>
    </row>
    <row r="353" spans="1:18" ht="17.25" hidden="1" customHeight="1" x14ac:dyDescent="0.2">
      <c r="A353" s="360"/>
      <c r="B353" s="360"/>
      <c r="C353" s="370" t="s">
        <v>475</v>
      </c>
      <c r="D353" s="376" t="s">
        <v>815</v>
      </c>
      <c r="E353" s="598"/>
      <c r="F353" s="359">
        <v>152461</v>
      </c>
      <c r="G353" s="359"/>
      <c r="H353" s="359"/>
      <c r="I353" s="929"/>
      <c r="J353" s="929"/>
      <c r="K353" s="929"/>
      <c r="L353" s="929"/>
      <c r="M353" s="929"/>
      <c r="N353" s="929"/>
      <c r="O353" s="359"/>
      <c r="P353" s="359"/>
      <c r="Q353" s="359">
        <f t="shared" si="25"/>
        <v>0</v>
      </c>
      <c r="R353" s="358"/>
    </row>
    <row r="354" spans="1:18" ht="17.25" hidden="1" customHeight="1" x14ac:dyDescent="0.2">
      <c r="A354" s="360"/>
      <c r="B354" s="360"/>
      <c r="C354" s="370" t="s">
        <v>476</v>
      </c>
      <c r="D354" s="456" t="s">
        <v>816</v>
      </c>
      <c r="E354" s="391"/>
      <c r="F354" s="359">
        <v>152462</v>
      </c>
      <c r="G354" s="359"/>
      <c r="H354" s="359"/>
      <c r="I354" s="929"/>
      <c r="J354" s="929"/>
      <c r="K354" s="929"/>
      <c r="L354" s="929"/>
      <c r="M354" s="929"/>
      <c r="N354" s="929"/>
      <c r="O354" s="359"/>
      <c r="P354" s="359"/>
      <c r="Q354" s="359">
        <f t="shared" si="25"/>
        <v>0</v>
      </c>
      <c r="R354" s="358"/>
    </row>
    <row r="355" spans="1:18" ht="17.25" hidden="1" customHeight="1" x14ac:dyDescent="0.2">
      <c r="A355" s="360"/>
      <c r="B355" s="360"/>
      <c r="C355" s="370" t="s">
        <v>477</v>
      </c>
      <c r="D355" s="606" t="s">
        <v>817</v>
      </c>
      <c r="E355" s="598"/>
      <c r="F355" s="598">
        <v>152463</v>
      </c>
      <c r="G355" s="359"/>
      <c r="H355" s="359"/>
      <c r="I355" s="929"/>
      <c r="J355" s="929"/>
      <c r="K355" s="929"/>
      <c r="L355" s="929"/>
      <c r="M355" s="929"/>
      <c r="N355" s="929"/>
      <c r="O355" s="359"/>
      <c r="P355" s="359"/>
      <c r="Q355" s="359">
        <f t="shared" si="25"/>
        <v>0</v>
      </c>
      <c r="R355" s="358"/>
    </row>
    <row r="356" spans="1:18" ht="17.25" hidden="1" customHeight="1" x14ac:dyDescent="0.2">
      <c r="A356" s="360"/>
      <c r="B356" s="360"/>
      <c r="C356" s="370" t="s">
        <v>478</v>
      </c>
      <c r="D356" s="461" t="s">
        <v>818</v>
      </c>
      <c r="E356" s="607"/>
      <c r="F356" s="598">
        <v>154483</v>
      </c>
      <c r="G356" s="359"/>
      <c r="H356" s="359"/>
      <c r="I356" s="929"/>
      <c r="J356" s="929"/>
      <c r="K356" s="929"/>
      <c r="L356" s="929"/>
      <c r="M356" s="929"/>
      <c r="N356" s="929"/>
      <c r="O356" s="359"/>
      <c r="P356" s="359"/>
      <c r="Q356" s="359">
        <f t="shared" si="25"/>
        <v>0</v>
      </c>
      <c r="R356" s="358"/>
    </row>
    <row r="357" spans="1:18" ht="17.25" customHeight="1" x14ac:dyDescent="0.2">
      <c r="A357" s="360"/>
      <c r="B357" s="360"/>
      <c r="C357" s="370" t="s">
        <v>479</v>
      </c>
      <c r="D357" s="376" t="s">
        <v>819</v>
      </c>
      <c r="E357" s="598"/>
      <c r="F357" s="598">
        <v>154455</v>
      </c>
      <c r="G357" s="359"/>
      <c r="H357" s="359"/>
      <c r="I357" s="359"/>
      <c r="J357" s="359"/>
      <c r="K357" s="359"/>
      <c r="L357" s="359"/>
      <c r="M357" s="359">
        <v>8874</v>
      </c>
      <c r="N357" s="359"/>
      <c r="O357" s="359"/>
      <c r="P357" s="359"/>
      <c r="Q357" s="359">
        <f t="shared" si="25"/>
        <v>8874</v>
      </c>
      <c r="R357" s="358" t="s">
        <v>1182</v>
      </c>
    </row>
    <row r="358" spans="1:18" ht="17.25" hidden="1" customHeight="1" x14ac:dyDescent="0.2">
      <c r="A358" s="360"/>
      <c r="B358" s="360"/>
      <c r="C358" s="370" t="s">
        <v>480</v>
      </c>
      <c r="D358" s="376" t="s">
        <v>820</v>
      </c>
      <c r="E358" s="598"/>
      <c r="F358" s="598">
        <v>154458</v>
      </c>
      <c r="G358" s="359"/>
      <c r="H358" s="359"/>
      <c r="I358" s="929"/>
      <c r="J358" s="929"/>
      <c r="K358" s="929"/>
      <c r="L358" s="929"/>
      <c r="M358" s="929"/>
      <c r="N358" s="929"/>
      <c r="O358" s="359"/>
      <c r="P358" s="359"/>
      <c r="Q358" s="359">
        <f t="shared" si="25"/>
        <v>0</v>
      </c>
      <c r="R358" s="358"/>
    </row>
    <row r="359" spans="1:18" ht="17.25" hidden="1" customHeight="1" x14ac:dyDescent="0.2">
      <c r="A359" s="360"/>
      <c r="B359" s="360"/>
      <c r="C359" s="370" t="s">
        <v>649</v>
      </c>
      <c r="D359" s="376" t="s">
        <v>821</v>
      </c>
      <c r="E359" s="598"/>
      <c r="F359" s="598">
        <v>154461</v>
      </c>
      <c r="G359" s="359"/>
      <c r="H359" s="359"/>
      <c r="I359" s="929"/>
      <c r="J359" s="929"/>
      <c r="K359" s="929"/>
      <c r="L359" s="929"/>
      <c r="M359" s="929"/>
      <c r="N359" s="929"/>
      <c r="O359" s="359"/>
      <c r="P359" s="359"/>
      <c r="Q359" s="359">
        <f>SUM(G359:P359)</f>
        <v>0</v>
      </c>
      <c r="R359" s="358"/>
    </row>
    <row r="360" spans="1:18" ht="33" customHeight="1" x14ac:dyDescent="0.2">
      <c r="A360" s="360"/>
      <c r="B360" s="360"/>
      <c r="C360" s="370" t="s">
        <v>650</v>
      </c>
      <c r="D360" s="608" t="s">
        <v>481</v>
      </c>
      <c r="E360" s="598"/>
      <c r="F360" s="359">
        <v>152405</v>
      </c>
      <c r="G360" s="359"/>
      <c r="H360" s="359"/>
      <c r="I360" s="359">
        <v>1394</v>
      </c>
      <c r="J360" s="929"/>
      <c r="K360" s="929"/>
      <c r="L360" s="359">
        <v>-1111</v>
      </c>
      <c r="M360" s="929"/>
      <c r="N360" s="929"/>
      <c r="O360" s="359"/>
      <c r="P360" s="359"/>
      <c r="Q360" s="359">
        <f t="shared" ref="Q360:Q381" si="26">SUM(G360:P360)</f>
        <v>283</v>
      </c>
      <c r="R360" s="358" t="s">
        <v>1182</v>
      </c>
    </row>
    <row r="361" spans="1:18" ht="15" customHeight="1" x14ac:dyDescent="0.2">
      <c r="A361" s="360"/>
      <c r="B361" s="360"/>
      <c r="C361" s="370" t="s">
        <v>651</v>
      </c>
      <c r="D361" s="369" t="s">
        <v>472</v>
      </c>
      <c r="E361" s="598"/>
      <c r="F361" s="359">
        <v>155427</v>
      </c>
      <c r="G361" s="359"/>
      <c r="H361" s="359"/>
      <c r="I361" s="929"/>
      <c r="J361" s="929"/>
      <c r="K361" s="929"/>
      <c r="L361" s="929"/>
      <c r="M361" s="359">
        <v>1834</v>
      </c>
      <c r="N361" s="929"/>
      <c r="O361" s="359"/>
      <c r="P361" s="359"/>
      <c r="Q361" s="359">
        <f t="shared" si="26"/>
        <v>1834</v>
      </c>
      <c r="R361" s="358" t="s">
        <v>1182</v>
      </c>
    </row>
    <row r="362" spans="1:18" ht="17.25" customHeight="1" x14ac:dyDescent="0.2">
      <c r="A362" s="360"/>
      <c r="B362" s="360"/>
      <c r="C362" s="370" t="s">
        <v>652</v>
      </c>
      <c r="D362" s="609" t="s">
        <v>704</v>
      </c>
      <c r="E362" s="598"/>
      <c r="F362" s="598">
        <v>152442</v>
      </c>
      <c r="G362" s="359"/>
      <c r="H362" s="359"/>
      <c r="I362" s="929"/>
      <c r="J362" s="929"/>
      <c r="K362" s="929"/>
      <c r="L362" s="359">
        <v>8500</v>
      </c>
      <c r="M362" s="929"/>
      <c r="N362" s="929"/>
      <c r="O362" s="359"/>
      <c r="P362" s="359"/>
      <c r="Q362" s="359">
        <f t="shared" si="26"/>
        <v>8500</v>
      </c>
      <c r="R362" s="358" t="s">
        <v>1182</v>
      </c>
    </row>
    <row r="363" spans="1:18" ht="15.6" hidden="1" customHeight="1" x14ac:dyDescent="0.2">
      <c r="A363" s="360"/>
      <c r="B363" s="360"/>
      <c r="C363" s="610" t="s">
        <v>76</v>
      </c>
      <c r="D363" s="457" t="s">
        <v>482</v>
      </c>
      <c r="E363" s="601"/>
      <c r="F363" s="362"/>
      <c r="G363" s="359"/>
      <c r="H363" s="359"/>
      <c r="I363" s="929"/>
      <c r="J363" s="929"/>
      <c r="K363" s="929"/>
      <c r="L363" s="929"/>
      <c r="M363" s="929"/>
      <c r="N363" s="929"/>
      <c r="O363" s="359"/>
      <c r="P363" s="359"/>
      <c r="Q363" s="359"/>
      <c r="R363" s="358"/>
    </row>
    <row r="364" spans="1:18" ht="15.6" customHeight="1" x14ac:dyDescent="0.2">
      <c r="A364" s="660"/>
      <c r="B364" s="660"/>
      <c r="C364" s="711" t="s">
        <v>1019</v>
      </c>
      <c r="D364" s="727" t="s">
        <v>1020</v>
      </c>
      <c r="E364" s="662"/>
      <c r="F364" s="663">
        <v>152514</v>
      </c>
      <c r="G364" s="663"/>
      <c r="H364" s="663"/>
      <c r="I364" s="928"/>
      <c r="J364" s="928"/>
      <c r="K364" s="928"/>
      <c r="L364" s="663">
        <v>-5000</v>
      </c>
      <c r="M364" s="928"/>
      <c r="N364" s="928"/>
      <c r="O364" s="663"/>
      <c r="P364" s="663"/>
      <c r="Q364" s="359">
        <f t="shared" si="26"/>
        <v>-5000</v>
      </c>
      <c r="R364" s="666" t="s">
        <v>1182</v>
      </c>
    </row>
    <row r="365" spans="1:18" ht="15.6" customHeight="1" x14ac:dyDescent="0.2">
      <c r="A365" s="660"/>
      <c r="B365" s="660"/>
      <c r="C365" s="711" t="s">
        <v>1021</v>
      </c>
      <c r="D365" s="727" t="s">
        <v>1022</v>
      </c>
      <c r="E365" s="662"/>
      <c r="F365" s="663">
        <v>152515</v>
      </c>
      <c r="G365" s="663"/>
      <c r="H365" s="663"/>
      <c r="I365" s="928"/>
      <c r="J365" s="928"/>
      <c r="K365" s="928"/>
      <c r="L365" s="663">
        <v>-5000</v>
      </c>
      <c r="M365" s="928"/>
      <c r="N365" s="928"/>
      <c r="O365" s="663"/>
      <c r="P365" s="663"/>
      <c r="Q365" s="359">
        <f t="shared" si="26"/>
        <v>-5000</v>
      </c>
      <c r="R365" s="666" t="s">
        <v>1182</v>
      </c>
    </row>
    <row r="366" spans="1:18" ht="15.6" customHeight="1" x14ac:dyDescent="0.2">
      <c r="A366" s="660"/>
      <c r="B366" s="660"/>
      <c r="C366" s="713" t="s">
        <v>1023</v>
      </c>
      <c r="D366" s="727" t="s">
        <v>1024</v>
      </c>
      <c r="E366" s="662"/>
      <c r="F366" s="663">
        <v>154526</v>
      </c>
      <c r="G366" s="663"/>
      <c r="H366" s="663"/>
      <c r="I366" s="928"/>
      <c r="J366" s="928"/>
      <c r="K366" s="928"/>
      <c r="L366" s="663">
        <v>5878</v>
      </c>
      <c r="M366" s="663">
        <v>-2000</v>
      </c>
      <c r="N366" s="928"/>
      <c r="O366" s="663"/>
      <c r="P366" s="663"/>
      <c r="Q366" s="359">
        <f t="shared" si="26"/>
        <v>3878</v>
      </c>
      <c r="R366" s="666" t="s">
        <v>1182</v>
      </c>
    </row>
    <row r="367" spans="1:18" ht="15.6" hidden="1" customHeight="1" x14ac:dyDescent="0.2">
      <c r="A367" s="660"/>
      <c r="B367" s="660"/>
      <c r="C367" s="709"/>
      <c r="D367" s="351" t="s">
        <v>868</v>
      </c>
      <c r="E367" s="662"/>
      <c r="F367" s="710"/>
      <c r="G367" s="663"/>
      <c r="H367" s="663"/>
      <c r="I367" s="928"/>
      <c r="J367" s="928"/>
      <c r="K367" s="928"/>
      <c r="L367" s="928"/>
      <c r="M367" s="928"/>
      <c r="N367" s="928"/>
      <c r="O367" s="663"/>
      <c r="P367" s="663"/>
      <c r="Q367" s="663"/>
      <c r="R367" s="666"/>
    </row>
    <row r="368" spans="1:18" ht="17.25" customHeight="1" x14ac:dyDescent="0.2">
      <c r="A368" s="360"/>
      <c r="B368" s="360"/>
      <c r="C368" s="459" t="s">
        <v>483</v>
      </c>
      <c r="D368" s="375" t="s">
        <v>823</v>
      </c>
      <c r="E368" s="598"/>
      <c r="F368" s="359">
        <v>152574</v>
      </c>
      <c r="G368" s="359"/>
      <c r="H368" s="359"/>
      <c r="I368" s="929"/>
      <c r="J368" s="929"/>
      <c r="K368" s="929"/>
      <c r="L368" s="929"/>
      <c r="M368" s="359">
        <v>2850</v>
      </c>
      <c r="N368" s="929"/>
      <c r="O368" s="359"/>
      <c r="P368" s="359"/>
      <c r="Q368" s="359">
        <f t="shared" si="26"/>
        <v>2850</v>
      </c>
      <c r="R368" s="358" t="s">
        <v>1182</v>
      </c>
    </row>
    <row r="369" spans="1:18" ht="17.25" customHeight="1" x14ac:dyDescent="0.2">
      <c r="A369" s="360"/>
      <c r="B369" s="360"/>
      <c r="C369" s="459" t="s">
        <v>918</v>
      </c>
      <c r="D369" s="375" t="s">
        <v>824</v>
      </c>
      <c r="E369" s="607"/>
      <c r="F369" s="359">
        <v>152584</v>
      </c>
      <c r="G369" s="359"/>
      <c r="H369" s="359"/>
      <c r="I369" s="929"/>
      <c r="J369" s="929"/>
      <c r="K369" s="929"/>
      <c r="L369" s="359">
        <v>-1386</v>
      </c>
      <c r="M369" s="929"/>
      <c r="N369" s="929"/>
      <c r="O369" s="359"/>
      <c r="P369" s="359"/>
      <c r="Q369" s="359">
        <f t="shared" si="26"/>
        <v>-1386</v>
      </c>
      <c r="R369" s="358" t="s">
        <v>1182</v>
      </c>
    </row>
    <row r="370" spans="1:18" ht="24" hidden="1" customHeight="1" x14ac:dyDescent="0.2">
      <c r="A370" s="360"/>
      <c r="B370" s="360"/>
      <c r="C370" s="459" t="s">
        <v>919</v>
      </c>
      <c r="D370" s="373" t="s">
        <v>1151</v>
      </c>
      <c r="E370" s="598"/>
      <c r="F370" s="359">
        <v>154525</v>
      </c>
      <c r="G370" s="359"/>
      <c r="H370" s="359"/>
      <c r="I370" s="929"/>
      <c r="J370" s="929"/>
      <c r="K370" s="929"/>
      <c r="L370" s="929"/>
      <c r="M370" s="929"/>
      <c r="N370" s="929"/>
      <c r="O370" s="359"/>
      <c r="P370" s="359"/>
      <c r="Q370" s="359">
        <f t="shared" si="26"/>
        <v>0</v>
      </c>
      <c r="R370" s="358"/>
    </row>
    <row r="371" spans="1:18" ht="17.25" customHeight="1" x14ac:dyDescent="0.2">
      <c r="A371" s="360"/>
      <c r="B371" s="360"/>
      <c r="C371" s="459" t="s">
        <v>920</v>
      </c>
      <c r="D371" s="364" t="s">
        <v>484</v>
      </c>
      <c r="E371" s="611"/>
      <c r="F371" s="359">
        <v>152562</v>
      </c>
      <c r="G371" s="359"/>
      <c r="H371" s="359"/>
      <c r="I371" s="359"/>
      <c r="J371" s="359"/>
      <c r="K371" s="359"/>
      <c r="L371" s="359">
        <v>2000</v>
      </c>
      <c r="M371" s="359">
        <v>6844</v>
      </c>
      <c r="N371" s="359"/>
      <c r="O371" s="359"/>
      <c r="P371" s="359"/>
      <c r="Q371" s="359">
        <f t="shared" si="26"/>
        <v>8844</v>
      </c>
      <c r="R371" s="358" t="s">
        <v>1182</v>
      </c>
    </row>
    <row r="372" spans="1:18" ht="14.45" hidden="1" customHeight="1" x14ac:dyDescent="0.2">
      <c r="A372" s="360"/>
      <c r="B372" s="360"/>
      <c r="C372" s="378" t="s">
        <v>77</v>
      </c>
      <c r="D372" s="377" t="s">
        <v>485</v>
      </c>
      <c r="E372" s="601"/>
      <c r="F372" s="362"/>
      <c r="G372" s="359"/>
      <c r="H372" s="359"/>
      <c r="I372" s="929"/>
      <c r="J372" s="929"/>
      <c r="K372" s="929"/>
      <c r="L372" s="929"/>
      <c r="M372" s="929"/>
      <c r="N372" s="929"/>
      <c r="O372" s="359"/>
      <c r="P372" s="359"/>
      <c r="Q372" s="359"/>
      <c r="R372" s="358"/>
    </row>
    <row r="373" spans="1:18" ht="14.45" hidden="1" customHeight="1" x14ac:dyDescent="0.2">
      <c r="A373" s="360"/>
      <c r="B373" s="360"/>
      <c r="C373" s="241" t="s">
        <v>78</v>
      </c>
      <c r="D373" s="242" t="s">
        <v>486</v>
      </c>
      <c r="E373" s="601"/>
      <c r="F373" s="362"/>
      <c r="G373" s="359"/>
      <c r="H373" s="359"/>
      <c r="I373" s="929"/>
      <c r="J373" s="929"/>
      <c r="K373" s="929"/>
      <c r="L373" s="929"/>
      <c r="M373" s="929"/>
      <c r="N373" s="929"/>
      <c r="O373" s="359"/>
      <c r="P373" s="359"/>
      <c r="Q373" s="359"/>
      <c r="R373" s="358"/>
    </row>
    <row r="374" spans="1:18" ht="15" customHeight="1" x14ac:dyDescent="0.2">
      <c r="A374" s="360"/>
      <c r="B374" s="360"/>
      <c r="C374" s="370" t="s">
        <v>825</v>
      </c>
      <c r="D374" s="379" t="s">
        <v>487</v>
      </c>
      <c r="E374" s="601"/>
      <c r="F374" s="359">
        <v>152801</v>
      </c>
      <c r="G374" s="359"/>
      <c r="H374" s="359"/>
      <c r="I374" s="359">
        <v>-5190</v>
      </c>
      <c r="J374" s="359"/>
      <c r="K374" s="359"/>
      <c r="L374" s="359">
        <v>-2990</v>
      </c>
      <c r="M374" s="359">
        <v>6898</v>
      </c>
      <c r="N374" s="359"/>
      <c r="O374" s="359"/>
      <c r="P374" s="359"/>
      <c r="Q374" s="359">
        <f t="shared" si="26"/>
        <v>-1282</v>
      </c>
      <c r="R374" s="358" t="s">
        <v>1182</v>
      </c>
    </row>
    <row r="375" spans="1:18" ht="15.6" customHeight="1" x14ac:dyDescent="0.2">
      <c r="A375" s="360"/>
      <c r="B375" s="360"/>
      <c r="C375" s="458" t="s">
        <v>79</v>
      </c>
      <c r="D375" s="612" t="s">
        <v>488</v>
      </c>
      <c r="E375" s="598"/>
      <c r="F375" s="359"/>
      <c r="G375" s="359"/>
      <c r="H375" s="359"/>
      <c r="I375" s="929"/>
      <c r="J375" s="929"/>
      <c r="K375" s="929"/>
      <c r="L375" s="929"/>
      <c r="M375" s="929"/>
      <c r="N375" s="929"/>
      <c r="O375" s="359"/>
      <c r="P375" s="359"/>
      <c r="Q375" s="359"/>
      <c r="R375" s="358"/>
    </row>
    <row r="376" spans="1:18" ht="17.25" customHeight="1" x14ac:dyDescent="0.2">
      <c r="A376" s="360"/>
      <c r="B376" s="360"/>
      <c r="C376" s="370" t="s">
        <v>489</v>
      </c>
      <c r="D376" s="613" t="s">
        <v>491</v>
      </c>
      <c r="E376" s="598"/>
      <c r="F376" s="359">
        <v>152947</v>
      </c>
      <c r="G376" s="359"/>
      <c r="H376" s="359"/>
      <c r="I376" s="359">
        <v>1298</v>
      </c>
      <c r="J376" s="359"/>
      <c r="K376" s="359"/>
      <c r="L376" s="359"/>
      <c r="M376" s="359"/>
      <c r="N376" s="359"/>
      <c r="O376" s="359"/>
      <c r="P376" s="359"/>
      <c r="Q376" s="359">
        <f t="shared" si="26"/>
        <v>1298</v>
      </c>
      <c r="R376" s="358" t="s">
        <v>1182</v>
      </c>
    </row>
    <row r="377" spans="1:18" ht="17.25" customHeight="1" x14ac:dyDescent="0.2">
      <c r="A377" s="360"/>
      <c r="B377" s="360"/>
      <c r="C377" s="370" t="s">
        <v>490</v>
      </c>
      <c r="D377" s="460" t="s">
        <v>921</v>
      </c>
      <c r="E377" s="598"/>
      <c r="F377" s="359">
        <v>154908</v>
      </c>
      <c r="G377" s="359"/>
      <c r="H377" s="359"/>
      <c r="I377" s="929"/>
      <c r="J377" s="929"/>
      <c r="K377" s="929"/>
      <c r="L377" s="929"/>
      <c r="M377" s="929"/>
      <c r="N377" s="929"/>
      <c r="O377" s="359"/>
      <c r="P377" s="359"/>
      <c r="Q377" s="359">
        <f t="shared" si="26"/>
        <v>0</v>
      </c>
      <c r="R377" s="358"/>
    </row>
    <row r="378" spans="1:18" ht="17.25" customHeight="1" x14ac:dyDescent="0.2">
      <c r="A378" s="360"/>
      <c r="B378" s="360"/>
      <c r="C378" s="341" t="s">
        <v>1029</v>
      </c>
      <c r="D378" s="544" t="s">
        <v>1059</v>
      </c>
      <c r="E378" s="358"/>
      <c r="F378" s="359">
        <v>154909</v>
      </c>
      <c r="G378" s="359"/>
      <c r="H378" s="359"/>
      <c r="I378" s="359">
        <v>2794</v>
      </c>
      <c r="J378" s="359"/>
      <c r="K378" s="359"/>
      <c r="L378" s="359"/>
      <c r="M378" s="359">
        <v>-1630</v>
      </c>
      <c r="N378" s="359">
        <v>436</v>
      </c>
      <c r="O378" s="359"/>
      <c r="P378" s="359"/>
      <c r="Q378" s="359">
        <f t="shared" si="26"/>
        <v>1600</v>
      </c>
      <c r="R378" s="358" t="s">
        <v>1182</v>
      </c>
    </row>
    <row r="379" spans="1:18" ht="17.25" hidden="1" customHeight="1" x14ac:dyDescent="0.2">
      <c r="A379" s="814"/>
      <c r="B379" s="814"/>
      <c r="C379" s="809" t="s">
        <v>1031</v>
      </c>
      <c r="D379" s="827" t="s">
        <v>1147</v>
      </c>
      <c r="E379" s="821"/>
      <c r="F379" s="811">
        <v>152912</v>
      </c>
      <c r="G379" s="811"/>
      <c r="H379" s="811"/>
      <c r="I379" s="930"/>
      <c r="J379" s="930"/>
      <c r="K379" s="930"/>
      <c r="L379" s="930"/>
      <c r="M379" s="930"/>
      <c r="N379" s="930"/>
      <c r="O379" s="811"/>
      <c r="P379" s="811"/>
      <c r="Q379" s="359">
        <f t="shared" si="26"/>
        <v>0</v>
      </c>
      <c r="R379" s="812"/>
    </row>
    <row r="380" spans="1:18" ht="17.25" hidden="1" customHeight="1" x14ac:dyDescent="0.2">
      <c r="A380" s="360"/>
      <c r="B380" s="360"/>
      <c r="C380" s="361"/>
      <c r="D380" s="351" t="s">
        <v>868</v>
      </c>
      <c r="E380" s="598"/>
      <c r="F380" s="359"/>
      <c r="G380" s="359"/>
      <c r="H380" s="359"/>
      <c r="I380" s="929"/>
      <c r="J380" s="929"/>
      <c r="K380" s="929"/>
      <c r="L380" s="929"/>
      <c r="M380" s="929"/>
      <c r="N380" s="929"/>
      <c r="O380" s="359"/>
      <c r="P380" s="359"/>
      <c r="Q380" s="359"/>
      <c r="R380" s="358"/>
    </row>
    <row r="381" spans="1:18" ht="24.6" customHeight="1" x14ac:dyDescent="0.2">
      <c r="A381" s="360"/>
      <c r="B381" s="360"/>
      <c r="C381" s="363" t="s">
        <v>492</v>
      </c>
      <c r="D381" s="380" t="s">
        <v>653</v>
      </c>
      <c r="E381" s="598"/>
      <c r="F381" s="359">
        <v>152937</v>
      </c>
      <c r="G381" s="359"/>
      <c r="H381" s="359"/>
      <c r="I381" s="929"/>
      <c r="J381" s="929"/>
      <c r="K381" s="929"/>
      <c r="L381" s="359">
        <v>-5000</v>
      </c>
      <c r="M381" s="929"/>
      <c r="N381" s="929"/>
      <c r="O381" s="359"/>
      <c r="P381" s="359"/>
      <c r="Q381" s="359">
        <f t="shared" si="26"/>
        <v>-5000</v>
      </c>
      <c r="R381" s="358" t="s">
        <v>1181</v>
      </c>
    </row>
    <row r="382" spans="1:18" ht="20.25" customHeight="1" x14ac:dyDescent="0.2">
      <c r="A382" s="124"/>
      <c r="B382" s="124"/>
      <c r="C382" s="125"/>
      <c r="D382" s="1019" t="s">
        <v>499</v>
      </c>
      <c r="E382" s="1020"/>
      <c r="F382" s="128"/>
      <c r="G382" s="128">
        <f t="shared" ref="G382:Q382" si="27">SUM(G320:G381)</f>
        <v>8</v>
      </c>
      <c r="H382" s="128">
        <f t="shared" si="27"/>
        <v>0</v>
      </c>
      <c r="I382" s="128">
        <f t="shared" si="27"/>
        <v>-61107</v>
      </c>
      <c r="J382" s="128">
        <f t="shared" si="27"/>
        <v>0</v>
      </c>
      <c r="K382" s="128">
        <f t="shared" si="27"/>
        <v>22500</v>
      </c>
      <c r="L382" s="128">
        <f t="shared" si="27"/>
        <v>-6558</v>
      </c>
      <c r="M382" s="128">
        <f t="shared" si="27"/>
        <v>77733</v>
      </c>
      <c r="N382" s="128">
        <f t="shared" si="27"/>
        <v>436</v>
      </c>
      <c r="O382" s="128">
        <f t="shared" si="27"/>
        <v>0</v>
      </c>
      <c r="P382" s="128">
        <f t="shared" si="27"/>
        <v>0</v>
      </c>
      <c r="Q382" s="128">
        <f t="shared" si="27"/>
        <v>33012</v>
      </c>
      <c r="R382" s="325"/>
    </row>
    <row r="383" spans="1:18" ht="15" customHeight="1" x14ac:dyDescent="0.2">
      <c r="A383" s="102">
        <v>1</v>
      </c>
      <c r="B383" s="102">
        <v>16</v>
      </c>
      <c r="C383" s="118"/>
      <c r="D383" s="146" t="s">
        <v>500</v>
      </c>
      <c r="E383" s="130"/>
      <c r="F383" s="82"/>
      <c r="G383" s="82"/>
      <c r="H383" s="107"/>
      <c r="I383" s="107"/>
      <c r="J383" s="107"/>
      <c r="K383" s="107"/>
      <c r="L383" s="107"/>
      <c r="M383" s="82"/>
      <c r="N383" s="82"/>
      <c r="O383" s="82"/>
      <c r="P383" s="82"/>
      <c r="Q383" s="82"/>
      <c r="R383" s="324"/>
    </row>
    <row r="384" spans="1:18" ht="15" hidden="1" customHeight="1" x14ac:dyDescent="0.2">
      <c r="A384" s="102"/>
      <c r="B384" s="102"/>
      <c r="C384" s="118"/>
      <c r="D384" s="119" t="s">
        <v>197</v>
      </c>
      <c r="E384" s="130"/>
      <c r="F384" s="82"/>
      <c r="G384" s="82"/>
      <c r="H384" s="107"/>
      <c r="I384" s="107"/>
      <c r="J384" s="107"/>
      <c r="K384" s="107"/>
      <c r="L384" s="107"/>
      <c r="M384" s="82"/>
      <c r="N384" s="82"/>
      <c r="O384" s="82"/>
      <c r="P384" s="82"/>
      <c r="Q384" s="82"/>
      <c r="R384" s="324"/>
    </row>
    <row r="385" spans="1:18" ht="15" hidden="1" customHeight="1" x14ac:dyDescent="0.2">
      <c r="A385" s="102"/>
      <c r="B385" s="102"/>
      <c r="C385" s="118"/>
      <c r="D385" s="116" t="s">
        <v>501</v>
      </c>
      <c r="E385" s="82">
        <v>2</v>
      </c>
      <c r="F385" s="82">
        <v>161910</v>
      </c>
      <c r="G385" s="82"/>
      <c r="H385" s="82"/>
      <c r="I385" s="82"/>
      <c r="J385" s="82"/>
      <c r="K385" s="82"/>
      <c r="L385" s="82"/>
      <c r="M385" s="82"/>
      <c r="N385" s="82"/>
      <c r="O385" s="82"/>
      <c r="P385" s="82"/>
      <c r="Q385" s="82">
        <f t="shared" ref="Q385:Q389" si="28">SUM(G385:P385)</f>
        <v>0</v>
      </c>
      <c r="R385" s="324"/>
    </row>
    <row r="386" spans="1:18" ht="15" customHeight="1" x14ac:dyDescent="0.2">
      <c r="A386" s="102"/>
      <c r="B386" s="102"/>
      <c r="C386" s="118"/>
      <c r="D386" s="116" t="s">
        <v>502</v>
      </c>
      <c r="E386" s="82">
        <v>1</v>
      </c>
      <c r="F386" s="82">
        <v>161908</v>
      </c>
      <c r="G386" s="82"/>
      <c r="H386" s="82"/>
      <c r="I386" s="82">
        <v>-8176</v>
      </c>
      <c r="J386" s="82"/>
      <c r="K386" s="82">
        <v>1010</v>
      </c>
      <c r="L386" s="82">
        <v>461</v>
      </c>
      <c r="M386" s="82">
        <v>1778</v>
      </c>
      <c r="N386" s="82">
        <v>1800</v>
      </c>
      <c r="O386" s="82"/>
      <c r="P386" s="82"/>
      <c r="Q386" s="82">
        <f t="shared" si="28"/>
        <v>-3127</v>
      </c>
      <c r="R386" s="324" t="s">
        <v>1183</v>
      </c>
    </row>
    <row r="387" spans="1:18" ht="29.25" customHeight="1" x14ac:dyDescent="0.2">
      <c r="A387" s="102"/>
      <c r="B387" s="102"/>
      <c r="C387" s="118"/>
      <c r="D387" s="123" t="s">
        <v>503</v>
      </c>
      <c r="E387" s="82">
        <v>2</v>
      </c>
      <c r="F387" s="82">
        <v>161911</v>
      </c>
      <c r="G387" s="82"/>
      <c r="H387" s="82"/>
      <c r="I387" s="82">
        <v>-419</v>
      </c>
      <c r="J387" s="82"/>
      <c r="K387" s="82"/>
      <c r="L387" s="82">
        <v>1177</v>
      </c>
      <c r="M387" s="82">
        <v>3500</v>
      </c>
      <c r="N387" s="82"/>
      <c r="O387" s="82"/>
      <c r="P387" s="82"/>
      <c r="Q387" s="82">
        <f t="shared" si="28"/>
        <v>4258</v>
      </c>
      <c r="R387" s="324" t="s">
        <v>1182</v>
      </c>
    </row>
    <row r="388" spans="1:18" ht="24" hidden="1" customHeight="1" x14ac:dyDescent="0.2">
      <c r="A388" s="102"/>
      <c r="B388" s="102"/>
      <c r="C388" s="118"/>
      <c r="D388" s="135" t="s">
        <v>504</v>
      </c>
      <c r="E388" s="82">
        <v>2</v>
      </c>
      <c r="F388" s="82">
        <v>161904</v>
      </c>
      <c r="G388" s="82"/>
      <c r="H388" s="82"/>
      <c r="I388" s="82"/>
      <c r="J388" s="82"/>
      <c r="K388" s="82"/>
      <c r="L388" s="82"/>
      <c r="M388" s="82"/>
      <c r="N388" s="82"/>
      <c r="O388" s="82"/>
      <c r="P388" s="82"/>
      <c r="Q388" s="82">
        <f t="shared" si="28"/>
        <v>0</v>
      </c>
      <c r="R388" s="324"/>
    </row>
    <row r="389" spans="1:18" ht="18.75" customHeight="1" x14ac:dyDescent="0.2">
      <c r="A389" s="341"/>
      <c r="B389" s="341"/>
      <c r="C389" s="363"/>
      <c r="D389" s="396" t="s">
        <v>826</v>
      </c>
      <c r="E389" s="359">
        <v>2</v>
      </c>
      <c r="F389" s="359">
        <v>161913</v>
      </c>
      <c r="G389" s="359"/>
      <c r="H389" s="359"/>
      <c r="I389" s="359">
        <v>-1000</v>
      </c>
      <c r="J389" s="359"/>
      <c r="K389" s="359"/>
      <c r="L389" s="359"/>
      <c r="M389" s="359"/>
      <c r="N389" s="359"/>
      <c r="O389" s="359"/>
      <c r="P389" s="359"/>
      <c r="Q389" s="82">
        <f t="shared" si="28"/>
        <v>-1000</v>
      </c>
      <c r="R389" s="358" t="s">
        <v>1182</v>
      </c>
    </row>
    <row r="390" spans="1:18" ht="14.1" hidden="1" customHeight="1" x14ac:dyDescent="0.2">
      <c r="A390" s="102"/>
      <c r="B390" s="102"/>
      <c r="C390" s="118"/>
      <c r="D390" s="115" t="s">
        <v>208</v>
      </c>
      <c r="E390" s="152"/>
      <c r="F390" s="82"/>
      <c r="G390" s="82"/>
      <c r="H390" s="107"/>
      <c r="I390" s="107"/>
      <c r="J390" s="107"/>
      <c r="K390" s="107"/>
      <c r="L390" s="107"/>
      <c r="M390" s="82"/>
      <c r="N390" s="82"/>
      <c r="O390" s="82"/>
      <c r="P390" s="82"/>
      <c r="Q390" s="82"/>
      <c r="R390" s="324"/>
    </row>
    <row r="391" spans="1:18" ht="14.1" hidden="1" customHeight="1" x14ac:dyDescent="0.2">
      <c r="A391" s="102"/>
      <c r="B391" s="102"/>
      <c r="C391" s="118"/>
      <c r="D391" s="243" t="s">
        <v>505</v>
      </c>
      <c r="E391" s="82">
        <v>2</v>
      </c>
      <c r="F391" s="82">
        <v>151606</v>
      </c>
      <c r="G391" s="82"/>
      <c r="H391" s="82"/>
      <c r="I391" s="82"/>
      <c r="J391" s="82"/>
      <c r="K391" s="82"/>
      <c r="L391" s="82"/>
      <c r="M391" s="82"/>
      <c r="N391" s="82"/>
      <c r="O391" s="82"/>
      <c r="P391" s="82"/>
      <c r="Q391" s="82">
        <f>SUM(G391:P391)</f>
        <v>0</v>
      </c>
      <c r="R391" s="324"/>
    </row>
    <row r="392" spans="1:18" ht="16.5" hidden="1" customHeight="1" x14ac:dyDescent="0.2">
      <c r="A392" s="102"/>
      <c r="B392" s="102"/>
      <c r="C392" s="118"/>
      <c r="D392" s="115" t="s">
        <v>449</v>
      </c>
      <c r="E392" s="152"/>
      <c r="F392" s="82"/>
      <c r="G392" s="82"/>
      <c r="H392" s="107"/>
      <c r="I392" s="107"/>
      <c r="J392" s="107"/>
      <c r="K392" s="107"/>
      <c r="L392" s="107"/>
      <c r="M392" s="82"/>
      <c r="N392" s="82"/>
      <c r="O392" s="82"/>
      <c r="P392" s="82"/>
      <c r="Q392" s="82"/>
      <c r="R392" s="324"/>
    </row>
    <row r="393" spans="1:18" ht="25.5" customHeight="1" x14ac:dyDescent="0.2">
      <c r="A393" s="102"/>
      <c r="B393" s="102"/>
      <c r="C393" s="118"/>
      <c r="D393" s="135" t="s">
        <v>726</v>
      </c>
      <c r="E393" s="82">
        <v>2</v>
      </c>
      <c r="F393" s="82">
        <v>151203</v>
      </c>
      <c r="G393" s="82"/>
      <c r="H393" s="82"/>
      <c r="I393" s="82">
        <v>-1240</v>
      </c>
      <c r="J393" s="82"/>
      <c r="K393" s="82"/>
      <c r="L393" s="82">
        <v>1240</v>
      </c>
      <c r="M393" s="82"/>
      <c r="N393" s="82"/>
      <c r="O393" s="82"/>
      <c r="P393" s="82"/>
      <c r="Q393" s="82">
        <f>SUM(G393:P393)</f>
        <v>0</v>
      </c>
      <c r="R393" s="324" t="s">
        <v>1182</v>
      </c>
    </row>
    <row r="394" spans="1:18" ht="14.1" customHeight="1" x14ac:dyDescent="0.2">
      <c r="A394" s="153"/>
      <c r="B394" s="153"/>
      <c r="C394" s="154"/>
      <c r="D394" s="240" t="s">
        <v>506</v>
      </c>
      <c r="E394" s="148"/>
      <c r="F394" s="150"/>
      <c r="G394" s="150">
        <f t="shared" ref="G394:Q394" si="29">SUM(G385:G393)</f>
        <v>0</v>
      </c>
      <c r="H394" s="150">
        <f t="shared" si="29"/>
        <v>0</v>
      </c>
      <c r="I394" s="150">
        <f t="shared" si="29"/>
        <v>-10835</v>
      </c>
      <c r="J394" s="150">
        <f t="shared" si="29"/>
        <v>0</v>
      </c>
      <c r="K394" s="150">
        <f t="shared" si="29"/>
        <v>1010</v>
      </c>
      <c r="L394" s="150">
        <f t="shared" si="29"/>
        <v>2878</v>
      </c>
      <c r="M394" s="150">
        <f t="shared" si="29"/>
        <v>5278</v>
      </c>
      <c r="N394" s="150">
        <f t="shared" si="29"/>
        <v>1800</v>
      </c>
      <c r="O394" s="150">
        <f t="shared" si="29"/>
        <v>0</v>
      </c>
      <c r="P394" s="150">
        <f t="shared" si="29"/>
        <v>0</v>
      </c>
      <c r="Q394" s="150">
        <f t="shared" si="29"/>
        <v>131</v>
      </c>
      <c r="R394" s="325"/>
    </row>
    <row r="395" spans="1:18" ht="14.1" customHeight="1" x14ac:dyDescent="0.2">
      <c r="A395" s="102"/>
      <c r="B395" s="102"/>
      <c r="C395" s="118"/>
      <c r="D395" s="143" t="s">
        <v>507</v>
      </c>
      <c r="E395" s="130"/>
      <c r="F395" s="82"/>
      <c r="G395" s="107"/>
      <c r="H395" s="107"/>
      <c r="I395" s="107"/>
      <c r="J395" s="82"/>
      <c r="K395" s="82"/>
      <c r="L395" s="82"/>
      <c r="M395" s="82"/>
      <c r="N395" s="82"/>
      <c r="O395" s="82"/>
      <c r="P395" s="82"/>
      <c r="Q395" s="82"/>
      <c r="R395" s="324"/>
    </row>
    <row r="396" spans="1:18" ht="15.4" hidden="1" customHeight="1" x14ac:dyDescent="0.2">
      <c r="A396" s="102"/>
      <c r="B396" s="102"/>
      <c r="C396" s="614" t="s">
        <v>86</v>
      </c>
      <c r="D396" s="615" t="s">
        <v>460</v>
      </c>
      <c r="E396" s="598"/>
      <c r="F396" s="359"/>
      <c r="G396" s="107"/>
      <c r="H396" s="107"/>
      <c r="I396" s="107"/>
      <c r="J396" s="82"/>
      <c r="K396" s="82"/>
      <c r="L396" s="82"/>
      <c r="M396" s="82"/>
      <c r="N396" s="82"/>
      <c r="O396" s="82"/>
      <c r="P396" s="82"/>
      <c r="Q396" s="82"/>
      <c r="R396" s="324"/>
    </row>
    <row r="397" spans="1:18" ht="15.4" customHeight="1" x14ac:dyDescent="0.2">
      <c r="A397" s="102"/>
      <c r="B397" s="102"/>
      <c r="C397" s="381" t="s">
        <v>292</v>
      </c>
      <c r="D397" s="382" t="s">
        <v>508</v>
      </c>
      <c r="E397" s="598"/>
      <c r="F397" s="598">
        <v>164106</v>
      </c>
      <c r="G397" s="107"/>
      <c r="H397" s="107"/>
      <c r="I397" s="107"/>
      <c r="J397" s="107"/>
      <c r="K397" s="107"/>
      <c r="L397" s="107">
        <v>1575</v>
      </c>
      <c r="M397" s="107">
        <v>-9822</v>
      </c>
      <c r="N397" s="107"/>
      <c r="O397" s="107"/>
      <c r="P397" s="107"/>
      <c r="Q397" s="82">
        <f>SUM(G397:P397)</f>
        <v>-8247</v>
      </c>
      <c r="R397" s="324" t="s">
        <v>1182</v>
      </c>
    </row>
    <row r="398" spans="1:18" ht="15.4" customHeight="1" x14ac:dyDescent="0.2">
      <c r="A398" s="102"/>
      <c r="B398" s="102"/>
      <c r="C398" s="616" t="s">
        <v>461</v>
      </c>
      <c r="D398" s="461" t="s">
        <v>922</v>
      </c>
      <c r="E398" s="601"/>
      <c r="F398" s="598">
        <v>162172</v>
      </c>
      <c r="G398" s="107"/>
      <c r="H398" s="107"/>
      <c r="I398" s="107"/>
      <c r="J398" s="107"/>
      <c r="K398" s="107"/>
      <c r="L398" s="107">
        <v>-5874</v>
      </c>
      <c r="M398" s="107"/>
      <c r="N398" s="107"/>
      <c r="O398" s="107"/>
      <c r="P398" s="107"/>
      <c r="Q398" s="82">
        <f>SUM(G398:P398)</f>
        <v>-5874</v>
      </c>
      <c r="R398" s="324" t="s">
        <v>1182</v>
      </c>
    </row>
    <row r="399" spans="1:18" ht="15.4" hidden="1" customHeight="1" x14ac:dyDescent="0.2">
      <c r="A399" s="285"/>
      <c r="B399" s="285"/>
      <c r="C399" s="377"/>
      <c r="D399" s="351" t="s">
        <v>868</v>
      </c>
      <c r="E399" s="598"/>
      <c r="F399" s="598"/>
      <c r="G399" s="295"/>
      <c r="H399" s="295"/>
      <c r="I399" s="295"/>
      <c r="J399" s="295"/>
      <c r="K399" s="295"/>
      <c r="L399" s="932"/>
      <c r="M399" s="295"/>
      <c r="N399" s="295"/>
      <c r="O399" s="295"/>
      <c r="P399" s="295"/>
      <c r="Q399" s="82">
        <f>SUM(G399:P399)</f>
        <v>0</v>
      </c>
      <c r="R399" s="324"/>
    </row>
    <row r="400" spans="1:18" ht="15.4" customHeight="1" x14ac:dyDescent="0.2">
      <c r="A400" s="285"/>
      <c r="B400" s="285"/>
      <c r="C400" s="381" t="s">
        <v>294</v>
      </c>
      <c r="D400" s="382" t="s">
        <v>654</v>
      </c>
      <c r="E400" s="598"/>
      <c r="F400" s="598">
        <v>161909</v>
      </c>
      <c r="G400" s="295"/>
      <c r="H400" s="295"/>
      <c r="I400" s="295"/>
      <c r="J400" s="295"/>
      <c r="K400" s="295"/>
      <c r="L400" s="295">
        <v>-4956</v>
      </c>
      <c r="M400" s="295">
        <v>-11800</v>
      </c>
      <c r="N400" s="295"/>
      <c r="O400" s="295"/>
      <c r="P400" s="295"/>
      <c r="Q400" s="82">
        <f t="shared" ref="Q400:Q409" si="30">SUM(G400:P400)</f>
        <v>-16756</v>
      </c>
      <c r="R400" s="324" t="s">
        <v>1183</v>
      </c>
    </row>
    <row r="401" spans="1:18" ht="26.45" customHeight="1" x14ac:dyDescent="0.2">
      <c r="A401" s="285"/>
      <c r="B401" s="285"/>
      <c r="C401" s="381" t="s">
        <v>296</v>
      </c>
      <c r="D401" s="364" t="s">
        <v>725</v>
      </c>
      <c r="E401" s="598"/>
      <c r="F401" s="598">
        <v>164207</v>
      </c>
      <c r="G401" s="295"/>
      <c r="H401" s="295"/>
      <c r="I401" s="295">
        <v>130</v>
      </c>
      <c r="J401" s="295"/>
      <c r="K401" s="295">
        <v>7</v>
      </c>
      <c r="L401" s="932"/>
      <c r="M401" s="295"/>
      <c r="N401" s="295">
        <v>2294</v>
      </c>
      <c r="O401" s="295"/>
      <c r="P401" s="295"/>
      <c r="Q401" s="82">
        <f t="shared" si="30"/>
        <v>2431</v>
      </c>
      <c r="R401" s="324" t="s">
        <v>1182</v>
      </c>
    </row>
    <row r="402" spans="1:18" ht="16.899999999999999" hidden="1" customHeight="1" x14ac:dyDescent="0.2">
      <c r="A402" s="102"/>
      <c r="B402" s="102"/>
      <c r="C402" s="381" t="s">
        <v>462</v>
      </c>
      <c r="D402" s="366" t="s">
        <v>923</v>
      </c>
      <c r="E402" s="598"/>
      <c r="F402" s="598">
        <v>164110</v>
      </c>
      <c r="G402" s="107"/>
      <c r="H402" s="107"/>
      <c r="I402" s="107"/>
      <c r="J402" s="107"/>
      <c r="K402" s="107"/>
      <c r="L402" s="931"/>
      <c r="M402" s="107"/>
      <c r="N402" s="107"/>
      <c r="O402" s="107"/>
      <c r="P402" s="107"/>
      <c r="Q402" s="82">
        <f t="shared" si="30"/>
        <v>0</v>
      </c>
      <c r="R402" s="324"/>
    </row>
    <row r="403" spans="1:18" ht="15.4" hidden="1" customHeight="1" x14ac:dyDescent="0.2">
      <c r="A403" s="102"/>
      <c r="B403" s="102"/>
      <c r="C403" s="381" t="s">
        <v>924</v>
      </c>
      <c r="D403" s="366" t="s">
        <v>925</v>
      </c>
      <c r="E403" s="598"/>
      <c r="F403" s="598">
        <v>164111</v>
      </c>
      <c r="G403" s="107"/>
      <c r="H403" s="107"/>
      <c r="I403" s="107"/>
      <c r="J403" s="107"/>
      <c r="K403" s="107"/>
      <c r="L403" s="931"/>
      <c r="M403" s="107"/>
      <c r="N403" s="107"/>
      <c r="O403" s="107"/>
      <c r="P403" s="107"/>
      <c r="Q403" s="82">
        <f t="shared" si="30"/>
        <v>0</v>
      </c>
      <c r="R403" s="324"/>
    </row>
    <row r="404" spans="1:18" ht="15.4" hidden="1" customHeight="1" x14ac:dyDescent="0.2">
      <c r="A404" s="102"/>
      <c r="B404" s="102"/>
      <c r="C404" s="377" t="s">
        <v>85</v>
      </c>
      <c r="D404" s="377" t="s">
        <v>463</v>
      </c>
      <c r="E404" s="598"/>
      <c r="F404" s="598"/>
      <c r="G404" s="107"/>
      <c r="H404" s="107"/>
      <c r="I404" s="107"/>
      <c r="J404" s="107"/>
      <c r="K404" s="107"/>
      <c r="L404" s="931"/>
      <c r="M404" s="107"/>
      <c r="N404" s="107"/>
      <c r="O404" s="107"/>
      <c r="P404" s="107"/>
      <c r="Q404" s="82"/>
      <c r="R404" s="324"/>
    </row>
    <row r="405" spans="1:18" ht="15" customHeight="1" x14ac:dyDescent="0.2">
      <c r="A405" s="102"/>
      <c r="B405" s="102"/>
      <c r="C405" s="381" t="s">
        <v>387</v>
      </c>
      <c r="D405" s="383" t="s">
        <v>509</v>
      </c>
      <c r="E405" s="598"/>
      <c r="F405" s="598">
        <v>164204</v>
      </c>
      <c r="G405" s="107"/>
      <c r="H405" s="107"/>
      <c r="I405" s="107"/>
      <c r="J405" s="107"/>
      <c r="K405" s="107"/>
      <c r="L405" s="931"/>
      <c r="M405" s="107">
        <v>8247</v>
      </c>
      <c r="N405" s="107"/>
      <c r="O405" s="107"/>
      <c r="P405" s="107"/>
      <c r="Q405" s="82">
        <f t="shared" si="30"/>
        <v>8247</v>
      </c>
      <c r="R405" s="324" t="s">
        <v>1182</v>
      </c>
    </row>
    <row r="406" spans="1:18" ht="14.45" hidden="1" customHeight="1" x14ac:dyDescent="0.2">
      <c r="A406" s="102"/>
      <c r="B406" s="102"/>
      <c r="C406" s="363"/>
      <c r="D406" s="351" t="s">
        <v>868</v>
      </c>
      <c r="E406" s="598"/>
      <c r="F406" s="598"/>
      <c r="G406" s="107"/>
      <c r="H406" s="107"/>
      <c r="I406" s="107"/>
      <c r="J406" s="107"/>
      <c r="K406" s="107"/>
      <c r="L406" s="931"/>
      <c r="M406" s="107"/>
      <c r="N406" s="107"/>
      <c r="O406" s="107"/>
      <c r="P406" s="107"/>
      <c r="Q406" s="82">
        <f t="shared" si="30"/>
        <v>0</v>
      </c>
      <c r="R406" s="324"/>
    </row>
    <row r="407" spans="1:18" ht="27.6" hidden="1" customHeight="1" x14ac:dyDescent="0.2">
      <c r="A407" s="285"/>
      <c r="B407" s="285"/>
      <c r="C407" s="363" t="s">
        <v>510</v>
      </c>
      <c r="D407" s="364" t="s">
        <v>511</v>
      </c>
      <c r="E407" s="598"/>
      <c r="F407" s="598">
        <v>164206</v>
      </c>
      <c r="G407" s="295"/>
      <c r="H407" s="295"/>
      <c r="I407" s="295"/>
      <c r="J407" s="295"/>
      <c r="K407" s="295"/>
      <c r="L407" s="932"/>
      <c r="M407" s="295"/>
      <c r="N407" s="295"/>
      <c r="O407" s="295"/>
      <c r="P407" s="295"/>
      <c r="Q407" s="82">
        <f t="shared" si="30"/>
        <v>0</v>
      </c>
      <c r="R407" s="324"/>
    </row>
    <row r="408" spans="1:18" ht="15.6" hidden="1" customHeight="1" x14ac:dyDescent="0.2">
      <c r="A408" s="102"/>
      <c r="B408" s="102"/>
      <c r="C408" s="384" t="s">
        <v>87</v>
      </c>
      <c r="D408" s="377" t="s">
        <v>512</v>
      </c>
      <c r="E408" s="598"/>
      <c r="F408" s="598"/>
      <c r="G408" s="107"/>
      <c r="H408" s="107"/>
      <c r="I408" s="107"/>
      <c r="J408" s="107"/>
      <c r="K408" s="107"/>
      <c r="L408" s="931"/>
      <c r="M408" s="107"/>
      <c r="N408" s="107"/>
      <c r="O408" s="107"/>
      <c r="P408" s="107"/>
      <c r="Q408" s="82"/>
      <c r="R408" s="324"/>
    </row>
    <row r="409" spans="1:18" ht="15.6" customHeight="1" x14ac:dyDescent="0.2">
      <c r="A409" s="679"/>
      <c r="B409" s="679"/>
      <c r="C409" s="681" t="s">
        <v>987</v>
      </c>
      <c r="D409" s="373" t="s">
        <v>913</v>
      </c>
      <c r="E409" s="598"/>
      <c r="F409" s="598">
        <v>162307</v>
      </c>
      <c r="G409" s="680"/>
      <c r="H409" s="680"/>
      <c r="I409" s="680"/>
      <c r="J409" s="680"/>
      <c r="K409" s="680"/>
      <c r="L409" s="680">
        <v>670</v>
      </c>
      <c r="M409" s="680"/>
      <c r="N409" s="680"/>
      <c r="O409" s="680"/>
      <c r="P409" s="680"/>
      <c r="Q409" s="82">
        <f t="shared" si="30"/>
        <v>670</v>
      </c>
      <c r="R409" s="666" t="s">
        <v>1182</v>
      </c>
    </row>
    <row r="410" spans="1:18" ht="15" hidden="1" customHeight="1" x14ac:dyDescent="0.2">
      <c r="A410" s="102"/>
      <c r="B410" s="102"/>
      <c r="C410" s="387" t="s">
        <v>88</v>
      </c>
      <c r="D410" s="377" t="s">
        <v>513</v>
      </c>
      <c r="E410" s="598"/>
      <c r="F410" s="598"/>
      <c r="G410" s="107"/>
      <c r="H410" s="107"/>
      <c r="I410" s="107"/>
      <c r="J410" s="107"/>
      <c r="K410" s="107"/>
      <c r="L410" s="931"/>
      <c r="M410" s="107"/>
      <c r="N410" s="107"/>
      <c r="O410" s="107"/>
      <c r="P410" s="107"/>
      <c r="Q410" s="82"/>
      <c r="R410" s="324"/>
    </row>
    <row r="411" spans="1:18" ht="15.4" customHeight="1" x14ac:dyDescent="0.2">
      <c r="A411" s="102"/>
      <c r="B411" s="102"/>
      <c r="C411" s="386" t="s">
        <v>467</v>
      </c>
      <c r="D411" s="448" t="s">
        <v>926</v>
      </c>
      <c r="E411" s="604"/>
      <c r="F411" s="359">
        <v>162406</v>
      </c>
      <c r="G411" s="107"/>
      <c r="H411" s="107"/>
      <c r="I411" s="107"/>
      <c r="J411" s="107"/>
      <c r="K411" s="107"/>
      <c r="L411" s="107">
        <v>-5000</v>
      </c>
      <c r="M411" s="107"/>
      <c r="N411" s="107"/>
      <c r="O411" s="107"/>
      <c r="P411" s="107"/>
      <c r="Q411" s="82">
        <f>SUM(G411:P411)</f>
        <v>-5000</v>
      </c>
      <c r="R411" s="324" t="s">
        <v>1181</v>
      </c>
    </row>
    <row r="412" spans="1:18" ht="15.4" hidden="1" customHeight="1" x14ac:dyDescent="0.2">
      <c r="A412" s="102"/>
      <c r="B412" s="102"/>
      <c r="C412" s="386" t="s">
        <v>468</v>
      </c>
      <c r="D412" s="448" t="s">
        <v>927</v>
      </c>
      <c r="E412" s="617"/>
      <c r="F412" s="359">
        <v>164438</v>
      </c>
      <c r="G412" s="107"/>
      <c r="H412" s="107"/>
      <c r="I412" s="107"/>
      <c r="J412" s="107"/>
      <c r="K412" s="107"/>
      <c r="L412" s="931"/>
      <c r="M412" s="107"/>
      <c r="N412" s="107"/>
      <c r="O412" s="107"/>
      <c r="P412" s="107"/>
      <c r="Q412" s="82">
        <f>SUM(G412:P412)</f>
        <v>0</v>
      </c>
      <c r="R412" s="324"/>
    </row>
    <row r="413" spans="1:18" ht="15.4" customHeight="1" x14ac:dyDescent="0.2">
      <c r="A413" s="102"/>
      <c r="B413" s="102"/>
      <c r="C413" s="386" t="s">
        <v>469</v>
      </c>
      <c r="D413" s="448" t="s">
        <v>928</v>
      </c>
      <c r="E413" s="598"/>
      <c r="F413" s="359">
        <v>162419</v>
      </c>
      <c r="G413" s="107"/>
      <c r="H413" s="107"/>
      <c r="I413" s="107">
        <v>2025</v>
      </c>
      <c r="J413" s="107"/>
      <c r="K413" s="107"/>
      <c r="L413" s="107">
        <v>500</v>
      </c>
      <c r="M413" s="107"/>
      <c r="N413" s="107"/>
      <c r="O413" s="107"/>
      <c r="P413" s="107"/>
      <c r="Q413" s="82">
        <f t="shared" ref="Q413:Q421" si="31">SUM(G413:P413)</f>
        <v>2525</v>
      </c>
      <c r="R413" s="324" t="s">
        <v>1182</v>
      </c>
    </row>
    <row r="414" spans="1:18" ht="15.4" customHeight="1" x14ac:dyDescent="0.2">
      <c r="A414" s="102"/>
      <c r="B414" s="155"/>
      <c r="C414" s="386" t="s">
        <v>470</v>
      </c>
      <c r="D414" s="448" t="s">
        <v>929</v>
      </c>
      <c r="E414" s="604"/>
      <c r="F414" s="359">
        <v>162440</v>
      </c>
      <c r="G414" s="107"/>
      <c r="H414" s="107"/>
      <c r="I414" s="107">
        <v>1395</v>
      </c>
      <c r="J414" s="107"/>
      <c r="K414" s="107"/>
      <c r="L414" s="107">
        <v>-1771</v>
      </c>
      <c r="M414" s="107"/>
      <c r="N414" s="107"/>
      <c r="O414" s="107"/>
      <c r="P414" s="107"/>
      <c r="Q414" s="82">
        <f t="shared" si="31"/>
        <v>-376</v>
      </c>
      <c r="R414" s="324" t="s">
        <v>1182</v>
      </c>
    </row>
    <row r="415" spans="1:18" ht="28.15" hidden="1" customHeight="1" x14ac:dyDescent="0.2">
      <c r="A415" s="102"/>
      <c r="B415" s="155"/>
      <c r="C415" s="386" t="s">
        <v>471</v>
      </c>
      <c r="D415" s="618" t="s">
        <v>930</v>
      </c>
      <c r="E415" s="598"/>
      <c r="F415" s="359">
        <v>162441</v>
      </c>
      <c r="G415" s="107"/>
      <c r="H415" s="107"/>
      <c r="I415" s="107"/>
      <c r="J415" s="107"/>
      <c r="K415" s="107"/>
      <c r="L415" s="107"/>
      <c r="M415" s="107"/>
      <c r="N415" s="107"/>
      <c r="O415" s="107"/>
      <c r="P415" s="107"/>
      <c r="Q415" s="82">
        <f t="shared" si="31"/>
        <v>0</v>
      </c>
      <c r="R415" s="324"/>
    </row>
    <row r="416" spans="1:18" ht="23.45" hidden="1" customHeight="1" x14ac:dyDescent="0.2">
      <c r="A416" s="102"/>
      <c r="B416" s="155"/>
      <c r="C416" s="386" t="s">
        <v>764</v>
      </c>
      <c r="D416" s="364" t="s">
        <v>931</v>
      </c>
      <c r="E416" s="604"/>
      <c r="F416" s="359">
        <v>162442</v>
      </c>
      <c r="G416" s="107"/>
      <c r="H416" s="107"/>
      <c r="I416" s="107"/>
      <c r="J416" s="107"/>
      <c r="K416" s="107"/>
      <c r="L416" s="107"/>
      <c r="M416" s="107"/>
      <c r="N416" s="107"/>
      <c r="O416" s="107"/>
      <c r="P416" s="107"/>
      <c r="Q416" s="82">
        <f t="shared" si="31"/>
        <v>0</v>
      </c>
      <c r="R416" s="324"/>
    </row>
    <row r="417" spans="1:18" ht="16.899999999999999" customHeight="1" x14ac:dyDescent="0.2">
      <c r="A417" s="679"/>
      <c r="B417" s="714"/>
      <c r="C417" s="717" t="s">
        <v>1017</v>
      </c>
      <c r="D417" s="715" t="s">
        <v>1025</v>
      </c>
      <c r="E417" s="716"/>
      <c r="F417" s="684">
        <v>164439</v>
      </c>
      <c r="G417" s="680"/>
      <c r="H417" s="680"/>
      <c r="I417" s="680"/>
      <c r="J417" s="680"/>
      <c r="K417" s="680"/>
      <c r="L417" s="680"/>
      <c r="M417" s="680">
        <v>-14766</v>
      </c>
      <c r="N417" s="680"/>
      <c r="O417" s="680"/>
      <c r="P417" s="680"/>
      <c r="Q417" s="82">
        <f t="shared" si="31"/>
        <v>-14766</v>
      </c>
      <c r="R417" s="666" t="s">
        <v>1181</v>
      </c>
    </row>
    <row r="418" spans="1:18" ht="15" hidden="1" customHeight="1" x14ac:dyDescent="0.2">
      <c r="A418" s="679"/>
      <c r="B418" s="714"/>
      <c r="C418" s="717" t="s">
        <v>1018</v>
      </c>
      <c r="D418" s="715" t="s">
        <v>1026</v>
      </c>
      <c r="E418" s="716"/>
      <c r="F418" s="684">
        <v>162443</v>
      </c>
      <c r="G418" s="680"/>
      <c r="H418" s="680"/>
      <c r="I418" s="680"/>
      <c r="J418" s="680"/>
      <c r="K418" s="680"/>
      <c r="L418" s="680"/>
      <c r="M418" s="680"/>
      <c r="N418" s="680"/>
      <c r="O418" s="680"/>
      <c r="P418" s="680"/>
      <c r="Q418" s="82">
        <f t="shared" si="31"/>
        <v>0</v>
      </c>
      <c r="R418" s="666"/>
    </row>
    <row r="419" spans="1:18" ht="15.6" hidden="1" customHeight="1" x14ac:dyDescent="0.2">
      <c r="A419" s="679"/>
      <c r="B419" s="714"/>
      <c r="C419" s="717" t="s">
        <v>1027</v>
      </c>
      <c r="D419" s="715" t="s">
        <v>1028</v>
      </c>
      <c r="E419" s="716"/>
      <c r="F419" s="684">
        <v>164445</v>
      </c>
      <c r="G419" s="680"/>
      <c r="H419" s="680"/>
      <c r="I419" s="680"/>
      <c r="J419" s="680"/>
      <c r="K419" s="680"/>
      <c r="L419" s="680"/>
      <c r="M419" s="680"/>
      <c r="N419" s="680"/>
      <c r="O419" s="680"/>
      <c r="P419" s="680"/>
      <c r="Q419" s="82">
        <f t="shared" si="31"/>
        <v>0</v>
      </c>
      <c r="R419" s="666"/>
    </row>
    <row r="420" spans="1:18" ht="15.6" hidden="1" customHeight="1" x14ac:dyDescent="0.2">
      <c r="A420" s="679"/>
      <c r="B420" s="714"/>
      <c r="C420" s="717" t="s">
        <v>1096</v>
      </c>
      <c r="D420" s="715" t="s">
        <v>1097</v>
      </c>
      <c r="E420" s="716"/>
      <c r="F420" s="684">
        <v>164440</v>
      </c>
      <c r="G420" s="680"/>
      <c r="H420" s="680"/>
      <c r="I420" s="680"/>
      <c r="J420" s="680"/>
      <c r="K420" s="680"/>
      <c r="L420" s="680"/>
      <c r="M420" s="680"/>
      <c r="N420" s="680"/>
      <c r="O420" s="680"/>
      <c r="P420" s="680"/>
      <c r="Q420" s="82">
        <f t="shared" si="31"/>
        <v>0</v>
      </c>
      <c r="R420" s="666"/>
    </row>
    <row r="421" spans="1:18" ht="15.6" customHeight="1" x14ac:dyDescent="0.2">
      <c r="A421" s="808"/>
      <c r="B421" s="714"/>
      <c r="C421" s="820" t="s">
        <v>1135</v>
      </c>
      <c r="D421" s="715" t="s">
        <v>1136</v>
      </c>
      <c r="E421" s="821"/>
      <c r="F421" s="810">
        <v>154474</v>
      </c>
      <c r="G421" s="822"/>
      <c r="H421" s="822"/>
      <c r="I421" s="822"/>
      <c r="J421" s="822"/>
      <c r="K421" s="822"/>
      <c r="L421" s="822"/>
      <c r="M421" s="822">
        <v>-10000</v>
      </c>
      <c r="N421" s="822"/>
      <c r="O421" s="822"/>
      <c r="P421" s="822"/>
      <c r="Q421" s="82">
        <f t="shared" si="31"/>
        <v>-10000</v>
      </c>
      <c r="R421" s="812" t="s">
        <v>1183</v>
      </c>
    </row>
    <row r="422" spans="1:18" ht="17.45" hidden="1" customHeight="1" x14ac:dyDescent="0.2">
      <c r="A422" s="102"/>
      <c r="B422" s="155"/>
      <c r="C422" s="386"/>
      <c r="D422" s="619" t="s">
        <v>868</v>
      </c>
      <c r="E422" s="598"/>
      <c r="F422" s="598"/>
      <c r="G422" s="107"/>
      <c r="H422" s="107"/>
      <c r="I422" s="107"/>
      <c r="J422" s="107"/>
      <c r="K422" s="107"/>
      <c r="L422" s="107"/>
      <c r="M422" s="107"/>
      <c r="N422" s="107"/>
      <c r="O422" s="107"/>
      <c r="P422" s="107"/>
      <c r="Q422" s="82">
        <f t="shared" ref="Q422:Q439" si="32">SUM(G422:P422)</f>
        <v>0</v>
      </c>
      <c r="R422" s="324"/>
    </row>
    <row r="423" spans="1:18" ht="15.4" hidden="1" customHeight="1" x14ac:dyDescent="0.2">
      <c r="A423" s="102"/>
      <c r="B423" s="155"/>
      <c r="C423" s="386" t="s">
        <v>473</v>
      </c>
      <c r="D423" s="373" t="s">
        <v>630</v>
      </c>
      <c r="E423" s="598"/>
      <c r="F423" s="598">
        <v>162431</v>
      </c>
      <c r="G423" s="107"/>
      <c r="H423" s="107"/>
      <c r="I423" s="107"/>
      <c r="J423" s="107"/>
      <c r="K423" s="107"/>
      <c r="L423" s="107"/>
      <c r="M423" s="107"/>
      <c r="N423" s="107"/>
      <c r="O423" s="107"/>
      <c r="P423" s="107"/>
      <c r="Q423" s="82">
        <f t="shared" si="32"/>
        <v>0</v>
      </c>
      <c r="R423" s="324"/>
    </row>
    <row r="424" spans="1:18" ht="15.4" customHeight="1" x14ac:dyDescent="0.2">
      <c r="A424" s="102"/>
      <c r="B424" s="155"/>
      <c r="C424" s="386" t="s">
        <v>474</v>
      </c>
      <c r="D424" s="375" t="s">
        <v>722</v>
      </c>
      <c r="E424" s="598"/>
      <c r="F424" s="598">
        <v>162402</v>
      </c>
      <c r="G424" s="107"/>
      <c r="H424" s="107"/>
      <c r="I424" s="107"/>
      <c r="J424" s="107"/>
      <c r="K424" s="107"/>
      <c r="L424" s="107">
        <v>-1979</v>
      </c>
      <c r="M424" s="107"/>
      <c r="N424" s="107"/>
      <c r="O424" s="107"/>
      <c r="P424" s="107"/>
      <c r="Q424" s="82">
        <f t="shared" si="32"/>
        <v>-1979</v>
      </c>
      <c r="R424" s="324" t="s">
        <v>1182</v>
      </c>
    </row>
    <row r="425" spans="1:18" ht="15" hidden="1" customHeight="1" x14ac:dyDescent="0.2">
      <c r="A425" s="102"/>
      <c r="B425" s="155"/>
      <c r="C425" s="386" t="s">
        <v>475</v>
      </c>
      <c r="D425" s="620" t="s">
        <v>932</v>
      </c>
      <c r="E425" s="598"/>
      <c r="F425" s="598">
        <v>164435</v>
      </c>
      <c r="G425" s="107"/>
      <c r="H425" s="107"/>
      <c r="I425" s="107"/>
      <c r="J425" s="107"/>
      <c r="K425" s="107"/>
      <c r="L425" s="931"/>
      <c r="M425" s="107"/>
      <c r="N425" s="107"/>
      <c r="O425" s="107"/>
      <c r="P425" s="107"/>
      <c r="Q425" s="82">
        <f t="shared" si="32"/>
        <v>0</v>
      </c>
      <c r="R425" s="324"/>
    </row>
    <row r="426" spans="1:18" ht="15.4" hidden="1" customHeight="1" x14ac:dyDescent="0.2">
      <c r="A426" s="102"/>
      <c r="B426" s="155"/>
      <c r="C426" s="386" t="s">
        <v>476</v>
      </c>
      <c r="D426" s="620" t="s">
        <v>933</v>
      </c>
      <c r="E426" s="598"/>
      <c r="F426" s="598">
        <v>152467</v>
      </c>
      <c r="G426" s="107"/>
      <c r="H426" s="107"/>
      <c r="I426" s="107"/>
      <c r="J426" s="107"/>
      <c r="K426" s="107"/>
      <c r="L426" s="931"/>
      <c r="M426" s="107"/>
      <c r="N426" s="107"/>
      <c r="O426" s="107"/>
      <c r="P426" s="107"/>
      <c r="Q426" s="82">
        <f t="shared" si="32"/>
        <v>0</v>
      </c>
      <c r="R426" s="324"/>
    </row>
    <row r="427" spans="1:18" ht="15.4" hidden="1" customHeight="1" x14ac:dyDescent="0.2">
      <c r="A427" s="102"/>
      <c r="B427" s="155"/>
      <c r="C427" s="386" t="s">
        <v>477</v>
      </c>
      <c r="D427" s="620" t="s">
        <v>934</v>
      </c>
      <c r="E427" s="598"/>
      <c r="F427" s="598">
        <v>154456</v>
      </c>
      <c r="G427" s="107"/>
      <c r="H427" s="107"/>
      <c r="I427" s="107"/>
      <c r="J427" s="107"/>
      <c r="K427" s="107"/>
      <c r="L427" s="931"/>
      <c r="M427" s="107"/>
      <c r="N427" s="107"/>
      <c r="O427" s="107"/>
      <c r="P427" s="107"/>
      <c r="Q427" s="82">
        <f t="shared" si="32"/>
        <v>0</v>
      </c>
      <c r="R427" s="324"/>
    </row>
    <row r="428" spans="1:18" ht="15.4" hidden="1" customHeight="1" x14ac:dyDescent="0.2">
      <c r="A428" s="102"/>
      <c r="B428" s="155"/>
      <c r="C428" s="387" t="s">
        <v>76</v>
      </c>
      <c r="D428" s="361" t="s">
        <v>482</v>
      </c>
      <c r="E428" s="598"/>
      <c r="F428" s="598"/>
      <c r="G428" s="107"/>
      <c r="H428" s="107"/>
      <c r="I428" s="107"/>
      <c r="J428" s="107"/>
      <c r="K428" s="107"/>
      <c r="L428" s="931"/>
      <c r="M428" s="107"/>
      <c r="N428" s="107"/>
      <c r="O428" s="107"/>
      <c r="P428" s="107"/>
      <c r="Q428" s="82"/>
      <c r="R428" s="324"/>
    </row>
    <row r="429" spans="1:18" ht="15.4" customHeight="1" x14ac:dyDescent="0.2">
      <c r="A429" s="285"/>
      <c r="B429" s="298"/>
      <c r="C429" s="370" t="s">
        <v>822</v>
      </c>
      <c r="D429" s="460" t="s">
        <v>935</v>
      </c>
      <c r="E429" s="621"/>
      <c r="F429" s="598">
        <v>162507</v>
      </c>
      <c r="G429" s="295"/>
      <c r="H429" s="295"/>
      <c r="I429" s="295"/>
      <c r="J429" s="295"/>
      <c r="K429" s="295"/>
      <c r="L429" s="295">
        <v>-1010</v>
      </c>
      <c r="M429" s="295"/>
      <c r="N429" s="295"/>
      <c r="O429" s="295"/>
      <c r="P429" s="295"/>
      <c r="Q429" s="82">
        <f t="shared" si="32"/>
        <v>-1010</v>
      </c>
      <c r="R429" s="324" t="s">
        <v>1182</v>
      </c>
    </row>
    <row r="430" spans="1:18" ht="15.4" hidden="1" customHeight="1" x14ac:dyDescent="0.2">
      <c r="A430" s="285"/>
      <c r="B430" s="298"/>
      <c r="C430" s="384" t="s">
        <v>75</v>
      </c>
      <c r="D430" s="377" t="s">
        <v>514</v>
      </c>
      <c r="E430" s="598"/>
      <c r="F430" s="598"/>
      <c r="G430" s="287"/>
      <c r="H430" s="287"/>
      <c r="I430" s="287"/>
      <c r="J430" s="287"/>
      <c r="K430" s="287"/>
      <c r="L430" s="935"/>
      <c r="M430" s="287"/>
      <c r="N430" s="287"/>
      <c r="O430" s="287"/>
      <c r="P430" s="287"/>
      <c r="Q430" s="82"/>
      <c r="R430" s="324"/>
    </row>
    <row r="431" spans="1:18" ht="15.4" customHeight="1" x14ac:dyDescent="0.2">
      <c r="A431" s="102"/>
      <c r="B431" s="102"/>
      <c r="C431" s="385" t="s">
        <v>936</v>
      </c>
      <c r="D431" s="388" t="s">
        <v>937</v>
      </c>
      <c r="E431" s="598"/>
      <c r="F431" s="598">
        <v>162637</v>
      </c>
      <c r="G431" s="107"/>
      <c r="H431" s="107"/>
      <c r="I431" s="107"/>
      <c r="J431" s="107"/>
      <c r="K431" s="107"/>
      <c r="L431" s="931"/>
      <c r="M431" s="107">
        <v>2235</v>
      </c>
      <c r="N431" s="107"/>
      <c r="O431" s="107"/>
      <c r="P431" s="107"/>
      <c r="Q431" s="82">
        <f t="shared" si="32"/>
        <v>2235</v>
      </c>
      <c r="R431" s="324" t="s">
        <v>1182</v>
      </c>
    </row>
    <row r="432" spans="1:18" ht="15.4" customHeight="1" x14ac:dyDescent="0.2">
      <c r="A432" s="102"/>
      <c r="B432" s="102"/>
      <c r="C432" s="385" t="s">
        <v>938</v>
      </c>
      <c r="D432" s="448" t="s">
        <v>939</v>
      </c>
      <c r="E432" s="598"/>
      <c r="F432" s="598">
        <v>162621</v>
      </c>
      <c r="G432" s="107"/>
      <c r="H432" s="107"/>
      <c r="I432" s="107"/>
      <c r="J432" s="107"/>
      <c r="K432" s="107"/>
      <c r="L432" s="107">
        <v>-533</v>
      </c>
      <c r="M432" s="107">
        <v>2414</v>
      </c>
      <c r="N432" s="107"/>
      <c r="O432" s="107"/>
      <c r="P432" s="107"/>
      <c r="Q432" s="287">
        <f t="shared" si="32"/>
        <v>1881</v>
      </c>
      <c r="R432" s="324" t="s">
        <v>1182</v>
      </c>
    </row>
    <row r="433" spans="1:18" ht="15.4" hidden="1" customHeight="1" x14ac:dyDescent="0.2">
      <c r="A433" s="102"/>
      <c r="B433" s="102"/>
      <c r="C433" s="384"/>
      <c r="D433" s="351" t="s">
        <v>868</v>
      </c>
      <c r="E433" s="598"/>
      <c r="F433" s="598"/>
      <c r="G433" s="107"/>
      <c r="H433" s="107"/>
      <c r="I433" s="107"/>
      <c r="J433" s="107"/>
      <c r="K433" s="107"/>
      <c r="L433" s="931"/>
      <c r="M433" s="107"/>
      <c r="N433" s="107"/>
      <c r="O433" s="107"/>
      <c r="P433" s="107"/>
      <c r="Q433" s="287"/>
      <c r="R433" s="324"/>
    </row>
    <row r="434" spans="1:18" ht="15.4" hidden="1" customHeight="1" x14ac:dyDescent="0.2">
      <c r="A434" s="102"/>
      <c r="B434" s="102"/>
      <c r="C434" s="386" t="s">
        <v>389</v>
      </c>
      <c r="D434" s="388" t="s">
        <v>515</v>
      </c>
      <c r="E434" s="598"/>
      <c r="F434" s="598">
        <v>162601</v>
      </c>
      <c r="G434" s="107"/>
      <c r="H434" s="107"/>
      <c r="I434" s="107"/>
      <c r="J434" s="107"/>
      <c r="K434" s="107"/>
      <c r="L434" s="931"/>
      <c r="M434" s="107"/>
      <c r="N434" s="107"/>
      <c r="O434" s="107"/>
      <c r="P434" s="107"/>
      <c r="Q434" s="287">
        <f t="shared" si="32"/>
        <v>0</v>
      </c>
      <c r="R434" s="324"/>
    </row>
    <row r="435" spans="1:18" ht="23.25" customHeight="1" x14ac:dyDescent="0.2">
      <c r="A435" s="102"/>
      <c r="B435" s="102"/>
      <c r="C435" s="386" t="s">
        <v>390</v>
      </c>
      <c r="D435" s="389" t="s">
        <v>940</v>
      </c>
      <c r="E435" s="598"/>
      <c r="F435" s="598">
        <v>162636</v>
      </c>
      <c r="G435" s="107"/>
      <c r="H435" s="107"/>
      <c r="I435" s="107">
        <v>2096</v>
      </c>
      <c r="J435" s="107"/>
      <c r="K435" s="107"/>
      <c r="L435" s="107">
        <v>-58</v>
      </c>
      <c r="M435" s="107">
        <v>36</v>
      </c>
      <c r="N435" s="107"/>
      <c r="O435" s="107"/>
      <c r="P435" s="107"/>
      <c r="Q435" s="287">
        <f t="shared" si="32"/>
        <v>2074</v>
      </c>
      <c r="R435" s="324" t="s">
        <v>1182</v>
      </c>
    </row>
    <row r="436" spans="1:18" ht="15.6" hidden="1" customHeight="1" x14ac:dyDescent="0.2">
      <c r="A436" s="102"/>
      <c r="B436" s="102"/>
      <c r="C436" s="387" t="s">
        <v>77</v>
      </c>
      <c r="D436" s="377" t="s">
        <v>485</v>
      </c>
      <c r="E436" s="598"/>
      <c r="F436" s="598"/>
      <c r="G436" s="107"/>
      <c r="H436" s="107"/>
      <c r="I436" s="107"/>
      <c r="J436" s="107"/>
      <c r="K436" s="107"/>
      <c r="L436" s="931"/>
      <c r="M436" s="107"/>
      <c r="N436" s="107"/>
      <c r="O436" s="107"/>
      <c r="P436" s="107"/>
      <c r="Q436" s="287"/>
      <c r="R436" s="324"/>
    </row>
    <row r="437" spans="1:18" ht="15.4" hidden="1" customHeight="1" x14ac:dyDescent="0.2">
      <c r="A437" s="102"/>
      <c r="B437" s="102"/>
      <c r="C437" s="387"/>
      <c r="D437" s="351" t="s">
        <v>868</v>
      </c>
      <c r="E437" s="598"/>
      <c r="F437" s="598"/>
      <c r="G437" s="107"/>
      <c r="H437" s="107"/>
      <c r="I437" s="107"/>
      <c r="J437" s="107"/>
      <c r="K437" s="107"/>
      <c r="L437" s="931"/>
      <c r="M437" s="107"/>
      <c r="N437" s="107"/>
      <c r="O437" s="107"/>
      <c r="P437" s="107"/>
      <c r="Q437" s="287">
        <f t="shared" si="32"/>
        <v>0</v>
      </c>
      <c r="R437" s="324"/>
    </row>
    <row r="438" spans="1:18" ht="15.6" hidden="1" customHeight="1" x14ac:dyDescent="0.2">
      <c r="A438" s="102"/>
      <c r="B438" s="102"/>
      <c r="C438" s="464" t="s">
        <v>941</v>
      </c>
      <c r="D438" s="622" t="s">
        <v>942</v>
      </c>
      <c r="E438" s="604"/>
      <c r="F438" s="598">
        <v>162703</v>
      </c>
      <c r="G438" s="107"/>
      <c r="H438" s="107"/>
      <c r="I438" s="107"/>
      <c r="J438" s="107"/>
      <c r="K438" s="107"/>
      <c r="L438" s="931"/>
      <c r="M438" s="107"/>
      <c r="N438" s="107"/>
      <c r="O438" s="107"/>
      <c r="P438" s="107"/>
      <c r="Q438" s="287">
        <f t="shared" si="32"/>
        <v>0</v>
      </c>
      <c r="R438" s="324"/>
    </row>
    <row r="439" spans="1:18" ht="14.45" hidden="1" customHeight="1" x14ac:dyDescent="0.2">
      <c r="A439" s="102"/>
      <c r="B439" s="102"/>
      <c r="C439" s="462" t="s">
        <v>78</v>
      </c>
      <c r="D439" s="623" t="s">
        <v>486</v>
      </c>
      <c r="E439" s="598"/>
      <c r="F439" s="598"/>
      <c r="G439" s="107"/>
      <c r="H439" s="107"/>
      <c r="I439" s="107"/>
      <c r="J439" s="107"/>
      <c r="K439" s="107"/>
      <c r="L439" s="931"/>
      <c r="M439" s="107"/>
      <c r="N439" s="107"/>
      <c r="O439" s="107"/>
      <c r="P439" s="107"/>
      <c r="Q439" s="287">
        <f t="shared" si="32"/>
        <v>0</v>
      </c>
      <c r="R439" s="324"/>
    </row>
    <row r="440" spans="1:18" ht="15" hidden="1" customHeight="1" x14ac:dyDescent="0.2">
      <c r="A440" s="476"/>
      <c r="B440" s="476"/>
      <c r="C440" s="463" t="s">
        <v>79</v>
      </c>
      <c r="D440" s="623" t="s">
        <v>488</v>
      </c>
      <c r="E440" s="598"/>
      <c r="F440" s="598"/>
      <c r="G440" s="479"/>
      <c r="H440" s="479"/>
      <c r="I440" s="479"/>
      <c r="J440" s="479"/>
      <c r="K440" s="479"/>
      <c r="L440" s="936"/>
      <c r="M440" s="479"/>
      <c r="N440" s="479"/>
      <c r="O440" s="479"/>
      <c r="P440" s="479"/>
      <c r="Q440" s="287"/>
      <c r="R440" s="478"/>
    </row>
    <row r="441" spans="1:18" ht="15.4" customHeight="1" x14ac:dyDescent="0.2">
      <c r="A441" s="102"/>
      <c r="B441" s="102"/>
      <c r="C441" s="370" t="s">
        <v>489</v>
      </c>
      <c r="D441" s="613" t="s">
        <v>943</v>
      </c>
      <c r="E441" s="598"/>
      <c r="F441" s="359">
        <v>152906</v>
      </c>
      <c r="G441" s="107"/>
      <c r="H441" s="107"/>
      <c r="I441" s="107"/>
      <c r="J441" s="107"/>
      <c r="K441" s="107"/>
      <c r="L441" s="107">
        <v>-500</v>
      </c>
      <c r="M441" s="107"/>
      <c r="N441" s="107"/>
      <c r="O441" s="107"/>
      <c r="P441" s="107"/>
      <c r="Q441" s="82">
        <f>SUM(G441:P441)</f>
        <v>-500</v>
      </c>
      <c r="R441" s="324" t="s">
        <v>1187</v>
      </c>
    </row>
    <row r="442" spans="1:18" ht="15" customHeight="1" x14ac:dyDescent="0.2">
      <c r="A442" s="102"/>
      <c r="B442" s="102"/>
      <c r="C442" s="370" t="s">
        <v>490</v>
      </c>
      <c r="D442" s="449" t="s">
        <v>944</v>
      </c>
      <c r="E442" s="598"/>
      <c r="F442" s="359">
        <v>151929</v>
      </c>
      <c r="G442" s="107"/>
      <c r="H442" s="107"/>
      <c r="I442" s="107">
        <v>-949</v>
      </c>
      <c r="J442" s="107"/>
      <c r="K442" s="107"/>
      <c r="L442" s="931"/>
      <c r="M442" s="107"/>
      <c r="N442" s="107"/>
      <c r="O442" s="107"/>
      <c r="P442" s="107"/>
      <c r="Q442" s="82">
        <f>SUM(G442:P442)</f>
        <v>-949</v>
      </c>
      <c r="R442" s="324" t="s">
        <v>1183</v>
      </c>
    </row>
    <row r="443" spans="1:18" ht="15" customHeight="1" x14ac:dyDescent="0.2">
      <c r="A443" s="679"/>
      <c r="B443" s="679"/>
      <c r="C443" s="679" t="s">
        <v>1029</v>
      </c>
      <c r="D443" s="719" t="s">
        <v>1030</v>
      </c>
      <c r="E443" s="684"/>
      <c r="F443" s="684">
        <v>164952</v>
      </c>
      <c r="G443" s="680"/>
      <c r="H443" s="680"/>
      <c r="I443" s="680"/>
      <c r="J443" s="680"/>
      <c r="K443" s="680"/>
      <c r="L443" s="680">
        <v>23202</v>
      </c>
      <c r="M443" s="680">
        <v>-21469</v>
      </c>
      <c r="N443" s="680">
        <v>-1733</v>
      </c>
      <c r="O443" s="680"/>
      <c r="P443" s="680"/>
      <c r="Q443" s="82">
        <f t="shared" ref="Q443:Q455" si="33">SUM(G443:P443)</f>
        <v>0</v>
      </c>
      <c r="R443" s="666" t="s">
        <v>1187</v>
      </c>
    </row>
    <row r="444" spans="1:18" ht="15" hidden="1" customHeight="1" x14ac:dyDescent="0.2">
      <c r="A444" s="679"/>
      <c r="B444" s="679"/>
      <c r="C444" s="661" t="s">
        <v>1031</v>
      </c>
      <c r="D444" s="667" t="s">
        <v>1032</v>
      </c>
      <c r="E444" s="684"/>
      <c r="F444" s="663">
        <v>162986</v>
      </c>
      <c r="G444" s="680"/>
      <c r="H444" s="680"/>
      <c r="I444" s="680"/>
      <c r="J444" s="680"/>
      <c r="K444" s="680"/>
      <c r="L444" s="933"/>
      <c r="M444" s="680"/>
      <c r="N444" s="680"/>
      <c r="O444" s="680"/>
      <c r="P444" s="680"/>
      <c r="Q444" s="82">
        <f t="shared" si="33"/>
        <v>0</v>
      </c>
      <c r="R444" s="666"/>
    </row>
    <row r="445" spans="1:18" ht="15" hidden="1" customHeight="1" x14ac:dyDescent="0.2">
      <c r="A445" s="679"/>
      <c r="B445" s="679"/>
      <c r="C445" s="341" t="s">
        <v>1033</v>
      </c>
      <c r="D445" s="718" t="s">
        <v>1034</v>
      </c>
      <c r="E445" s="684"/>
      <c r="F445" s="684">
        <v>164953</v>
      </c>
      <c r="G445" s="680"/>
      <c r="H445" s="680"/>
      <c r="I445" s="680"/>
      <c r="J445" s="680"/>
      <c r="K445" s="680"/>
      <c r="L445" s="933"/>
      <c r="M445" s="680"/>
      <c r="N445" s="680"/>
      <c r="O445" s="680"/>
      <c r="P445" s="680"/>
      <c r="Q445" s="82">
        <f t="shared" si="33"/>
        <v>0</v>
      </c>
      <c r="R445" s="666"/>
    </row>
    <row r="446" spans="1:18" ht="15" hidden="1" customHeight="1" x14ac:dyDescent="0.2">
      <c r="A446" s="679"/>
      <c r="B446" s="679"/>
      <c r="C446" s="341" t="s">
        <v>1044</v>
      </c>
      <c r="D446" s="718" t="s">
        <v>1045</v>
      </c>
      <c r="E446" s="684"/>
      <c r="F446" s="684">
        <v>164427</v>
      </c>
      <c r="G446" s="680"/>
      <c r="H446" s="680"/>
      <c r="I446" s="680"/>
      <c r="J446" s="680"/>
      <c r="K446" s="680"/>
      <c r="L446" s="933"/>
      <c r="M446" s="680"/>
      <c r="N446" s="680"/>
      <c r="O446" s="680"/>
      <c r="P446" s="680"/>
      <c r="Q446" s="82">
        <f t="shared" si="33"/>
        <v>0</v>
      </c>
      <c r="R446" s="666"/>
    </row>
    <row r="447" spans="1:18" ht="15" customHeight="1" x14ac:dyDescent="0.2">
      <c r="A447" s="341"/>
      <c r="B447" s="341"/>
      <c r="C447" s="409" t="s">
        <v>1060</v>
      </c>
      <c r="D447" s="563" t="s">
        <v>1061</v>
      </c>
      <c r="E447" s="598"/>
      <c r="F447" s="598">
        <v>164927</v>
      </c>
      <c r="G447" s="357"/>
      <c r="H447" s="357"/>
      <c r="I447" s="357">
        <v>2000</v>
      </c>
      <c r="J447" s="357"/>
      <c r="K447" s="357"/>
      <c r="L447" s="357"/>
      <c r="M447" s="357">
        <v>-2000</v>
      </c>
      <c r="N447" s="357"/>
      <c r="O447" s="357"/>
      <c r="P447" s="357"/>
      <c r="Q447" s="359">
        <f t="shared" si="33"/>
        <v>0</v>
      </c>
      <c r="R447" s="666" t="s">
        <v>1187</v>
      </c>
    </row>
    <row r="448" spans="1:18" ht="31.15" hidden="1" customHeight="1" x14ac:dyDescent="0.2">
      <c r="A448" s="341"/>
      <c r="B448" s="341"/>
      <c r="C448" s="409" t="s">
        <v>1062</v>
      </c>
      <c r="D448" s="546" t="s">
        <v>1063</v>
      </c>
      <c r="E448" s="716"/>
      <c r="F448" s="598">
        <v>164955</v>
      </c>
      <c r="G448" s="357"/>
      <c r="H448" s="357"/>
      <c r="I448" s="937"/>
      <c r="J448" s="937"/>
      <c r="K448" s="937"/>
      <c r="L448" s="937"/>
      <c r="M448" s="937"/>
      <c r="N448" s="357"/>
      <c r="O448" s="357"/>
      <c r="P448" s="357"/>
      <c r="Q448" s="359">
        <f t="shared" si="33"/>
        <v>0</v>
      </c>
      <c r="R448" s="666"/>
    </row>
    <row r="449" spans="1:18" ht="18" customHeight="1" x14ac:dyDescent="0.2">
      <c r="A449" s="679"/>
      <c r="B449" s="679"/>
      <c r="C449" s="679" t="s">
        <v>1066</v>
      </c>
      <c r="D449" s="733" t="s">
        <v>1067</v>
      </c>
      <c r="E449" s="716"/>
      <c r="F449" s="598">
        <v>164956</v>
      </c>
      <c r="G449" s="680"/>
      <c r="H449" s="680"/>
      <c r="I449" s="680"/>
      <c r="J449" s="680"/>
      <c r="K449" s="680"/>
      <c r="L449" s="680"/>
      <c r="M449" s="680">
        <v>1846</v>
      </c>
      <c r="N449" s="680"/>
      <c r="O449" s="680"/>
      <c r="P449" s="680"/>
      <c r="Q449" s="663">
        <f t="shared" si="33"/>
        <v>1846</v>
      </c>
      <c r="R449" s="666" t="s">
        <v>1187</v>
      </c>
    </row>
    <row r="450" spans="1:18" ht="26.25" hidden="1" customHeight="1" x14ac:dyDescent="0.2">
      <c r="A450" s="679"/>
      <c r="B450" s="679"/>
      <c r="C450" s="679" t="s">
        <v>1098</v>
      </c>
      <c r="D450" s="733" t="s">
        <v>1099</v>
      </c>
      <c r="E450" s="716"/>
      <c r="F450" s="684">
        <v>152516</v>
      </c>
      <c r="G450" s="680"/>
      <c r="H450" s="680"/>
      <c r="I450" s="933"/>
      <c r="J450" s="933"/>
      <c r="K450" s="933"/>
      <c r="L450" s="933"/>
      <c r="M450" s="933"/>
      <c r="N450" s="680"/>
      <c r="O450" s="680"/>
      <c r="P450" s="680"/>
      <c r="Q450" s="663">
        <f t="shared" si="33"/>
        <v>0</v>
      </c>
      <c r="R450" s="666"/>
    </row>
    <row r="451" spans="1:18" ht="26.25" hidden="1" customHeight="1" x14ac:dyDescent="0.2">
      <c r="A451" s="679"/>
      <c r="B451" s="679"/>
      <c r="C451" s="808" t="s">
        <v>1110</v>
      </c>
      <c r="D451" s="855" t="s">
        <v>1109</v>
      </c>
      <c r="E451" s="716"/>
      <c r="F451" s="684">
        <v>164957</v>
      </c>
      <c r="G451" s="680"/>
      <c r="H451" s="680"/>
      <c r="I451" s="933"/>
      <c r="J451" s="933"/>
      <c r="K451" s="933"/>
      <c r="L451" s="933"/>
      <c r="M451" s="933"/>
      <c r="N451" s="680"/>
      <c r="O451" s="680"/>
      <c r="P451" s="680"/>
      <c r="Q451" s="663">
        <f t="shared" si="33"/>
        <v>0</v>
      </c>
      <c r="R451" s="666"/>
    </row>
    <row r="452" spans="1:18" ht="26.25" hidden="1" customHeight="1" x14ac:dyDescent="0.2">
      <c r="A452" s="808"/>
      <c r="B452" s="808"/>
      <c r="C452" s="808" t="s">
        <v>1137</v>
      </c>
      <c r="D452" s="855" t="s">
        <v>1138</v>
      </c>
      <c r="E452" s="821"/>
      <c r="F452" s="810">
        <v>152318</v>
      </c>
      <c r="G452" s="822"/>
      <c r="H452" s="822"/>
      <c r="I452" s="934"/>
      <c r="J452" s="934"/>
      <c r="K452" s="934"/>
      <c r="L452" s="934"/>
      <c r="M452" s="934"/>
      <c r="N452" s="822"/>
      <c r="O452" s="822"/>
      <c r="P452" s="822"/>
      <c r="Q452" s="663">
        <f t="shared" si="33"/>
        <v>0</v>
      </c>
      <c r="R452" s="812"/>
    </row>
    <row r="453" spans="1:18" ht="26.25" customHeight="1" x14ac:dyDescent="0.2">
      <c r="A453" s="808"/>
      <c r="B453" s="808"/>
      <c r="C453" s="808" t="s">
        <v>1139</v>
      </c>
      <c r="D453" s="855" t="s">
        <v>1140</v>
      </c>
      <c r="E453" s="821"/>
      <c r="F453" s="810">
        <v>162624</v>
      </c>
      <c r="G453" s="822"/>
      <c r="H453" s="822"/>
      <c r="I453" s="822"/>
      <c r="J453" s="822"/>
      <c r="K453" s="822"/>
      <c r="L453" s="822">
        <v>754</v>
      </c>
      <c r="M453" s="822"/>
      <c r="N453" s="822"/>
      <c r="O453" s="822"/>
      <c r="P453" s="822"/>
      <c r="Q453" s="663">
        <f t="shared" si="33"/>
        <v>754</v>
      </c>
      <c r="R453" s="812" t="s">
        <v>1187</v>
      </c>
    </row>
    <row r="454" spans="1:18" ht="24" customHeight="1" x14ac:dyDescent="0.2">
      <c r="A454" s="808"/>
      <c r="B454" s="808"/>
      <c r="C454" s="808" t="s">
        <v>1197</v>
      </c>
      <c r="D454" s="855" t="s">
        <v>1199</v>
      </c>
      <c r="E454" s="821"/>
      <c r="F454" s="810">
        <v>162988</v>
      </c>
      <c r="G454" s="822"/>
      <c r="H454" s="822"/>
      <c r="I454" s="934"/>
      <c r="J454" s="934"/>
      <c r="K454" s="934"/>
      <c r="L454" s="822">
        <v>14766</v>
      </c>
      <c r="M454" s="934"/>
      <c r="N454" s="822"/>
      <c r="O454" s="822"/>
      <c r="P454" s="822"/>
      <c r="Q454" s="663">
        <f t="shared" si="33"/>
        <v>14766</v>
      </c>
      <c r="R454" s="812" t="s">
        <v>1181</v>
      </c>
    </row>
    <row r="455" spans="1:18" ht="17.25" customHeight="1" x14ac:dyDescent="0.2">
      <c r="A455" s="808"/>
      <c r="B455" s="808"/>
      <c r="C455" s="808" t="s">
        <v>1198</v>
      </c>
      <c r="D455" s="855" t="s">
        <v>1200</v>
      </c>
      <c r="E455" s="821"/>
      <c r="F455" s="810">
        <v>162989</v>
      </c>
      <c r="G455" s="822"/>
      <c r="H455" s="822"/>
      <c r="I455" s="934"/>
      <c r="J455" s="934"/>
      <c r="K455" s="934"/>
      <c r="L455" s="822">
        <v>53442</v>
      </c>
      <c r="M455" s="934"/>
      <c r="N455" s="822"/>
      <c r="O455" s="822"/>
      <c r="P455" s="822"/>
      <c r="Q455" s="663">
        <f t="shared" si="33"/>
        <v>53442</v>
      </c>
      <c r="R455" s="812" t="s">
        <v>1181</v>
      </c>
    </row>
    <row r="456" spans="1:18" ht="15.4" hidden="1" customHeight="1" x14ac:dyDescent="0.2">
      <c r="A456" s="102"/>
      <c r="B456" s="102"/>
      <c r="C456" s="378"/>
      <c r="D456" s="391" t="s">
        <v>868</v>
      </c>
      <c r="E456" s="598"/>
      <c r="F456" s="598"/>
      <c r="G456" s="107"/>
      <c r="H456" s="107"/>
      <c r="I456" s="931"/>
      <c r="J456" s="931"/>
      <c r="K456" s="931"/>
      <c r="L456" s="931"/>
      <c r="M456" s="931"/>
      <c r="N456" s="107"/>
      <c r="O456" s="107"/>
      <c r="P456" s="107"/>
      <c r="Q456" s="82"/>
      <c r="R456" s="324"/>
    </row>
    <row r="457" spans="1:18" ht="24" hidden="1" customHeight="1" x14ac:dyDescent="0.2">
      <c r="A457" s="102"/>
      <c r="B457" s="102"/>
      <c r="C457" s="341" t="s">
        <v>492</v>
      </c>
      <c r="D457" s="392" t="s">
        <v>945</v>
      </c>
      <c r="E457" s="598"/>
      <c r="F457" s="598">
        <v>174902</v>
      </c>
      <c r="G457" s="107"/>
      <c r="H457" s="107"/>
      <c r="I457" s="931"/>
      <c r="J457" s="931"/>
      <c r="K457" s="931"/>
      <c r="L457" s="931"/>
      <c r="M457" s="931"/>
      <c r="N457" s="107"/>
      <c r="O457" s="107"/>
      <c r="P457" s="107"/>
      <c r="Q457" s="82">
        <f>SUM(G457:P457)</f>
        <v>0</v>
      </c>
      <c r="R457" s="324"/>
    </row>
    <row r="458" spans="1:18" ht="16.149999999999999" customHeight="1" x14ac:dyDescent="0.2">
      <c r="A458" s="102"/>
      <c r="B458" s="102"/>
      <c r="C458" s="341" t="s">
        <v>493</v>
      </c>
      <c r="D458" s="351" t="s">
        <v>946</v>
      </c>
      <c r="E458" s="598"/>
      <c r="F458" s="598">
        <v>162942</v>
      </c>
      <c r="G458" s="107"/>
      <c r="H458" s="107"/>
      <c r="I458" s="931"/>
      <c r="J458" s="931"/>
      <c r="K458" s="931"/>
      <c r="L458" s="931"/>
      <c r="M458" s="107">
        <v>5750</v>
      </c>
      <c r="N458" s="107"/>
      <c r="O458" s="107"/>
      <c r="P458" s="107"/>
      <c r="Q458" s="82">
        <f t="shared" ref="Q458:Q462" si="34">SUM(G458:P458)</f>
        <v>5750</v>
      </c>
      <c r="R458" s="324" t="s">
        <v>1181</v>
      </c>
    </row>
    <row r="459" spans="1:18" ht="15.4" hidden="1" customHeight="1" x14ac:dyDescent="0.2">
      <c r="A459" s="102"/>
      <c r="B459" s="102"/>
      <c r="C459" s="341" t="s">
        <v>494</v>
      </c>
      <c r="D459" s="364" t="s">
        <v>765</v>
      </c>
      <c r="E459" s="598"/>
      <c r="F459" s="598">
        <v>162903</v>
      </c>
      <c r="G459" s="107"/>
      <c r="H459" s="107"/>
      <c r="I459" s="931"/>
      <c r="J459" s="931"/>
      <c r="K459" s="931"/>
      <c r="L459" s="931"/>
      <c r="M459" s="931"/>
      <c r="N459" s="107"/>
      <c r="O459" s="107"/>
      <c r="P459" s="107"/>
      <c r="Q459" s="82">
        <f t="shared" si="34"/>
        <v>0</v>
      </c>
      <c r="R459" s="324"/>
    </row>
    <row r="460" spans="1:18" ht="24" hidden="1" x14ac:dyDescent="0.2">
      <c r="A460" s="102"/>
      <c r="B460" s="102"/>
      <c r="C460" s="341" t="s">
        <v>495</v>
      </c>
      <c r="D460" s="373" t="s">
        <v>655</v>
      </c>
      <c r="E460" s="598"/>
      <c r="F460" s="598">
        <v>162967</v>
      </c>
      <c r="G460" s="107"/>
      <c r="H460" s="107"/>
      <c r="I460" s="931"/>
      <c r="J460" s="931"/>
      <c r="K460" s="931"/>
      <c r="L460" s="931"/>
      <c r="M460" s="931"/>
      <c r="N460" s="107"/>
      <c r="O460" s="107"/>
      <c r="P460" s="107"/>
      <c r="Q460" s="82">
        <f t="shared" si="34"/>
        <v>0</v>
      </c>
      <c r="R460" s="324"/>
    </row>
    <row r="461" spans="1:18" hidden="1" x14ac:dyDescent="0.2">
      <c r="A461" s="102"/>
      <c r="B461" s="102"/>
      <c r="C461" s="341" t="s">
        <v>496</v>
      </c>
      <c r="D461" s="373" t="s">
        <v>705</v>
      </c>
      <c r="E461" s="598"/>
      <c r="F461" s="598">
        <v>162976</v>
      </c>
      <c r="G461" s="107"/>
      <c r="H461" s="107"/>
      <c r="I461" s="931"/>
      <c r="J461" s="931"/>
      <c r="K461" s="931"/>
      <c r="L461" s="931"/>
      <c r="M461" s="931"/>
      <c r="N461" s="107"/>
      <c r="O461" s="107"/>
      <c r="P461" s="107"/>
      <c r="Q461" s="82">
        <f t="shared" si="34"/>
        <v>0</v>
      </c>
      <c r="R461" s="324"/>
    </row>
    <row r="462" spans="1:18" x14ac:dyDescent="0.2">
      <c r="A462" s="102"/>
      <c r="B462" s="102"/>
      <c r="C462" s="341" t="s">
        <v>497</v>
      </c>
      <c r="D462" s="393" t="s">
        <v>947</v>
      </c>
      <c r="E462" s="625"/>
      <c r="F462" s="598">
        <v>162981</v>
      </c>
      <c r="G462" s="107"/>
      <c r="H462" s="107"/>
      <c r="I462" s="931"/>
      <c r="J462" s="931"/>
      <c r="K462" s="931"/>
      <c r="L462" s="107">
        <v>-10442</v>
      </c>
      <c r="M462" s="931"/>
      <c r="N462" s="107"/>
      <c r="O462" s="107"/>
      <c r="P462" s="107"/>
      <c r="Q462" s="82">
        <f t="shared" si="34"/>
        <v>-10442</v>
      </c>
      <c r="R462" s="324" t="s">
        <v>1181</v>
      </c>
    </row>
    <row r="463" spans="1:18" hidden="1" x14ac:dyDescent="0.2">
      <c r="A463" s="102"/>
      <c r="B463" s="102"/>
      <c r="C463" s="341" t="s">
        <v>498</v>
      </c>
      <c r="D463" s="390" t="s">
        <v>827</v>
      </c>
      <c r="E463" s="598"/>
      <c r="F463" s="598">
        <v>164945</v>
      </c>
      <c r="G463" s="107"/>
      <c r="H463" s="107"/>
      <c r="I463" s="931"/>
      <c r="J463" s="931"/>
      <c r="K463" s="931"/>
      <c r="L463" s="931"/>
      <c r="M463" s="931"/>
      <c r="N463" s="107"/>
      <c r="O463" s="107"/>
      <c r="P463" s="107"/>
      <c r="Q463" s="82">
        <f t="shared" ref="Q463:Q482" si="35">SUM(G463:P463)</f>
        <v>0</v>
      </c>
      <c r="R463" s="324"/>
    </row>
    <row r="464" spans="1:18" hidden="1" x14ac:dyDescent="0.2">
      <c r="A464" s="102"/>
      <c r="B464" s="102"/>
      <c r="C464" s="341" t="s">
        <v>516</v>
      </c>
      <c r="D464" s="390" t="s">
        <v>828</v>
      </c>
      <c r="E464" s="598"/>
      <c r="F464" s="598">
        <v>162984</v>
      </c>
      <c r="G464" s="107"/>
      <c r="H464" s="107"/>
      <c r="I464" s="931"/>
      <c r="J464" s="931"/>
      <c r="K464" s="931"/>
      <c r="L464" s="931"/>
      <c r="M464" s="931"/>
      <c r="N464" s="107"/>
      <c r="O464" s="107"/>
      <c r="P464" s="107"/>
      <c r="Q464" s="82">
        <f t="shared" si="35"/>
        <v>0</v>
      </c>
      <c r="R464" s="324"/>
    </row>
    <row r="465" spans="1:18" ht="17.45" hidden="1" customHeight="1" x14ac:dyDescent="0.2">
      <c r="A465" s="102"/>
      <c r="B465" s="102"/>
      <c r="C465" s="361" t="s">
        <v>21</v>
      </c>
      <c r="D465" s="361" t="s">
        <v>517</v>
      </c>
      <c r="E465" s="598"/>
      <c r="F465" s="598"/>
      <c r="G465" s="107"/>
      <c r="H465" s="107"/>
      <c r="I465" s="931"/>
      <c r="J465" s="931"/>
      <c r="K465" s="931"/>
      <c r="L465" s="931"/>
      <c r="M465" s="931"/>
      <c r="N465" s="107"/>
      <c r="O465" s="107"/>
      <c r="P465" s="107"/>
      <c r="Q465" s="82"/>
      <c r="R465" s="324"/>
    </row>
    <row r="466" spans="1:18" ht="15.6" hidden="1" customHeight="1" x14ac:dyDescent="0.2">
      <c r="A466" s="102"/>
      <c r="B466" s="102"/>
      <c r="C466" s="626" t="s">
        <v>518</v>
      </c>
      <c r="D466" s="395" t="s">
        <v>829</v>
      </c>
      <c r="E466" s="598"/>
      <c r="F466" s="598"/>
      <c r="G466" s="107"/>
      <c r="H466" s="107"/>
      <c r="I466" s="931"/>
      <c r="J466" s="931"/>
      <c r="K466" s="931"/>
      <c r="L466" s="931"/>
      <c r="M466" s="931"/>
      <c r="N466" s="107"/>
      <c r="O466" s="107"/>
      <c r="P466" s="107"/>
      <c r="Q466" s="82"/>
      <c r="R466" s="324"/>
    </row>
    <row r="467" spans="1:18" ht="24.75" hidden="1" customHeight="1" x14ac:dyDescent="0.2">
      <c r="A467" s="102"/>
      <c r="B467" s="102"/>
      <c r="C467" s="341" t="s">
        <v>948</v>
      </c>
      <c r="D467" s="627" t="s">
        <v>949</v>
      </c>
      <c r="E467" s="598"/>
      <c r="F467" s="598">
        <v>162622</v>
      </c>
      <c r="G467" s="107"/>
      <c r="H467" s="107"/>
      <c r="I467" s="931"/>
      <c r="J467" s="931"/>
      <c r="K467" s="931"/>
      <c r="L467" s="931"/>
      <c r="M467" s="931"/>
      <c r="N467" s="107"/>
      <c r="O467" s="107"/>
      <c r="P467" s="107"/>
      <c r="Q467" s="82">
        <f t="shared" si="35"/>
        <v>0</v>
      </c>
      <c r="R467" s="324"/>
    </row>
    <row r="468" spans="1:18" ht="24.6" hidden="1" customHeight="1" x14ac:dyDescent="0.2">
      <c r="A468" s="408"/>
      <c r="B468" s="408"/>
      <c r="C468" s="408" t="s">
        <v>975</v>
      </c>
      <c r="D468" s="650" t="s">
        <v>976</v>
      </c>
      <c r="E468" s="598"/>
      <c r="F468" s="598">
        <v>163666</v>
      </c>
      <c r="G468" s="649"/>
      <c r="H468" s="649"/>
      <c r="I468" s="938"/>
      <c r="J468" s="938"/>
      <c r="K468" s="938"/>
      <c r="L468" s="938"/>
      <c r="M468" s="938"/>
      <c r="N468" s="649"/>
      <c r="O468" s="649"/>
      <c r="P468" s="649"/>
      <c r="Q468" s="82">
        <f t="shared" si="35"/>
        <v>0</v>
      </c>
      <c r="R468" s="412"/>
    </row>
    <row r="469" spans="1:18" ht="24.6" hidden="1" customHeight="1" x14ac:dyDescent="0.2">
      <c r="A469" s="679"/>
      <c r="B469" s="679"/>
      <c r="C469" s="679" t="s">
        <v>1035</v>
      </c>
      <c r="D469" s="734" t="s">
        <v>997</v>
      </c>
      <c r="E469" s="684"/>
      <c r="F469" s="684">
        <v>163671</v>
      </c>
      <c r="G469" s="680"/>
      <c r="H469" s="680"/>
      <c r="I469" s="933"/>
      <c r="J469" s="933"/>
      <c r="K469" s="933"/>
      <c r="L469" s="933"/>
      <c r="M469" s="933"/>
      <c r="N469" s="680"/>
      <c r="O469" s="680"/>
      <c r="P469" s="680"/>
      <c r="Q469" s="82">
        <f t="shared" si="35"/>
        <v>0</v>
      </c>
      <c r="R469" s="666"/>
    </row>
    <row r="470" spans="1:18" ht="24.6" hidden="1" customHeight="1" x14ac:dyDescent="0.2">
      <c r="A470" s="679"/>
      <c r="B470" s="679"/>
      <c r="C470" s="679" t="s">
        <v>1100</v>
      </c>
      <c r="D470" s="734" t="s">
        <v>1103</v>
      </c>
      <c r="E470" s="684"/>
      <c r="F470" s="684">
        <v>163672</v>
      </c>
      <c r="G470" s="680"/>
      <c r="H470" s="680"/>
      <c r="I470" s="933"/>
      <c r="J470" s="933"/>
      <c r="K470" s="933"/>
      <c r="L470" s="933"/>
      <c r="M470" s="933"/>
      <c r="N470" s="680"/>
      <c r="O470" s="680"/>
      <c r="P470" s="680"/>
      <c r="Q470" s="82">
        <f t="shared" si="35"/>
        <v>0</v>
      </c>
      <c r="R470" s="666"/>
    </row>
    <row r="471" spans="1:18" ht="30.75" customHeight="1" x14ac:dyDescent="0.2">
      <c r="A471" s="679"/>
      <c r="B471" s="679"/>
      <c r="C471" s="679" t="s">
        <v>1101</v>
      </c>
      <c r="D471" s="734" t="s">
        <v>1104</v>
      </c>
      <c r="E471" s="684"/>
      <c r="F471" s="684">
        <v>163665</v>
      </c>
      <c r="G471" s="680"/>
      <c r="H471" s="680"/>
      <c r="I471" s="680"/>
      <c r="J471" s="680"/>
      <c r="K471" s="680"/>
      <c r="L471" s="680">
        <v>10089</v>
      </c>
      <c r="M471" s="680"/>
      <c r="N471" s="680"/>
      <c r="O471" s="680"/>
      <c r="P471" s="680"/>
      <c r="Q471" s="82">
        <f t="shared" si="35"/>
        <v>10089</v>
      </c>
      <c r="R471" s="666" t="s">
        <v>1182</v>
      </c>
    </row>
    <row r="472" spans="1:18" ht="24.6" hidden="1" customHeight="1" x14ac:dyDescent="0.2">
      <c r="A472" s="679"/>
      <c r="B472" s="679"/>
      <c r="C472" s="679" t="s">
        <v>1102</v>
      </c>
      <c r="D472" s="734" t="s">
        <v>1105</v>
      </c>
      <c r="E472" s="684"/>
      <c r="F472" s="684">
        <v>163685</v>
      </c>
      <c r="G472" s="680"/>
      <c r="H472" s="680"/>
      <c r="I472" s="933"/>
      <c r="J472" s="933"/>
      <c r="K472" s="933"/>
      <c r="L472" s="933"/>
      <c r="M472" s="933"/>
      <c r="N472" s="680"/>
      <c r="O472" s="680"/>
      <c r="P472" s="680"/>
      <c r="Q472" s="82">
        <f t="shared" si="35"/>
        <v>0</v>
      </c>
      <c r="R472" s="666"/>
    </row>
    <row r="473" spans="1:18" ht="24.6" hidden="1" customHeight="1" x14ac:dyDescent="0.2">
      <c r="A473" s="679"/>
      <c r="B473" s="679"/>
      <c r="C473" s="679" t="s">
        <v>1111</v>
      </c>
      <c r="D473" s="734" t="s">
        <v>1112</v>
      </c>
      <c r="E473" s="684"/>
      <c r="F473" s="684">
        <v>163684</v>
      </c>
      <c r="G473" s="680"/>
      <c r="H473" s="680"/>
      <c r="I473" s="933"/>
      <c r="J473" s="933"/>
      <c r="K473" s="933"/>
      <c r="L473" s="933"/>
      <c r="M473" s="933"/>
      <c r="N473" s="680"/>
      <c r="O473" s="680"/>
      <c r="P473" s="680"/>
      <c r="Q473" s="82">
        <f t="shared" si="35"/>
        <v>0</v>
      </c>
      <c r="R473" s="666"/>
    </row>
    <row r="474" spans="1:18" ht="24.6" hidden="1" customHeight="1" x14ac:dyDescent="0.2">
      <c r="A474" s="808"/>
      <c r="B474" s="808"/>
      <c r="C474" s="679" t="s">
        <v>1141</v>
      </c>
      <c r="D474" s="806" t="s">
        <v>1126</v>
      </c>
      <c r="E474" s="810"/>
      <c r="F474" s="810">
        <v>163686</v>
      </c>
      <c r="G474" s="822"/>
      <c r="H474" s="822"/>
      <c r="I474" s="934"/>
      <c r="J474" s="934"/>
      <c r="K474" s="934"/>
      <c r="L474" s="934"/>
      <c r="M474" s="934"/>
      <c r="N474" s="822"/>
      <c r="O474" s="822"/>
      <c r="P474" s="822"/>
      <c r="Q474" s="82">
        <f t="shared" si="35"/>
        <v>0</v>
      </c>
      <c r="R474" s="812"/>
    </row>
    <row r="475" spans="1:18" ht="33" customHeight="1" x14ac:dyDescent="0.2">
      <c r="A475" s="808"/>
      <c r="B475" s="808"/>
      <c r="C475" s="808" t="s">
        <v>1190</v>
      </c>
      <c r="D475" s="860" t="s">
        <v>1176</v>
      </c>
      <c r="E475" s="810"/>
      <c r="F475" s="810">
        <v>163673</v>
      </c>
      <c r="G475" s="822">
        <v>2860</v>
      </c>
      <c r="H475" s="822"/>
      <c r="I475" s="822">
        <v>10821</v>
      </c>
      <c r="J475" s="822"/>
      <c r="K475" s="822"/>
      <c r="L475" s="822">
        <v>166319</v>
      </c>
      <c r="M475" s="822"/>
      <c r="N475" s="822"/>
      <c r="O475" s="822"/>
      <c r="P475" s="822"/>
      <c r="Q475" s="82">
        <f t="shared" si="35"/>
        <v>180000</v>
      </c>
      <c r="R475" s="812" t="s">
        <v>1181</v>
      </c>
    </row>
    <row r="476" spans="1:18" ht="29.25" customHeight="1" x14ac:dyDescent="0.2">
      <c r="A476" s="808"/>
      <c r="B476" s="808"/>
      <c r="C476" s="808" t="s">
        <v>1191</v>
      </c>
      <c r="D476" s="860" t="s">
        <v>1177</v>
      </c>
      <c r="E476" s="810"/>
      <c r="F476" s="810">
        <v>163687</v>
      </c>
      <c r="G476" s="822"/>
      <c r="H476" s="822"/>
      <c r="I476" s="822">
        <v>8584</v>
      </c>
      <c r="J476" s="822"/>
      <c r="K476" s="822"/>
      <c r="L476" s="822">
        <v>191416</v>
      </c>
      <c r="M476" s="822"/>
      <c r="N476" s="822"/>
      <c r="O476" s="822"/>
      <c r="P476" s="822"/>
      <c r="Q476" s="82">
        <f t="shared" si="35"/>
        <v>200000</v>
      </c>
      <c r="R476" s="812" t="s">
        <v>1182</v>
      </c>
    </row>
    <row r="477" spans="1:18" ht="24.6" customHeight="1" x14ac:dyDescent="0.2">
      <c r="A477" s="808"/>
      <c r="B477" s="808"/>
      <c r="C477" s="808" t="s">
        <v>1192</v>
      </c>
      <c r="D477" s="860" t="s">
        <v>1178</v>
      </c>
      <c r="E477" s="810"/>
      <c r="F477" s="810">
        <v>163678</v>
      </c>
      <c r="G477" s="822">
        <v>7322</v>
      </c>
      <c r="H477" s="822">
        <v>952</v>
      </c>
      <c r="I477" s="822">
        <v>58244</v>
      </c>
      <c r="J477" s="822"/>
      <c r="K477" s="822"/>
      <c r="L477" s="822">
        <v>14299</v>
      </c>
      <c r="M477" s="822"/>
      <c r="N477" s="822"/>
      <c r="O477" s="822"/>
      <c r="P477" s="822"/>
      <c r="Q477" s="82">
        <f t="shared" si="35"/>
        <v>80817</v>
      </c>
      <c r="R477" s="812" t="s">
        <v>1182</v>
      </c>
    </row>
    <row r="478" spans="1:18" ht="18" hidden="1" customHeight="1" x14ac:dyDescent="0.2">
      <c r="A478" s="285"/>
      <c r="B478" s="285"/>
      <c r="C478" s="341"/>
      <c r="D478" s="391" t="s">
        <v>868</v>
      </c>
      <c r="E478" s="598"/>
      <c r="F478" s="598"/>
      <c r="G478" s="295"/>
      <c r="H478" s="295"/>
      <c r="I478" s="932"/>
      <c r="J478" s="932"/>
      <c r="K478" s="932"/>
      <c r="L478" s="932"/>
      <c r="M478" s="932"/>
      <c r="N478" s="295"/>
      <c r="O478" s="295"/>
      <c r="P478" s="295"/>
      <c r="Q478" s="82"/>
      <c r="R478" s="324"/>
    </row>
    <row r="479" spans="1:18" ht="50.25" hidden="1" customHeight="1" x14ac:dyDescent="0.2">
      <c r="A479" s="285"/>
      <c r="B479" s="285"/>
      <c r="C479" s="341" t="s">
        <v>719</v>
      </c>
      <c r="D479" s="628" t="s">
        <v>150</v>
      </c>
      <c r="E479" s="598"/>
      <c r="F479" s="598">
        <v>163607</v>
      </c>
      <c r="G479" s="295"/>
      <c r="H479" s="295"/>
      <c r="I479" s="932"/>
      <c r="J479" s="932"/>
      <c r="K479" s="932"/>
      <c r="L479" s="932"/>
      <c r="M479" s="932"/>
      <c r="N479" s="295"/>
      <c r="O479" s="295"/>
      <c r="P479" s="295"/>
      <c r="Q479" s="82">
        <f t="shared" si="35"/>
        <v>0</v>
      </c>
      <c r="R479" s="324"/>
    </row>
    <row r="480" spans="1:18" ht="20.25" hidden="1" customHeight="1" x14ac:dyDescent="0.2">
      <c r="A480" s="285"/>
      <c r="B480" s="285"/>
      <c r="C480" s="341" t="s">
        <v>720</v>
      </c>
      <c r="D480" s="627" t="s">
        <v>137</v>
      </c>
      <c r="E480" s="598"/>
      <c r="F480" s="598">
        <v>163625</v>
      </c>
      <c r="G480" s="295"/>
      <c r="H480" s="295"/>
      <c r="I480" s="932"/>
      <c r="J480" s="932"/>
      <c r="K480" s="932"/>
      <c r="L480" s="932"/>
      <c r="M480" s="932"/>
      <c r="N480" s="295"/>
      <c r="O480" s="295"/>
      <c r="P480" s="295"/>
      <c r="Q480" s="287">
        <f t="shared" si="35"/>
        <v>0</v>
      </c>
      <c r="R480" s="324"/>
    </row>
    <row r="481" spans="1:18" ht="27" hidden="1" customHeight="1" x14ac:dyDescent="0.2">
      <c r="A481" s="285"/>
      <c r="B481" s="285"/>
      <c r="C481" s="341" t="s">
        <v>519</v>
      </c>
      <c r="D481" s="629" t="s">
        <v>138</v>
      </c>
      <c r="E481" s="598"/>
      <c r="F481" s="598">
        <v>163626</v>
      </c>
      <c r="G481" s="295"/>
      <c r="H481" s="295"/>
      <c r="I481" s="932"/>
      <c r="J481" s="932"/>
      <c r="K481" s="932"/>
      <c r="L481" s="932"/>
      <c r="M481" s="932"/>
      <c r="N481" s="295"/>
      <c r="O481" s="295"/>
      <c r="P481" s="295"/>
      <c r="Q481" s="287">
        <f t="shared" si="35"/>
        <v>0</v>
      </c>
      <c r="R481" s="324"/>
    </row>
    <row r="482" spans="1:18" ht="15.6" hidden="1" customHeight="1" x14ac:dyDescent="0.2">
      <c r="A482" s="102"/>
      <c r="B482" s="102"/>
      <c r="C482" s="341" t="s">
        <v>520</v>
      </c>
      <c r="D482" s="630" t="s">
        <v>830</v>
      </c>
      <c r="E482" s="598"/>
      <c r="F482" s="598">
        <v>163658</v>
      </c>
      <c r="G482" s="107"/>
      <c r="H482" s="107"/>
      <c r="I482" s="931"/>
      <c r="J482" s="931"/>
      <c r="K482" s="931"/>
      <c r="L482" s="931"/>
      <c r="M482" s="931"/>
      <c r="N482" s="107"/>
      <c r="O482" s="107"/>
      <c r="P482" s="107"/>
      <c r="Q482" s="287">
        <f t="shared" si="35"/>
        <v>0</v>
      </c>
      <c r="R482" s="324"/>
    </row>
    <row r="483" spans="1:18" ht="29.45" customHeight="1" x14ac:dyDescent="0.2">
      <c r="A483" s="102"/>
      <c r="B483" s="102"/>
      <c r="C483" s="341" t="s">
        <v>521</v>
      </c>
      <c r="D483" s="630" t="s">
        <v>749</v>
      </c>
      <c r="E483" s="598"/>
      <c r="F483" s="598">
        <v>163662</v>
      </c>
      <c r="G483" s="107">
        <v>-4600</v>
      </c>
      <c r="H483" s="107"/>
      <c r="I483" s="107">
        <v>4600</v>
      </c>
      <c r="J483" s="107"/>
      <c r="K483" s="107"/>
      <c r="L483" s="107"/>
      <c r="M483" s="107"/>
      <c r="N483" s="107"/>
      <c r="O483" s="107"/>
      <c r="P483" s="107"/>
      <c r="Q483" s="82">
        <f t="shared" ref="Q483:Q500" si="36">SUM(G483:P483)</f>
        <v>0</v>
      </c>
      <c r="R483" s="324" t="s">
        <v>1182</v>
      </c>
    </row>
    <row r="484" spans="1:18" ht="18" hidden="1" customHeight="1" x14ac:dyDescent="0.2">
      <c r="A484" s="102"/>
      <c r="B484" s="102"/>
      <c r="C484" s="341" t="s">
        <v>522</v>
      </c>
      <c r="D484" s="631" t="s">
        <v>748</v>
      </c>
      <c r="E484" s="598"/>
      <c r="F484" s="359">
        <v>132937</v>
      </c>
      <c r="G484" s="107"/>
      <c r="H484" s="107"/>
      <c r="I484" s="931"/>
      <c r="J484" s="931"/>
      <c r="K484" s="931"/>
      <c r="L484" s="931"/>
      <c r="M484" s="931"/>
      <c r="N484" s="107"/>
      <c r="O484" s="107"/>
      <c r="P484" s="107"/>
      <c r="Q484" s="82">
        <f t="shared" si="36"/>
        <v>0</v>
      </c>
      <c r="R484" s="324"/>
    </row>
    <row r="485" spans="1:18" ht="15.6" hidden="1" customHeight="1" x14ac:dyDescent="0.2">
      <c r="A485" s="102"/>
      <c r="B485" s="102"/>
      <c r="C485" s="341" t="s">
        <v>523</v>
      </c>
      <c r="D485" s="631" t="s">
        <v>831</v>
      </c>
      <c r="E485" s="598"/>
      <c r="F485" s="598">
        <v>163663</v>
      </c>
      <c r="G485" s="107"/>
      <c r="H485" s="107"/>
      <c r="I485" s="931"/>
      <c r="J485" s="931"/>
      <c r="K485" s="931"/>
      <c r="L485" s="931"/>
      <c r="M485" s="931"/>
      <c r="N485" s="107"/>
      <c r="O485" s="107"/>
      <c r="P485" s="107"/>
      <c r="Q485" s="82">
        <f t="shared" si="36"/>
        <v>0</v>
      </c>
      <c r="R485" s="324"/>
    </row>
    <row r="486" spans="1:18" ht="15.6" customHeight="1" x14ac:dyDescent="0.2">
      <c r="A486" s="102"/>
      <c r="B486" s="102"/>
      <c r="C486" s="341" t="s">
        <v>524</v>
      </c>
      <c r="D486" s="391" t="s">
        <v>1175</v>
      </c>
      <c r="E486" s="598"/>
      <c r="F486" s="598">
        <v>163679</v>
      </c>
      <c r="G486" s="107">
        <v>1310</v>
      </c>
      <c r="H486" s="107"/>
      <c r="I486" s="107">
        <v>-20545</v>
      </c>
      <c r="J486" s="107"/>
      <c r="K486" s="107"/>
      <c r="L486" s="107">
        <v>19235</v>
      </c>
      <c r="M486" s="107"/>
      <c r="N486" s="107"/>
      <c r="O486" s="107"/>
      <c r="P486" s="107"/>
      <c r="Q486" s="82">
        <f t="shared" si="36"/>
        <v>0</v>
      </c>
      <c r="R486" s="324" t="s">
        <v>1181</v>
      </c>
    </row>
    <row r="487" spans="1:18" ht="24" hidden="1" customHeight="1" x14ac:dyDescent="0.2">
      <c r="A487" s="102"/>
      <c r="B487" s="102"/>
      <c r="C487" s="341" t="s">
        <v>525</v>
      </c>
      <c r="D487" s="627" t="s">
        <v>950</v>
      </c>
      <c r="E487" s="598"/>
      <c r="F487" s="598">
        <v>163680</v>
      </c>
      <c r="G487" s="107"/>
      <c r="H487" s="107"/>
      <c r="I487" s="931"/>
      <c r="J487" s="931"/>
      <c r="K487" s="931"/>
      <c r="L487" s="931"/>
      <c r="M487" s="931"/>
      <c r="N487" s="107"/>
      <c r="O487" s="107"/>
      <c r="P487" s="107"/>
      <c r="Q487" s="82">
        <f t="shared" si="36"/>
        <v>0</v>
      </c>
      <c r="R487" s="324"/>
    </row>
    <row r="488" spans="1:18" ht="25.5" hidden="1" customHeight="1" x14ac:dyDescent="0.2">
      <c r="A488" s="102"/>
      <c r="B488" s="102"/>
      <c r="C488" s="341" t="s">
        <v>526</v>
      </c>
      <c r="D488" s="627" t="s">
        <v>951</v>
      </c>
      <c r="E488" s="598"/>
      <c r="F488" s="598">
        <v>163681</v>
      </c>
      <c r="G488" s="107"/>
      <c r="H488" s="107"/>
      <c r="I488" s="931"/>
      <c r="J488" s="931"/>
      <c r="K488" s="931"/>
      <c r="L488" s="931"/>
      <c r="M488" s="931"/>
      <c r="N488" s="107"/>
      <c r="O488" s="107"/>
      <c r="P488" s="107"/>
      <c r="Q488" s="82">
        <f t="shared" si="36"/>
        <v>0</v>
      </c>
      <c r="R488" s="324"/>
    </row>
    <row r="489" spans="1:18" ht="39" hidden="1" customHeight="1" x14ac:dyDescent="0.2">
      <c r="A489" s="102"/>
      <c r="B489" s="102"/>
      <c r="C489" s="341" t="s">
        <v>721</v>
      </c>
      <c r="D489" s="627" t="s">
        <v>952</v>
      </c>
      <c r="E489" s="598"/>
      <c r="F489" s="598">
        <v>163682</v>
      </c>
      <c r="G489" s="107"/>
      <c r="H489" s="107"/>
      <c r="I489" s="931"/>
      <c r="J489" s="931"/>
      <c r="K489" s="931"/>
      <c r="L489" s="931"/>
      <c r="M489" s="931"/>
      <c r="N489" s="107"/>
      <c r="O489" s="107"/>
      <c r="P489" s="107"/>
      <c r="Q489" s="82">
        <f t="shared" si="36"/>
        <v>0</v>
      </c>
      <c r="R489" s="324"/>
    </row>
    <row r="490" spans="1:18" ht="16.899999999999999" hidden="1" customHeight="1" x14ac:dyDescent="0.2">
      <c r="A490" s="102"/>
      <c r="B490" s="102"/>
      <c r="C490" s="632" t="s">
        <v>750</v>
      </c>
      <c r="D490" s="398" t="s">
        <v>528</v>
      </c>
      <c r="E490" s="598"/>
      <c r="F490" s="598"/>
      <c r="G490" s="107"/>
      <c r="H490" s="107"/>
      <c r="I490" s="931"/>
      <c r="J490" s="931"/>
      <c r="K490" s="931"/>
      <c r="L490" s="931"/>
      <c r="M490" s="931"/>
      <c r="N490" s="107"/>
      <c r="O490" s="107"/>
      <c r="P490" s="107"/>
      <c r="Q490" s="82"/>
      <c r="R490" s="324"/>
    </row>
    <row r="491" spans="1:18" ht="15" hidden="1" customHeight="1" x14ac:dyDescent="0.2">
      <c r="A491" s="102"/>
      <c r="B491" s="102"/>
      <c r="C491" s="633"/>
      <c r="D491" s="351" t="s">
        <v>868</v>
      </c>
      <c r="E491" s="598"/>
      <c r="F491" s="598"/>
      <c r="G491" s="107"/>
      <c r="H491" s="107"/>
      <c r="I491" s="931"/>
      <c r="J491" s="931"/>
      <c r="K491" s="931"/>
      <c r="L491" s="931"/>
      <c r="M491" s="931"/>
      <c r="N491" s="107"/>
      <c r="O491" s="107"/>
      <c r="P491" s="107"/>
      <c r="Q491" s="82"/>
      <c r="R491" s="324"/>
    </row>
    <row r="492" spans="1:18" ht="24.6" customHeight="1" x14ac:dyDescent="0.2">
      <c r="A492" s="102"/>
      <c r="B492" s="102"/>
      <c r="C492" s="633" t="s">
        <v>751</v>
      </c>
      <c r="D492" s="397" t="s">
        <v>530</v>
      </c>
      <c r="E492" s="598"/>
      <c r="F492" s="598">
        <v>163621</v>
      </c>
      <c r="G492" s="107"/>
      <c r="H492" s="107"/>
      <c r="I492" s="107"/>
      <c r="J492" s="107"/>
      <c r="K492" s="107"/>
      <c r="L492" s="107"/>
      <c r="M492" s="107">
        <v>12864</v>
      </c>
      <c r="N492" s="107"/>
      <c r="O492" s="107"/>
      <c r="P492" s="107"/>
      <c r="Q492" s="82">
        <f t="shared" si="36"/>
        <v>12864</v>
      </c>
      <c r="R492" s="324" t="s">
        <v>1182</v>
      </c>
    </row>
    <row r="493" spans="1:18" ht="30.6" hidden="1" customHeight="1" x14ac:dyDescent="0.2">
      <c r="A493" s="102"/>
      <c r="B493" s="102"/>
      <c r="C493" s="633" t="s">
        <v>752</v>
      </c>
      <c r="D493" s="397" t="s">
        <v>533</v>
      </c>
      <c r="E493" s="598"/>
      <c r="F493" s="598">
        <v>163702</v>
      </c>
      <c r="G493" s="107"/>
      <c r="H493" s="107"/>
      <c r="I493" s="931"/>
      <c r="J493" s="931"/>
      <c r="K493" s="931"/>
      <c r="L493" s="931"/>
      <c r="M493" s="931"/>
      <c r="N493" s="107"/>
      <c r="O493" s="107"/>
      <c r="P493" s="107"/>
      <c r="Q493" s="82">
        <f t="shared" si="36"/>
        <v>0</v>
      </c>
      <c r="R493" s="324"/>
    </row>
    <row r="494" spans="1:18" ht="28.15" customHeight="1" x14ac:dyDescent="0.2">
      <c r="A494" s="102"/>
      <c r="B494" s="102"/>
      <c r="C494" s="633" t="s">
        <v>753</v>
      </c>
      <c r="D494" s="396" t="s">
        <v>754</v>
      </c>
      <c r="E494" s="598"/>
      <c r="F494" s="598">
        <v>163650</v>
      </c>
      <c r="G494" s="107"/>
      <c r="H494" s="107"/>
      <c r="I494" s="107">
        <v>-110000</v>
      </c>
      <c r="J494" s="107"/>
      <c r="K494" s="107"/>
      <c r="L494" s="107">
        <v>-100000</v>
      </c>
      <c r="M494" s="107">
        <v>210000</v>
      </c>
      <c r="N494" s="107"/>
      <c r="O494" s="107"/>
      <c r="P494" s="107"/>
      <c r="Q494" s="82">
        <f t="shared" si="36"/>
        <v>0</v>
      </c>
      <c r="R494" s="324" t="s">
        <v>1182</v>
      </c>
    </row>
    <row r="495" spans="1:18" ht="15" hidden="1" customHeight="1" x14ac:dyDescent="0.2">
      <c r="A495" s="102"/>
      <c r="B495" s="102"/>
      <c r="C495" s="634" t="s">
        <v>527</v>
      </c>
      <c r="D495" s="399" t="s">
        <v>536</v>
      </c>
      <c r="E495" s="598"/>
      <c r="F495" s="598"/>
      <c r="G495" s="107"/>
      <c r="H495" s="107"/>
      <c r="I495" s="931"/>
      <c r="J495" s="931"/>
      <c r="K495" s="931"/>
      <c r="L495" s="931"/>
      <c r="M495" s="931"/>
      <c r="N495" s="107"/>
      <c r="O495" s="107"/>
      <c r="P495" s="107"/>
      <c r="Q495" s="82"/>
      <c r="R495" s="324"/>
    </row>
    <row r="496" spans="1:18" ht="26.25" customHeight="1" x14ac:dyDescent="0.2">
      <c r="A496" s="102"/>
      <c r="B496" s="102"/>
      <c r="C496" s="784" t="s">
        <v>1113</v>
      </c>
      <c r="D496" s="397" t="s">
        <v>1121</v>
      </c>
      <c r="E496" s="783"/>
      <c r="F496" s="794">
        <v>164959</v>
      </c>
      <c r="G496" s="107"/>
      <c r="H496" s="107"/>
      <c r="I496" s="931"/>
      <c r="J496" s="931"/>
      <c r="K496" s="931"/>
      <c r="L496" s="931"/>
      <c r="M496" s="107">
        <v>3153</v>
      </c>
      <c r="N496" s="107"/>
      <c r="O496" s="107"/>
      <c r="P496" s="107"/>
      <c r="Q496" s="82">
        <f t="shared" si="36"/>
        <v>3153</v>
      </c>
      <c r="R496" s="782" t="s">
        <v>1182</v>
      </c>
    </row>
    <row r="497" spans="1:18" ht="27" hidden="1" customHeight="1" x14ac:dyDescent="0.2">
      <c r="A497" s="679"/>
      <c r="B497" s="679"/>
      <c r="C497" s="784" t="s">
        <v>1114</v>
      </c>
      <c r="D497" s="397" t="s">
        <v>1122</v>
      </c>
      <c r="E497" s="598"/>
      <c r="F497" s="794">
        <v>164958</v>
      </c>
      <c r="G497" s="107"/>
      <c r="H497" s="107"/>
      <c r="I497" s="931"/>
      <c r="J497" s="931"/>
      <c r="K497" s="931"/>
      <c r="L497" s="931"/>
      <c r="M497" s="931"/>
      <c r="N497" s="107"/>
      <c r="O497" s="107"/>
      <c r="P497" s="107"/>
      <c r="Q497" s="82">
        <f t="shared" si="36"/>
        <v>0</v>
      </c>
      <c r="R497" s="782"/>
    </row>
    <row r="498" spans="1:18" ht="15" hidden="1" customHeight="1" x14ac:dyDescent="0.2">
      <c r="A498" s="102"/>
      <c r="B498" s="102"/>
      <c r="C498" s="634"/>
      <c r="D498" s="351" t="s">
        <v>868</v>
      </c>
      <c r="E498" s="598"/>
      <c r="F498" s="598"/>
      <c r="G498" s="107"/>
      <c r="H498" s="107"/>
      <c r="I498" s="931"/>
      <c r="J498" s="931"/>
      <c r="K498" s="931"/>
      <c r="L498" s="931"/>
      <c r="M498" s="931"/>
      <c r="N498" s="107"/>
      <c r="O498" s="107"/>
      <c r="P498" s="107"/>
      <c r="Q498" s="82"/>
      <c r="R498" s="324"/>
    </row>
    <row r="499" spans="1:18" ht="34.9" hidden="1" customHeight="1" x14ac:dyDescent="0.2">
      <c r="A499" s="300"/>
      <c r="B499" s="300"/>
      <c r="C499" s="633" t="s">
        <v>529</v>
      </c>
      <c r="D499" s="400" t="s">
        <v>755</v>
      </c>
      <c r="E499" s="401"/>
      <c r="F499" s="465">
        <v>163654</v>
      </c>
      <c r="G499" s="301"/>
      <c r="H499" s="301"/>
      <c r="I499" s="939"/>
      <c r="J499" s="939"/>
      <c r="K499" s="939"/>
      <c r="L499" s="939"/>
      <c r="M499" s="939"/>
      <c r="N499" s="301"/>
      <c r="O499" s="301"/>
      <c r="P499" s="301"/>
      <c r="Q499" s="82">
        <f t="shared" si="36"/>
        <v>0</v>
      </c>
      <c r="R499" s="324"/>
    </row>
    <row r="500" spans="1:18" ht="36" hidden="1" customHeight="1" x14ac:dyDescent="0.2">
      <c r="A500" s="102"/>
      <c r="B500" s="102"/>
      <c r="C500" s="633" t="s">
        <v>531</v>
      </c>
      <c r="D500" s="397" t="s">
        <v>756</v>
      </c>
      <c r="E500" s="598"/>
      <c r="F500" s="635">
        <v>163661</v>
      </c>
      <c r="G500" s="107"/>
      <c r="H500" s="107"/>
      <c r="I500" s="931"/>
      <c r="J500" s="931"/>
      <c r="K500" s="931"/>
      <c r="L500" s="931"/>
      <c r="M500" s="931"/>
      <c r="N500" s="107"/>
      <c r="O500" s="107"/>
      <c r="P500" s="107"/>
      <c r="Q500" s="82">
        <f t="shared" si="36"/>
        <v>0</v>
      </c>
      <c r="R500" s="324"/>
    </row>
    <row r="501" spans="1:18" ht="36.6" hidden="1" customHeight="1" x14ac:dyDescent="0.2">
      <c r="A501" s="102"/>
      <c r="B501" s="102"/>
      <c r="C501" s="633" t="s">
        <v>532</v>
      </c>
      <c r="D501" s="397" t="s">
        <v>953</v>
      </c>
      <c r="E501" s="598"/>
      <c r="F501" s="635">
        <v>163683</v>
      </c>
      <c r="G501" s="107"/>
      <c r="H501" s="107"/>
      <c r="I501" s="931"/>
      <c r="J501" s="931"/>
      <c r="K501" s="931"/>
      <c r="L501" s="931"/>
      <c r="M501" s="931"/>
      <c r="N501" s="107"/>
      <c r="O501" s="107"/>
      <c r="P501" s="107"/>
      <c r="Q501" s="82">
        <f t="shared" ref="Q501:Q509" si="37">SUM(G501:P501)</f>
        <v>0</v>
      </c>
      <c r="R501" s="324"/>
    </row>
    <row r="502" spans="1:18" ht="30.6" customHeight="1" x14ac:dyDescent="0.2">
      <c r="A502" s="102"/>
      <c r="B502" s="102"/>
      <c r="C502" s="633" t="s">
        <v>534</v>
      </c>
      <c r="D502" s="365" t="s">
        <v>832</v>
      </c>
      <c r="E502" s="598"/>
      <c r="F502" s="598">
        <v>163664</v>
      </c>
      <c r="G502" s="107"/>
      <c r="H502" s="107"/>
      <c r="I502" s="931"/>
      <c r="J502" s="931"/>
      <c r="K502" s="931"/>
      <c r="L502" s="107">
        <v>319</v>
      </c>
      <c r="M502" s="931"/>
      <c r="N502" s="107"/>
      <c r="O502" s="107"/>
      <c r="P502" s="107"/>
      <c r="Q502" s="82">
        <f t="shared" si="37"/>
        <v>319</v>
      </c>
      <c r="R502" s="324" t="s">
        <v>1181</v>
      </c>
    </row>
    <row r="503" spans="1:18" ht="15" hidden="1" customHeight="1" x14ac:dyDescent="0.2">
      <c r="A503" s="341"/>
      <c r="B503" s="341"/>
      <c r="C503" s="633" t="s">
        <v>954</v>
      </c>
      <c r="D503" s="397" t="s">
        <v>706</v>
      </c>
      <c r="E503" s="598"/>
      <c r="F503" s="598">
        <v>163655</v>
      </c>
      <c r="G503" s="357"/>
      <c r="H503" s="357"/>
      <c r="I503" s="937"/>
      <c r="J503" s="937"/>
      <c r="K503" s="937"/>
      <c r="L503" s="937"/>
      <c r="M503" s="937"/>
      <c r="N503" s="357"/>
      <c r="O503" s="357"/>
      <c r="P503" s="357"/>
      <c r="Q503" s="82">
        <f t="shared" si="37"/>
        <v>0</v>
      </c>
      <c r="R503" s="358"/>
    </row>
    <row r="504" spans="1:18" ht="15" hidden="1" customHeight="1" x14ac:dyDescent="0.2">
      <c r="A504" s="102"/>
      <c r="B504" s="102"/>
      <c r="C504" s="402" t="s">
        <v>535</v>
      </c>
      <c r="D504" s="636" t="s">
        <v>539</v>
      </c>
      <c r="E504" s="598"/>
      <c r="F504" s="598"/>
      <c r="G504" s="107"/>
      <c r="H504" s="107"/>
      <c r="I504" s="931"/>
      <c r="J504" s="931"/>
      <c r="K504" s="931"/>
      <c r="L504" s="931"/>
      <c r="M504" s="931"/>
      <c r="N504" s="107"/>
      <c r="O504" s="107"/>
      <c r="P504" s="107"/>
      <c r="Q504" s="82"/>
      <c r="R504" s="324"/>
    </row>
    <row r="505" spans="1:18" ht="14.45" hidden="1" customHeight="1" x14ac:dyDescent="0.2">
      <c r="A505" s="102"/>
      <c r="B505" s="102"/>
      <c r="C505" s="363" t="s">
        <v>757</v>
      </c>
      <c r="D505" s="637" t="s">
        <v>955</v>
      </c>
      <c r="E505" s="391"/>
      <c r="F505" s="359">
        <v>171923</v>
      </c>
      <c r="G505" s="107"/>
      <c r="H505" s="107"/>
      <c r="I505" s="931"/>
      <c r="J505" s="931"/>
      <c r="K505" s="931"/>
      <c r="L505" s="931"/>
      <c r="M505" s="931"/>
      <c r="N505" s="107"/>
      <c r="O505" s="107"/>
      <c r="P505" s="107"/>
      <c r="Q505" s="82">
        <f t="shared" si="37"/>
        <v>0</v>
      </c>
      <c r="R505" s="324"/>
    </row>
    <row r="506" spans="1:18" ht="27" customHeight="1" x14ac:dyDescent="0.2">
      <c r="A506" s="679"/>
      <c r="B506" s="679"/>
      <c r="C506" s="661" t="s">
        <v>1036</v>
      </c>
      <c r="D506" s="720" t="s">
        <v>1037</v>
      </c>
      <c r="E506" s="721"/>
      <c r="F506" s="663">
        <v>164954</v>
      </c>
      <c r="G506" s="680"/>
      <c r="H506" s="680"/>
      <c r="I506" s="680">
        <v>1905</v>
      </c>
      <c r="J506" s="680"/>
      <c r="K506" s="680"/>
      <c r="L506" s="680"/>
      <c r="M506" s="680">
        <v>-5058</v>
      </c>
      <c r="N506" s="680"/>
      <c r="O506" s="680"/>
      <c r="P506" s="680"/>
      <c r="Q506" s="82">
        <f t="shared" si="37"/>
        <v>-3153</v>
      </c>
      <c r="R506" s="666" t="s">
        <v>1182</v>
      </c>
    </row>
    <row r="507" spans="1:18" ht="15.6" hidden="1" customHeight="1" x14ac:dyDescent="0.2">
      <c r="A507" s="102"/>
      <c r="B507" s="102"/>
      <c r="C507" s="402"/>
      <c r="D507" s="351" t="s">
        <v>868</v>
      </c>
      <c r="E507" s="391"/>
      <c r="F507" s="359"/>
      <c r="G507" s="107"/>
      <c r="H507" s="107"/>
      <c r="I507" s="931"/>
      <c r="J507" s="931"/>
      <c r="K507" s="931"/>
      <c r="L507" s="931"/>
      <c r="M507" s="931"/>
      <c r="N507" s="107"/>
      <c r="O507" s="107"/>
      <c r="P507" s="107"/>
      <c r="Q507" s="82"/>
      <c r="R507" s="324"/>
    </row>
    <row r="508" spans="1:18" ht="24" customHeight="1" x14ac:dyDescent="0.2">
      <c r="A508" s="285"/>
      <c r="B508" s="285"/>
      <c r="C508" s="341" t="s">
        <v>537</v>
      </c>
      <c r="D508" s="365" t="s">
        <v>540</v>
      </c>
      <c r="E508" s="598"/>
      <c r="F508" s="598">
        <v>162633</v>
      </c>
      <c r="G508" s="107"/>
      <c r="H508" s="107"/>
      <c r="I508" s="107">
        <v>-7944</v>
      </c>
      <c r="J508" s="107"/>
      <c r="K508" s="107"/>
      <c r="L508" s="107">
        <v>-17106</v>
      </c>
      <c r="M508" s="107"/>
      <c r="N508" s="107"/>
      <c r="O508" s="107"/>
      <c r="P508" s="107"/>
      <c r="Q508" s="82">
        <f t="shared" si="37"/>
        <v>-25050</v>
      </c>
      <c r="R508" s="324" t="s">
        <v>1182</v>
      </c>
    </row>
    <row r="509" spans="1:18" ht="28.9" customHeight="1" x14ac:dyDescent="0.2">
      <c r="A509" s="102"/>
      <c r="B509" s="102"/>
      <c r="C509" s="341" t="s">
        <v>538</v>
      </c>
      <c r="D509" s="365" t="s">
        <v>541</v>
      </c>
      <c r="E509" s="598"/>
      <c r="F509" s="598">
        <v>163631</v>
      </c>
      <c r="G509" s="107"/>
      <c r="H509" s="107"/>
      <c r="I509" s="107">
        <v>34</v>
      </c>
      <c r="J509" s="107"/>
      <c r="K509" s="107"/>
      <c r="L509" s="107">
        <v>-5034</v>
      </c>
      <c r="M509" s="107"/>
      <c r="N509" s="107"/>
      <c r="O509" s="107"/>
      <c r="P509" s="107"/>
      <c r="Q509" s="82">
        <f t="shared" si="37"/>
        <v>-5000</v>
      </c>
      <c r="R509" s="324" t="s">
        <v>1183</v>
      </c>
    </row>
    <row r="510" spans="1:18" ht="14.1" customHeight="1" x14ac:dyDescent="0.2">
      <c r="A510" s="244"/>
      <c r="B510" s="244"/>
      <c r="C510" s="245"/>
      <c r="D510" s="246" t="s">
        <v>542</v>
      </c>
      <c r="E510" s="247"/>
      <c r="F510" s="248"/>
      <c r="G510" s="249">
        <f t="shared" ref="G510:Q510" si="38">SUM(G394:G509)</f>
        <v>6892</v>
      </c>
      <c r="H510" s="249">
        <f t="shared" si="38"/>
        <v>952</v>
      </c>
      <c r="I510" s="249">
        <f t="shared" si="38"/>
        <v>-58439</v>
      </c>
      <c r="J510" s="249">
        <f t="shared" si="38"/>
        <v>0</v>
      </c>
      <c r="K510" s="249">
        <f t="shared" si="38"/>
        <v>1017</v>
      </c>
      <c r="L510" s="249">
        <f t="shared" si="38"/>
        <v>345201</v>
      </c>
      <c r="M510" s="249">
        <f t="shared" si="38"/>
        <v>176908</v>
      </c>
      <c r="N510" s="249">
        <f t="shared" si="38"/>
        <v>2361</v>
      </c>
      <c r="O510" s="249">
        <f t="shared" si="38"/>
        <v>0</v>
      </c>
      <c r="P510" s="249">
        <f t="shared" si="38"/>
        <v>0</v>
      </c>
      <c r="Q510" s="249">
        <f t="shared" si="38"/>
        <v>474892</v>
      </c>
      <c r="R510" s="325"/>
    </row>
    <row r="511" spans="1:18" ht="15" customHeight="1" x14ac:dyDescent="0.2">
      <c r="A511" s="102">
        <v>1</v>
      </c>
      <c r="B511" s="102">
        <v>17</v>
      </c>
      <c r="C511" s="118"/>
      <c r="D511" s="146" t="s">
        <v>543</v>
      </c>
      <c r="E511" s="130"/>
      <c r="F511" s="82"/>
      <c r="G511" s="82"/>
      <c r="H511" s="107"/>
      <c r="I511" s="107"/>
      <c r="J511" s="107"/>
      <c r="K511" s="107"/>
      <c r="L511" s="107"/>
      <c r="M511" s="82"/>
      <c r="N511" s="82"/>
      <c r="O511" s="82"/>
      <c r="P511" s="82"/>
      <c r="Q511" s="82"/>
      <c r="R511" s="324"/>
    </row>
    <row r="512" spans="1:18" ht="21.6" hidden="1" customHeight="1" x14ac:dyDescent="0.2">
      <c r="A512" s="102"/>
      <c r="B512" s="102"/>
      <c r="C512" s="118"/>
      <c r="D512" s="119" t="s">
        <v>197</v>
      </c>
      <c r="E512" s="134"/>
      <c r="F512" s="113"/>
      <c r="G512" s="82"/>
      <c r="H512" s="107"/>
      <c r="I512" s="107"/>
      <c r="J512" s="107"/>
      <c r="K512" s="107"/>
      <c r="L512" s="107"/>
      <c r="M512" s="82"/>
      <c r="N512" s="82"/>
      <c r="O512" s="82"/>
      <c r="P512" s="82"/>
      <c r="Q512" s="82"/>
      <c r="R512" s="324"/>
    </row>
    <row r="513" spans="1:18" ht="15" hidden="1" customHeight="1" x14ac:dyDescent="0.2">
      <c r="A513" s="102"/>
      <c r="B513" s="102"/>
      <c r="C513" s="118"/>
      <c r="D513" s="116" t="s">
        <v>544</v>
      </c>
      <c r="E513" s="82">
        <v>1</v>
      </c>
      <c r="F513" s="82">
        <v>171905</v>
      </c>
      <c r="G513" s="82"/>
      <c r="H513" s="82"/>
      <c r="I513" s="82"/>
      <c r="J513" s="82"/>
      <c r="K513" s="82"/>
      <c r="L513" s="82"/>
      <c r="M513" s="82"/>
      <c r="N513" s="82"/>
      <c r="O513" s="82"/>
      <c r="P513" s="82"/>
      <c r="Q513" s="82">
        <f t="shared" ref="Q513:Q521" si="39">SUM(G513:P513)</f>
        <v>0</v>
      </c>
      <c r="R513" s="324"/>
    </row>
    <row r="514" spans="1:18" ht="18" hidden="1" customHeight="1" x14ac:dyDescent="0.2">
      <c r="A514" s="102"/>
      <c r="B514" s="102"/>
      <c r="C514" s="118"/>
      <c r="D514" s="116" t="s">
        <v>545</v>
      </c>
      <c r="E514" s="113">
        <v>1</v>
      </c>
      <c r="F514" s="82">
        <v>171920</v>
      </c>
      <c r="G514" s="82"/>
      <c r="H514" s="82"/>
      <c r="I514" s="82"/>
      <c r="J514" s="82"/>
      <c r="K514" s="82"/>
      <c r="L514" s="82"/>
      <c r="M514" s="82"/>
      <c r="N514" s="82"/>
      <c r="O514" s="82"/>
      <c r="P514" s="82"/>
      <c r="Q514" s="82">
        <f t="shared" si="39"/>
        <v>0</v>
      </c>
      <c r="R514" s="324"/>
    </row>
    <row r="515" spans="1:18" ht="15" hidden="1" customHeight="1" x14ac:dyDescent="0.2">
      <c r="A515" s="102"/>
      <c r="B515" s="102"/>
      <c r="C515" s="118"/>
      <c r="D515" s="123" t="s">
        <v>546</v>
      </c>
      <c r="E515" s="113">
        <v>1</v>
      </c>
      <c r="F515" s="82">
        <v>171956</v>
      </c>
      <c r="G515" s="82"/>
      <c r="H515" s="82"/>
      <c r="I515" s="82"/>
      <c r="J515" s="82"/>
      <c r="K515" s="82"/>
      <c r="L515" s="82"/>
      <c r="M515" s="82"/>
      <c r="N515" s="82"/>
      <c r="O515" s="82"/>
      <c r="P515" s="82"/>
      <c r="Q515" s="82">
        <f t="shared" si="39"/>
        <v>0</v>
      </c>
      <c r="R515" s="324"/>
    </row>
    <row r="516" spans="1:18" ht="15" hidden="1" customHeight="1" x14ac:dyDescent="0.2">
      <c r="A516" s="102"/>
      <c r="B516" s="102"/>
      <c r="C516" s="118"/>
      <c r="D516" s="123" t="s">
        <v>547</v>
      </c>
      <c r="E516" s="113">
        <v>1</v>
      </c>
      <c r="F516" s="82">
        <v>171958</v>
      </c>
      <c r="G516" s="82"/>
      <c r="H516" s="82"/>
      <c r="I516" s="82"/>
      <c r="J516" s="82"/>
      <c r="K516" s="82"/>
      <c r="L516" s="82"/>
      <c r="M516" s="82"/>
      <c r="N516" s="82"/>
      <c r="O516" s="82"/>
      <c r="P516" s="82"/>
      <c r="Q516" s="82">
        <f t="shared" si="39"/>
        <v>0</v>
      </c>
      <c r="R516" s="324"/>
    </row>
    <row r="517" spans="1:18" ht="15" hidden="1" customHeight="1" x14ac:dyDescent="0.2">
      <c r="A517" s="102"/>
      <c r="B517" s="102"/>
      <c r="C517" s="118"/>
      <c r="D517" s="123" t="s">
        <v>548</v>
      </c>
      <c r="E517" s="113">
        <v>1</v>
      </c>
      <c r="F517" s="82">
        <v>171904</v>
      </c>
      <c r="G517" s="82"/>
      <c r="H517" s="82"/>
      <c r="I517" s="82"/>
      <c r="J517" s="82"/>
      <c r="K517" s="82"/>
      <c r="L517" s="82"/>
      <c r="M517" s="82"/>
      <c r="N517" s="82"/>
      <c r="O517" s="82"/>
      <c r="P517" s="82"/>
      <c r="Q517" s="82">
        <f t="shared" si="39"/>
        <v>0</v>
      </c>
      <c r="R517" s="324"/>
    </row>
    <row r="518" spans="1:18" ht="15" customHeight="1" x14ac:dyDescent="0.2">
      <c r="A518" s="102"/>
      <c r="B518" s="102"/>
      <c r="C518" s="118"/>
      <c r="D518" s="116" t="s">
        <v>549</v>
      </c>
      <c r="E518" s="82">
        <v>1</v>
      </c>
      <c r="F518" s="82">
        <v>171902</v>
      </c>
      <c r="G518" s="82"/>
      <c r="H518" s="82"/>
      <c r="I518" s="82">
        <v>-878</v>
      </c>
      <c r="J518" s="82"/>
      <c r="K518" s="82"/>
      <c r="L518" s="82"/>
      <c r="M518" s="82"/>
      <c r="N518" s="82"/>
      <c r="O518" s="82"/>
      <c r="P518" s="82"/>
      <c r="Q518" s="82">
        <f t="shared" si="39"/>
        <v>-878</v>
      </c>
      <c r="R518" s="324" t="s">
        <v>1182</v>
      </c>
    </row>
    <row r="519" spans="1:18" ht="15" hidden="1" customHeight="1" x14ac:dyDescent="0.2">
      <c r="A519" s="102"/>
      <c r="B519" s="102"/>
      <c r="C519" s="118"/>
      <c r="D519" s="116" t="s">
        <v>550</v>
      </c>
      <c r="E519" s="82">
        <v>1</v>
      </c>
      <c r="F519" s="82">
        <v>171925</v>
      </c>
      <c r="G519" s="82"/>
      <c r="H519" s="82"/>
      <c r="I519" s="82"/>
      <c r="J519" s="82"/>
      <c r="K519" s="82"/>
      <c r="L519" s="82"/>
      <c r="M519" s="82"/>
      <c r="N519" s="82"/>
      <c r="O519" s="82"/>
      <c r="P519" s="82"/>
      <c r="Q519" s="82">
        <f t="shared" si="39"/>
        <v>0</v>
      </c>
      <c r="R519" s="324"/>
    </row>
    <row r="520" spans="1:18" ht="23.25" hidden="1" customHeight="1" x14ac:dyDescent="0.2">
      <c r="A520" s="679"/>
      <c r="B520" s="679"/>
      <c r="C520" s="661"/>
      <c r="D520" s="722" t="s">
        <v>1038</v>
      </c>
      <c r="E520" s="663">
        <v>1</v>
      </c>
      <c r="F520" s="663">
        <v>171987</v>
      </c>
      <c r="G520" s="663"/>
      <c r="H520" s="663"/>
      <c r="I520" s="663"/>
      <c r="J520" s="663"/>
      <c r="K520" s="663"/>
      <c r="L520" s="663"/>
      <c r="M520" s="663"/>
      <c r="N520" s="663"/>
      <c r="O520" s="663"/>
      <c r="P520" s="663"/>
      <c r="Q520" s="82">
        <f t="shared" si="39"/>
        <v>0</v>
      </c>
      <c r="R520" s="666"/>
    </row>
    <row r="521" spans="1:18" ht="23.25" hidden="1" customHeight="1" x14ac:dyDescent="0.2">
      <c r="A521" s="679"/>
      <c r="B521" s="679"/>
      <c r="C521" s="661"/>
      <c r="D521" s="722" t="s">
        <v>1089</v>
      </c>
      <c r="E521" s="663">
        <v>1</v>
      </c>
      <c r="F521" s="663">
        <v>172901</v>
      </c>
      <c r="G521" s="663"/>
      <c r="H521" s="663"/>
      <c r="I521" s="663"/>
      <c r="J521" s="663"/>
      <c r="K521" s="663"/>
      <c r="L521" s="663"/>
      <c r="M521" s="663"/>
      <c r="N521" s="663"/>
      <c r="O521" s="663"/>
      <c r="P521" s="663"/>
      <c r="Q521" s="82">
        <f t="shared" si="39"/>
        <v>0</v>
      </c>
      <c r="R521" s="666"/>
    </row>
    <row r="522" spans="1:18" ht="15" hidden="1" customHeight="1" x14ac:dyDescent="0.2">
      <c r="A522" s="102"/>
      <c r="B522" s="102"/>
      <c r="C522" s="102"/>
      <c r="D522" s="82" t="s">
        <v>551</v>
      </c>
      <c r="E522" s="130"/>
      <c r="F522" s="82"/>
      <c r="G522" s="82"/>
      <c r="H522" s="107"/>
      <c r="I522" s="82"/>
      <c r="J522" s="107"/>
      <c r="K522" s="107"/>
      <c r="L522" s="107"/>
      <c r="M522" s="82"/>
      <c r="N522" s="82"/>
      <c r="O522" s="82"/>
      <c r="P522" s="82"/>
      <c r="Q522" s="82"/>
      <c r="R522" s="324"/>
    </row>
    <row r="523" spans="1:18" ht="15" hidden="1" customHeight="1" x14ac:dyDescent="0.2">
      <c r="A523" s="102"/>
      <c r="B523" s="102"/>
      <c r="C523" s="102"/>
      <c r="D523" s="82" t="s">
        <v>552</v>
      </c>
      <c r="E523" s="130">
        <v>1</v>
      </c>
      <c r="F523" s="82">
        <v>171954</v>
      </c>
      <c r="G523" s="82"/>
      <c r="H523" s="82"/>
      <c r="I523" s="82"/>
      <c r="J523" s="82"/>
      <c r="K523" s="82"/>
      <c r="L523" s="82"/>
      <c r="M523" s="82"/>
      <c r="N523" s="82"/>
      <c r="O523" s="82"/>
      <c r="P523" s="82"/>
      <c r="Q523" s="82">
        <f>SUM(G523:P523)</f>
        <v>0</v>
      </c>
      <c r="R523" s="324"/>
    </row>
    <row r="524" spans="1:18" ht="15" customHeight="1" x14ac:dyDescent="0.2">
      <c r="A524" s="124"/>
      <c r="B524" s="124"/>
      <c r="C524" s="250"/>
      <c r="D524" s="126" t="s">
        <v>553</v>
      </c>
      <c r="E524" s="127"/>
      <c r="F524" s="128"/>
      <c r="G524" s="128">
        <f t="shared" ref="G524:Q524" si="40">SUM(G512:G523)</f>
        <v>0</v>
      </c>
      <c r="H524" s="128">
        <f t="shared" si="40"/>
        <v>0</v>
      </c>
      <c r="I524" s="128">
        <f t="shared" si="40"/>
        <v>-878</v>
      </c>
      <c r="J524" s="128">
        <f t="shared" si="40"/>
        <v>0</v>
      </c>
      <c r="K524" s="128">
        <f t="shared" si="40"/>
        <v>0</v>
      </c>
      <c r="L524" s="128">
        <f t="shared" si="40"/>
        <v>0</v>
      </c>
      <c r="M524" s="128">
        <f t="shared" si="40"/>
        <v>0</v>
      </c>
      <c r="N524" s="128">
        <f t="shared" si="40"/>
        <v>0</v>
      </c>
      <c r="O524" s="128">
        <f t="shared" si="40"/>
        <v>0</v>
      </c>
      <c r="P524" s="128">
        <f t="shared" si="40"/>
        <v>0</v>
      </c>
      <c r="Q524" s="128">
        <f t="shared" si="40"/>
        <v>-878</v>
      </c>
      <c r="R524" s="325"/>
    </row>
    <row r="525" spans="1:18" ht="14.1" hidden="1" customHeight="1" x14ac:dyDescent="0.2">
      <c r="A525" s="129"/>
      <c r="B525" s="129"/>
      <c r="C525" s="142"/>
      <c r="D525" s="143" t="s">
        <v>554</v>
      </c>
      <c r="E525" s="131"/>
      <c r="F525" s="132"/>
      <c r="G525" s="132"/>
      <c r="H525" s="132"/>
      <c r="I525" s="132"/>
      <c r="J525" s="132"/>
      <c r="K525" s="132"/>
      <c r="L525" s="132"/>
      <c r="M525" s="132"/>
      <c r="N525" s="132"/>
      <c r="O525" s="132"/>
      <c r="P525" s="132"/>
      <c r="Q525" s="132"/>
      <c r="R525" s="324"/>
    </row>
    <row r="526" spans="1:18" ht="27" hidden="1" customHeight="1" x14ac:dyDescent="0.2">
      <c r="A526" s="129"/>
      <c r="B526" s="129"/>
      <c r="C526" s="118" t="s">
        <v>86</v>
      </c>
      <c r="D526" s="251" t="s">
        <v>555</v>
      </c>
      <c r="E526" s="156"/>
      <c r="F526" s="157">
        <v>171980</v>
      </c>
      <c r="G526" s="82"/>
      <c r="H526" s="82"/>
      <c r="I526" s="82"/>
      <c r="J526" s="82"/>
      <c r="K526" s="82"/>
      <c r="L526" s="82"/>
      <c r="M526" s="82"/>
      <c r="N526" s="82"/>
      <c r="O526" s="82"/>
      <c r="P526" s="82"/>
      <c r="Q526" s="82">
        <f>SUM(G526:P526)</f>
        <v>0</v>
      </c>
      <c r="R526" s="324"/>
    </row>
    <row r="527" spans="1:18" ht="16.899999999999999" hidden="1" customHeight="1" x14ac:dyDescent="0.2">
      <c r="A527" s="487"/>
      <c r="B527" s="487"/>
      <c r="C527" s="409" t="s">
        <v>85</v>
      </c>
      <c r="D527" s="731" t="s">
        <v>977</v>
      </c>
      <c r="E527" s="662"/>
      <c r="F527" s="411">
        <v>162603</v>
      </c>
      <c r="G527" s="411"/>
      <c r="H527" s="411"/>
      <c r="I527" s="411"/>
      <c r="J527" s="411"/>
      <c r="K527" s="411"/>
      <c r="L527" s="411"/>
      <c r="M527" s="411"/>
      <c r="N527" s="411"/>
      <c r="O527" s="411"/>
      <c r="P527" s="411"/>
      <c r="Q527" s="82">
        <f>SUM(G527:P527)</f>
        <v>0</v>
      </c>
      <c r="R527" s="412"/>
    </row>
    <row r="528" spans="1:18" ht="15.95" hidden="1" customHeight="1" x14ac:dyDescent="0.2">
      <c r="A528" s="124"/>
      <c r="B528" s="124"/>
      <c r="C528" s="125"/>
      <c r="D528" s="126" t="s">
        <v>235</v>
      </c>
      <c r="E528" s="127"/>
      <c r="F528" s="128"/>
      <c r="G528" s="128">
        <f>SUM(G524:G527)</f>
        <v>0</v>
      </c>
      <c r="H528" s="128">
        <f t="shared" ref="H528:Q528" si="41">SUM(H524:H527)</f>
        <v>0</v>
      </c>
      <c r="I528" s="128">
        <f t="shared" si="41"/>
        <v>-878</v>
      </c>
      <c r="J528" s="128">
        <f t="shared" si="41"/>
        <v>0</v>
      </c>
      <c r="K528" s="128">
        <f t="shared" si="41"/>
        <v>0</v>
      </c>
      <c r="L528" s="128">
        <f t="shared" si="41"/>
        <v>0</v>
      </c>
      <c r="M528" s="128">
        <f t="shared" si="41"/>
        <v>0</v>
      </c>
      <c r="N528" s="128">
        <f t="shared" si="41"/>
        <v>0</v>
      </c>
      <c r="O528" s="128">
        <f t="shared" si="41"/>
        <v>0</v>
      </c>
      <c r="P528" s="128">
        <f t="shared" si="41"/>
        <v>0</v>
      </c>
      <c r="Q528" s="128">
        <f t="shared" si="41"/>
        <v>-878</v>
      </c>
      <c r="R528" s="325"/>
    </row>
    <row r="529" spans="1:18" ht="15" customHeight="1" x14ac:dyDescent="0.2">
      <c r="A529" s="102">
        <v>1</v>
      </c>
      <c r="B529" s="102">
        <v>18</v>
      </c>
      <c r="C529" s="118"/>
      <c r="D529" s="146" t="s">
        <v>556</v>
      </c>
      <c r="E529" s="131"/>
      <c r="F529" s="131"/>
      <c r="G529" s="82"/>
      <c r="H529" s="107"/>
      <c r="I529" s="107"/>
      <c r="J529" s="107"/>
      <c r="K529" s="107"/>
      <c r="L529" s="107"/>
      <c r="M529" s="82"/>
      <c r="N529" s="82"/>
      <c r="O529" s="82"/>
      <c r="P529" s="82"/>
      <c r="Q529" s="82"/>
      <c r="R529" s="324"/>
    </row>
    <row r="530" spans="1:18" ht="15.75" hidden="1" customHeight="1" x14ac:dyDescent="0.2">
      <c r="A530" s="102"/>
      <c r="B530" s="102"/>
      <c r="C530" s="118"/>
      <c r="D530" s="116" t="s">
        <v>197</v>
      </c>
      <c r="E530" s="134"/>
      <c r="F530" s="134"/>
      <c r="G530" s="82"/>
      <c r="H530" s="107"/>
      <c r="I530" s="107"/>
      <c r="J530" s="107"/>
      <c r="K530" s="107"/>
      <c r="L530" s="107"/>
      <c r="M530" s="82"/>
      <c r="N530" s="82"/>
      <c r="O530" s="82"/>
      <c r="P530" s="82"/>
      <c r="Q530" s="82"/>
      <c r="R530" s="324"/>
    </row>
    <row r="531" spans="1:18" ht="17.25" hidden="1" customHeight="1" x14ac:dyDescent="0.2">
      <c r="A531" s="102"/>
      <c r="B531" s="102"/>
      <c r="C531" s="118"/>
      <c r="D531" s="116" t="s">
        <v>557</v>
      </c>
      <c r="E531" s="82">
        <v>2</v>
      </c>
      <c r="F531" s="82">
        <v>181905</v>
      </c>
      <c r="G531" s="82"/>
      <c r="H531" s="82"/>
      <c r="I531" s="82"/>
      <c r="J531" s="82"/>
      <c r="K531" s="82"/>
      <c r="L531" s="82"/>
      <c r="M531" s="82"/>
      <c r="N531" s="82"/>
      <c r="O531" s="82"/>
      <c r="P531" s="82"/>
      <c r="Q531" s="82">
        <f>SUM(G531:P531)</f>
        <v>0</v>
      </c>
      <c r="R531" s="324"/>
    </row>
    <row r="532" spans="1:18" ht="27.75" customHeight="1" x14ac:dyDescent="0.2">
      <c r="A532" s="102"/>
      <c r="B532" s="102"/>
      <c r="C532" s="118"/>
      <c r="D532" s="123" t="s">
        <v>558</v>
      </c>
      <c r="E532" s="82">
        <v>1</v>
      </c>
      <c r="F532" s="82" t="s">
        <v>238</v>
      </c>
      <c r="G532" s="82"/>
      <c r="H532" s="82"/>
      <c r="I532" s="82">
        <v>2740</v>
      </c>
      <c r="J532" s="82"/>
      <c r="K532" s="82"/>
      <c r="L532" s="82"/>
      <c r="M532" s="82"/>
      <c r="N532" s="82"/>
      <c r="O532" s="82"/>
      <c r="P532" s="82"/>
      <c r="Q532" s="82">
        <f>SUM(G532:P532)</f>
        <v>2740</v>
      </c>
      <c r="R532" s="324" t="s">
        <v>1181</v>
      </c>
    </row>
    <row r="533" spans="1:18" ht="14.1" customHeight="1" x14ac:dyDescent="0.2">
      <c r="A533" s="102"/>
      <c r="B533" s="102"/>
      <c r="C533" s="118"/>
      <c r="D533" s="116" t="s">
        <v>559</v>
      </c>
      <c r="E533" s="82">
        <v>1</v>
      </c>
      <c r="F533" s="82">
        <v>181906</v>
      </c>
      <c r="G533" s="82"/>
      <c r="H533" s="82"/>
      <c r="I533" s="82">
        <v>1110</v>
      </c>
      <c r="J533" s="82"/>
      <c r="K533" s="82"/>
      <c r="L533" s="82"/>
      <c r="M533" s="82"/>
      <c r="N533" s="82"/>
      <c r="O533" s="82"/>
      <c r="P533" s="82"/>
      <c r="Q533" s="82">
        <f>SUM(G533:P533)</f>
        <v>1110</v>
      </c>
      <c r="R533" s="324" t="s">
        <v>1182</v>
      </c>
    </row>
    <row r="534" spans="1:18" ht="14.1" hidden="1" customHeight="1" x14ac:dyDescent="0.2">
      <c r="A534" s="102"/>
      <c r="B534" s="102"/>
      <c r="C534" s="118"/>
      <c r="D534" s="116" t="s">
        <v>707</v>
      </c>
      <c r="E534" s="82">
        <v>1</v>
      </c>
      <c r="F534" s="82">
        <v>181915</v>
      </c>
      <c r="G534" s="927"/>
      <c r="H534" s="927"/>
      <c r="I534" s="927"/>
      <c r="J534" s="82"/>
      <c r="K534" s="82"/>
      <c r="L534" s="82"/>
      <c r="M534" s="82"/>
      <c r="N534" s="82"/>
      <c r="O534" s="82"/>
      <c r="P534" s="82"/>
      <c r="Q534" s="82">
        <f>SUM(G534:P534)</f>
        <v>0</v>
      </c>
      <c r="R534" s="324"/>
    </row>
    <row r="535" spans="1:18" ht="15" hidden="1" customHeight="1" x14ac:dyDescent="0.2">
      <c r="A535" s="102"/>
      <c r="B535" s="102"/>
      <c r="C535" s="118"/>
      <c r="D535" s="119" t="s">
        <v>190</v>
      </c>
      <c r="E535" s="138"/>
      <c r="F535" s="138"/>
      <c r="G535" s="927"/>
      <c r="H535" s="927"/>
      <c r="I535" s="927"/>
      <c r="J535" s="82"/>
      <c r="K535" s="82"/>
      <c r="L535" s="82"/>
      <c r="M535" s="82"/>
      <c r="N535" s="82"/>
      <c r="O535" s="82"/>
      <c r="P535" s="82"/>
      <c r="Q535" s="82"/>
      <c r="R535" s="324"/>
    </row>
    <row r="536" spans="1:18" x14ac:dyDescent="0.2">
      <c r="A536" s="102"/>
      <c r="B536" s="102"/>
      <c r="C536" s="118"/>
      <c r="D536" s="116" t="s">
        <v>560</v>
      </c>
      <c r="E536" s="122">
        <v>1</v>
      </c>
      <c r="F536" s="82">
        <v>221950</v>
      </c>
      <c r="G536" s="82">
        <v>700</v>
      </c>
      <c r="H536" s="82"/>
      <c r="I536" s="82"/>
      <c r="J536" s="82"/>
      <c r="K536" s="82"/>
      <c r="L536" s="82"/>
      <c r="M536" s="82"/>
      <c r="N536" s="82"/>
      <c r="O536" s="82"/>
      <c r="P536" s="82"/>
      <c r="Q536" s="158">
        <f>SUM(G536:P536)</f>
        <v>700</v>
      </c>
      <c r="R536" s="324" t="s">
        <v>1181</v>
      </c>
    </row>
    <row r="537" spans="1:18" ht="30.6" customHeight="1" x14ac:dyDescent="0.2">
      <c r="A537" s="102"/>
      <c r="B537" s="102"/>
      <c r="C537" s="118"/>
      <c r="D537" s="123" t="s">
        <v>561</v>
      </c>
      <c r="E537" s="113">
        <v>1</v>
      </c>
      <c r="F537" s="82">
        <v>181907</v>
      </c>
      <c r="G537" s="82"/>
      <c r="H537" s="82"/>
      <c r="I537" s="82">
        <v>-110</v>
      </c>
      <c r="J537" s="82"/>
      <c r="K537" s="82"/>
      <c r="L537" s="82"/>
      <c r="M537" s="82"/>
      <c r="N537" s="82"/>
      <c r="O537" s="82"/>
      <c r="P537" s="82"/>
      <c r="Q537" s="82">
        <f>SUM(G537:P537)</f>
        <v>-110</v>
      </c>
      <c r="R537" s="324" t="s">
        <v>1182</v>
      </c>
    </row>
    <row r="538" spans="1:18" ht="15" hidden="1" customHeight="1" x14ac:dyDescent="0.2">
      <c r="A538" s="341"/>
      <c r="B538" s="341"/>
      <c r="C538" s="363"/>
      <c r="D538" s="365" t="s">
        <v>956</v>
      </c>
      <c r="E538" s="355">
        <v>1</v>
      </c>
      <c r="F538" s="359">
        <v>181919</v>
      </c>
      <c r="G538" s="929"/>
      <c r="H538" s="929"/>
      <c r="I538" s="929"/>
      <c r="J538" s="359"/>
      <c r="K538" s="359"/>
      <c r="L538" s="359"/>
      <c r="M538" s="359"/>
      <c r="N538" s="359"/>
      <c r="O538" s="359"/>
      <c r="P538" s="359"/>
      <c r="Q538" s="359"/>
      <c r="R538" s="358"/>
    </row>
    <row r="539" spans="1:18" ht="15.75" hidden="1" customHeight="1" x14ac:dyDescent="0.2">
      <c r="A539" s="102"/>
      <c r="B539" s="102"/>
      <c r="C539" s="118"/>
      <c r="D539" s="116" t="s">
        <v>562</v>
      </c>
      <c r="E539" s="113"/>
      <c r="F539" s="113"/>
      <c r="G539" s="927"/>
      <c r="H539" s="927"/>
      <c r="I539" s="927"/>
      <c r="J539" s="82"/>
      <c r="K539" s="82"/>
      <c r="L539" s="82"/>
      <c r="M539" s="82"/>
      <c r="N539" s="82"/>
      <c r="O539" s="82"/>
      <c r="P539" s="82"/>
      <c r="Q539" s="82"/>
      <c r="R539" s="324"/>
    </row>
    <row r="540" spans="1:18" ht="14.45" hidden="1" customHeight="1" x14ac:dyDescent="0.2">
      <c r="A540" s="102"/>
      <c r="B540" s="102"/>
      <c r="C540" s="118"/>
      <c r="D540" s="123" t="s">
        <v>563</v>
      </c>
      <c r="E540" s="113">
        <v>1</v>
      </c>
      <c r="F540" s="82">
        <v>181909</v>
      </c>
      <c r="G540" s="927"/>
      <c r="H540" s="927"/>
      <c r="I540" s="927"/>
      <c r="J540" s="82"/>
      <c r="K540" s="82"/>
      <c r="L540" s="82"/>
      <c r="M540" s="82"/>
      <c r="N540" s="82"/>
      <c r="O540" s="82"/>
      <c r="P540" s="82"/>
      <c r="Q540" s="82">
        <f>SUM(G540:P540)</f>
        <v>0</v>
      </c>
      <c r="R540" s="324"/>
    </row>
    <row r="541" spans="1:18" ht="15.6" hidden="1" customHeight="1" x14ac:dyDescent="0.2">
      <c r="A541" s="408"/>
      <c r="B541" s="408"/>
      <c r="C541" s="409"/>
      <c r="D541" s="546" t="s">
        <v>978</v>
      </c>
      <c r="E541" s="553">
        <v>1</v>
      </c>
      <c r="F541" s="411">
        <v>181920</v>
      </c>
      <c r="G541" s="940"/>
      <c r="H541" s="940"/>
      <c r="I541" s="940"/>
      <c r="J541" s="411"/>
      <c r="K541" s="411"/>
      <c r="L541" s="411"/>
      <c r="M541" s="411"/>
      <c r="N541" s="411"/>
      <c r="O541" s="411"/>
      <c r="P541" s="411"/>
      <c r="Q541" s="82">
        <f>SUM(G541:P541)</f>
        <v>0</v>
      </c>
      <c r="R541" s="412"/>
    </row>
    <row r="542" spans="1:18" ht="26.25" hidden="1" customHeight="1" x14ac:dyDescent="0.2">
      <c r="A542" s="102"/>
      <c r="B542" s="102"/>
      <c r="C542" s="118"/>
      <c r="D542" s="123" t="s">
        <v>564</v>
      </c>
      <c r="E542" s="138">
        <v>2</v>
      </c>
      <c r="F542" s="139">
        <v>191142</v>
      </c>
      <c r="G542" s="927"/>
      <c r="H542" s="927"/>
      <c r="I542" s="927"/>
      <c r="J542" s="82"/>
      <c r="K542" s="82"/>
      <c r="L542" s="82"/>
      <c r="M542" s="82"/>
      <c r="N542" s="82"/>
      <c r="O542" s="82"/>
      <c r="P542" s="82"/>
      <c r="Q542" s="82">
        <f>SUM(G542:P542)</f>
        <v>0</v>
      </c>
      <c r="R542" s="324"/>
    </row>
    <row r="543" spans="1:18" ht="29.25" hidden="1" customHeight="1" x14ac:dyDescent="0.2">
      <c r="A543" s="102"/>
      <c r="B543" s="102"/>
      <c r="C543" s="118"/>
      <c r="D543" s="123" t="s">
        <v>565</v>
      </c>
      <c r="E543" s="138">
        <v>2</v>
      </c>
      <c r="F543" s="139">
        <v>191154</v>
      </c>
      <c r="G543" s="927"/>
      <c r="H543" s="927"/>
      <c r="I543" s="927"/>
      <c r="J543" s="82"/>
      <c r="K543" s="82"/>
      <c r="L543" s="82"/>
      <c r="M543" s="82"/>
      <c r="N543" s="82"/>
      <c r="O543" s="82"/>
      <c r="P543" s="82"/>
      <c r="Q543" s="82">
        <f>SUM(G543:P543)</f>
        <v>0</v>
      </c>
      <c r="R543" s="324"/>
    </row>
    <row r="544" spans="1:18" ht="15" hidden="1" customHeight="1" x14ac:dyDescent="0.2">
      <c r="A544" s="341"/>
      <c r="B544" s="341"/>
      <c r="C544" s="363"/>
      <c r="D544" s="365" t="s">
        <v>957</v>
      </c>
      <c r="E544" s="367">
        <v>2</v>
      </c>
      <c r="F544" s="368">
        <v>191141</v>
      </c>
      <c r="G544" s="929"/>
      <c r="H544" s="929"/>
      <c r="I544" s="929"/>
      <c r="J544" s="359"/>
      <c r="K544" s="359"/>
      <c r="L544" s="359"/>
      <c r="M544" s="359"/>
      <c r="N544" s="359"/>
      <c r="O544" s="359"/>
      <c r="P544" s="359"/>
      <c r="Q544" s="359"/>
      <c r="R544" s="358"/>
    </row>
    <row r="545" spans="1:18" ht="16.149999999999999" hidden="1" customHeight="1" x14ac:dyDescent="0.2">
      <c r="A545" s="341"/>
      <c r="B545" s="341"/>
      <c r="C545" s="363"/>
      <c r="D545" s="403" t="s">
        <v>190</v>
      </c>
      <c r="E545" s="367"/>
      <c r="F545" s="368"/>
      <c r="G545" s="929"/>
      <c r="H545" s="929"/>
      <c r="I545" s="929"/>
      <c r="J545" s="359"/>
      <c r="K545" s="359"/>
      <c r="L545" s="359"/>
      <c r="M545" s="359"/>
      <c r="N545" s="359"/>
      <c r="O545" s="359"/>
      <c r="P545" s="359"/>
      <c r="Q545" s="82"/>
      <c r="R545" s="358"/>
    </row>
    <row r="546" spans="1:18" ht="16.149999999999999" hidden="1" customHeight="1" x14ac:dyDescent="0.2">
      <c r="A546" s="341"/>
      <c r="B546" s="341"/>
      <c r="C546" s="363"/>
      <c r="D546" s="365" t="s">
        <v>758</v>
      </c>
      <c r="E546" s="367">
        <v>2</v>
      </c>
      <c r="F546" s="368">
        <v>181916</v>
      </c>
      <c r="G546" s="929"/>
      <c r="H546" s="929"/>
      <c r="I546" s="929"/>
      <c r="J546" s="359"/>
      <c r="K546" s="359"/>
      <c r="L546" s="359"/>
      <c r="M546" s="359"/>
      <c r="N546" s="359"/>
      <c r="O546" s="359"/>
      <c r="P546" s="359"/>
      <c r="Q546" s="82">
        <f t="shared" ref="Q546" si="42">SUM(G546:P546)</f>
        <v>0</v>
      </c>
      <c r="R546" s="358"/>
    </row>
    <row r="547" spans="1:18" ht="15" hidden="1" customHeight="1" x14ac:dyDescent="0.2">
      <c r="A547" s="102"/>
      <c r="B547" s="102"/>
      <c r="C547" s="118"/>
      <c r="D547" s="123" t="s">
        <v>566</v>
      </c>
      <c r="E547" s="113"/>
      <c r="F547" s="113"/>
      <c r="G547" s="927"/>
      <c r="H547" s="927"/>
      <c r="I547" s="927"/>
      <c r="J547" s="82"/>
      <c r="K547" s="82"/>
      <c r="L547" s="82"/>
      <c r="M547" s="82"/>
      <c r="N547" s="82"/>
      <c r="O547" s="82"/>
      <c r="P547" s="82"/>
      <c r="Q547" s="82"/>
      <c r="R547" s="324"/>
    </row>
    <row r="548" spans="1:18" ht="15" hidden="1" customHeight="1" x14ac:dyDescent="0.2">
      <c r="A548" s="102"/>
      <c r="B548" s="102"/>
      <c r="C548" s="118"/>
      <c r="D548" s="123" t="s">
        <v>567</v>
      </c>
      <c r="E548" s="113">
        <v>1</v>
      </c>
      <c r="F548" s="82">
        <v>181902</v>
      </c>
      <c r="G548" s="927"/>
      <c r="H548" s="927"/>
      <c r="I548" s="927"/>
      <c r="J548" s="82"/>
      <c r="K548" s="82"/>
      <c r="L548" s="82"/>
      <c r="M548" s="82"/>
      <c r="N548" s="82"/>
      <c r="O548" s="82"/>
      <c r="P548" s="82"/>
      <c r="Q548" s="82">
        <f>SUM(G548:P548)</f>
        <v>0</v>
      </c>
      <c r="R548" s="324"/>
    </row>
    <row r="549" spans="1:18" ht="15" hidden="1" customHeight="1" x14ac:dyDescent="0.2">
      <c r="A549" s="102"/>
      <c r="B549" s="102"/>
      <c r="C549" s="118"/>
      <c r="D549" s="123" t="s">
        <v>568</v>
      </c>
      <c r="E549" s="113">
        <v>1</v>
      </c>
      <c r="F549" s="82">
        <v>181903</v>
      </c>
      <c r="G549" s="927"/>
      <c r="H549" s="927"/>
      <c r="I549" s="927"/>
      <c r="J549" s="82"/>
      <c r="K549" s="82"/>
      <c r="L549" s="82"/>
      <c r="M549" s="82"/>
      <c r="N549" s="82"/>
      <c r="O549" s="82"/>
      <c r="P549" s="82"/>
      <c r="Q549" s="82">
        <f>SUM(G549:P549)</f>
        <v>0</v>
      </c>
      <c r="R549" s="324"/>
    </row>
    <row r="550" spans="1:18" ht="14.1" customHeight="1" x14ac:dyDescent="0.2">
      <c r="A550" s="252"/>
      <c r="B550" s="252"/>
      <c r="C550" s="252"/>
      <c r="D550" s="116" t="s">
        <v>569</v>
      </c>
      <c r="E550" s="82">
        <v>1</v>
      </c>
      <c r="F550" s="82">
        <v>181904</v>
      </c>
      <c r="G550" s="82"/>
      <c r="H550" s="82"/>
      <c r="I550" s="82">
        <v>1025</v>
      </c>
      <c r="J550" s="82"/>
      <c r="K550" s="82"/>
      <c r="L550" s="82"/>
      <c r="M550" s="82"/>
      <c r="N550" s="82"/>
      <c r="O550" s="82"/>
      <c r="P550" s="82"/>
      <c r="Q550" s="82">
        <f>SUM(G550:P550)</f>
        <v>1025</v>
      </c>
      <c r="R550" s="324" t="s">
        <v>1181</v>
      </c>
    </row>
    <row r="551" spans="1:18" ht="15" customHeight="1" x14ac:dyDescent="0.2">
      <c r="A551" s="128"/>
      <c r="B551" s="128"/>
      <c r="C551" s="126"/>
      <c r="D551" s="126" t="s">
        <v>570</v>
      </c>
      <c r="E551" s="127"/>
      <c r="F551" s="127"/>
      <c r="G551" s="150">
        <f t="shared" ref="G551:Q551" si="43">SUM(G531:G550)</f>
        <v>700</v>
      </c>
      <c r="H551" s="150">
        <f t="shared" si="43"/>
        <v>0</v>
      </c>
      <c r="I551" s="150">
        <f t="shared" si="43"/>
        <v>4765</v>
      </c>
      <c r="J551" s="150">
        <f t="shared" si="43"/>
        <v>0</v>
      </c>
      <c r="K551" s="150">
        <f t="shared" si="43"/>
        <v>0</v>
      </c>
      <c r="L551" s="150">
        <f t="shared" si="43"/>
        <v>0</v>
      </c>
      <c r="M551" s="150">
        <f t="shared" si="43"/>
        <v>0</v>
      </c>
      <c r="N551" s="150">
        <f t="shared" si="43"/>
        <v>0</v>
      </c>
      <c r="O551" s="150">
        <f t="shared" si="43"/>
        <v>0</v>
      </c>
      <c r="P551" s="150">
        <f t="shared" si="43"/>
        <v>0</v>
      </c>
      <c r="Q551" s="150">
        <f t="shared" si="43"/>
        <v>5465</v>
      </c>
      <c r="R551" s="325"/>
    </row>
    <row r="552" spans="1:18" ht="15" hidden="1" customHeight="1" x14ac:dyDescent="0.2">
      <c r="A552" s="132"/>
      <c r="B552" s="132"/>
      <c r="C552" s="146"/>
      <c r="D552" s="143" t="s">
        <v>571</v>
      </c>
      <c r="E552" s="131"/>
      <c r="F552" s="131"/>
      <c r="G552" s="107"/>
      <c r="H552" s="107"/>
      <c r="I552" s="107"/>
      <c r="J552" s="107"/>
      <c r="K552" s="107"/>
      <c r="L552" s="107"/>
      <c r="M552" s="107"/>
      <c r="N552" s="107"/>
      <c r="O552" s="107"/>
      <c r="P552" s="107"/>
      <c r="Q552" s="107"/>
      <c r="R552" s="324"/>
    </row>
    <row r="553" spans="1:18" ht="28.5" hidden="1" customHeight="1" x14ac:dyDescent="0.2">
      <c r="A553" s="132"/>
      <c r="B553" s="132"/>
      <c r="C553" s="394"/>
      <c r="D553" s="365" t="s">
        <v>1115</v>
      </c>
      <c r="E553" s="785"/>
      <c r="F553" s="82">
        <v>184902</v>
      </c>
      <c r="G553" s="159"/>
      <c r="H553" s="159"/>
      <c r="I553" s="159"/>
      <c r="J553" s="159"/>
      <c r="K553" s="159"/>
      <c r="L553" s="159"/>
      <c r="M553" s="159"/>
      <c r="N553" s="159"/>
      <c r="O553" s="159"/>
      <c r="P553" s="159"/>
      <c r="Q553" s="107">
        <f>SUM(G553:P553)</f>
        <v>0</v>
      </c>
      <c r="R553" s="782"/>
    </row>
    <row r="554" spans="1:18" ht="15.6" hidden="1" customHeight="1" x14ac:dyDescent="0.2">
      <c r="A554" s="132"/>
      <c r="B554" s="132"/>
      <c r="C554" s="394"/>
      <c r="D554" s="351" t="s">
        <v>868</v>
      </c>
      <c r="E554" s="466"/>
      <c r="F554" s="362"/>
      <c r="G554" s="159"/>
      <c r="H554" s="159"/>
      <c r="I554" s="159"/>
      <c r="J554" s="159"/>
      <c r="K554" s="159"/>
      <c r="L554" s="159"/>
      <c r="M554" s="159"/>
      <c r="N554" s="159"/>
      <c r="O554" s="159"/>
      <c r="P554" s="159"/>
      <c r="Q554" s="107">
        <f>SUM(G554:P554)</f>
        <v>0</v>
      </c>
      <c r="R554" s="324"/>
    </row>
    <row r="555" spans="1:18" ht="15.6" hidden="1" customHeight="1" x14ac:dyDescent="0.2">
      <c r="A555" s="296"/>
      <c r="B555" s="296"/>
      <c r="C555" s="341" t="s">
        <v>294</v>
      </c>
      <c r="D555" s="467" t="s">
        <v>572</v>
      </c>
      <c r="E555" s="468"/>
      <c r="F555" s="291">
        <v>182905</v>
      </c>
      <c r="G555" s="159"/>
      <c r="H555" s="159"/>
      <c r="I555" s="159"/>
      <c r="J555" s="159"/>
      <c r="K555" s="159"/>
      <c r="L555" s="159"/>
      <c r="M555" s="159"/>
      <c r="N555" s="159"/>
      <c r="O555" s="159"/>
      <c r="P555" s="159"/>
      <c r="Q555" s="107">
        <f>SUM(G555:P555)</f>
        <v>0</v>
      </c>
      <c r="R555" s="324"/>
    </row>
    <row r="556" spans="1:18" ht="15" hidden="1" customHeight="1" x14ac:dyDescent="0.2">
      <c r="A556" s="128"/>
      <c r="B556" s="128"/>
      <c r="C556" s="126"/>
      <c r="D556" s="126" t="s">
        <v>573</v>
      </c>
      <c r="E556" s="127"/>
      <c r="F556" s="127"/>
      <c r="G556" s="173">
        <f t="shared" ref="G556:Q556" si="44">SUM(G551:G555)</f>
        <v>700</v>
      </c>
      <c r="H556" s="173">
        <f t="shared" si="44"/>
        <v>0</v>
      </c>
      <c r="I556" s="173">
        <f t="shared" si="44"/>
        <v>4765</v>
      </c>
      <c r="J556" s="173">
        <f t="shared" si="44"/>
        <v>0</v>
      </c>
      <c r="K556" s="173">
        <f t="shared" si="44"/>
        <v>0</v>
      </c>
      <c r="L556" s="173">
        <f t="shared" si="44"/>
        <v>0</v>
      </c>
      <c r="M556" s="173">
        <f t="shared" si="44"/>
        <v>0</v>
      </c>
      <c r="N556" s="173">
        <f t="shared" si="44"/>
        <v>0</v>
      </c>
      <c r="O556" s="173">
        <f t="shared" si="44"/>
        <v>0</v>
      </c>
      <c r="P556" s="173">
        <f t="shared" si="44"/>
        <v>0</v>
      </c>
      <c r="Q556" s="173">
        <f t="shared" si="44"/>
        <v>5465</v>
      </c>
      <c r="R556" s="325"/>
    </row>
    <row r="557" spans="1:18" ht="15" customHeight="1" x14ac:dyDescent="0.2">
      <c r="A557" s="102">
        <v>1</v>
      </c>
      <c r="B557" s="102">
        <v>19</v>
      </c>
      <c r="C557" s="118"/>
      <c r="D557" s="146" t="s">
        <v>574</v>
      </c>
      <c r="E557" s="130"/>
      <c r="F557" s="130"/>
      <c r="G557" s="82"/>
      <c r="H557" s="107"/>
      <c r="I557" s="107"/>
      <c r="J557" s="107"/>
      <c r="K557" s="107"/>
      <c r="L557" s="107"/>
      <c r="M557" s="82"/>
      <c r="N557" s="82"/>
      <c r="O557" s="82"/>
      <c r="P557" s="82"/>
      <c r="Q557" s="82"/>
      <c r="R557" s="324"/>
    </row>
    <row r="558" spans="1:18" ht="15" hidden="1" customHeight="1" x14ac:dyDescent="0.2">
      <c r="A558" s="102"/>
      <c r="B558" s="102"/>
      <c r="C558" s="118"/>
      <c r="D558" s="115" t="s">
        <v>575</v>
      </c>
      <c r="E558" s="134"/>
      <c r="F558" s="134"/>
      <c r="G558" s="82"/>
      <c r="H558" s="107"/>
      <c r="I558" s="107"/>
      <c r="J558" s="107"/>
      <c r="K558" s="107"/>
      <c r="L558" s="107"/>
      <c r="M558" s="82"/>
      <c r="N558" s="82"/>
      <c r="O558" s="82"/>
      <c r="P558" s="82"/>
      <c r="Q558" s="82"/>
      <c r="R558" s="324"/>
    </row>
    <row r="559" spans="1:18" ht="15" customHeight="1" x14ac:dyDescent="0.2">
      <c r="A559" s="102"/>
      <c r="B559" s="102"/>
      <c r="C559" s="118"/>
      <c r="D559" s="116" t="s">
        <v>958</v>
      </c>
      <c r="E559" s="113">
        <v>1</v>
      </c>
      <c r="F559" s="82">
        <v>191101</v>
      </c>
      <c r="G559" s="82"/>
      <c r="H559" s="82"/>
      <c r="I559" s="82"/>
      <c r="J559" s="82"/>
      <c r="K559" s="82">
        <v>-26656</v>
      </c>
      <c r="L559" s="82"/>
      <c r="M559" s="82"/>
      <c r="N559" s="82"/>
      <c r="O559" s="82"/>
      <c r="P559" s="82"/>
      <c r="Q559" s="82">
        <f>SUM(G559:P559)</f>
        <v>-26656</v>
      </c>
      <c r="R559" s="324" t="s">
        <v>1181</v>
      </c>
    </row>
    <row r="560" spans="1:18" ht="15" hidden="1" customHeight="1" x14ac:dyDescent="0.2">
      <c r="A560" s="102"/>
      <c r="B560" s="102"/>
      <c r="C560" s="118"/>
      <c r="D560" s="116" t="s">
        <v>959</v>
      </c>
      <c r="E560" s="113">
        <v>1</v>
      </c>
      <c r="F560" s="82">
        <v>191901</v>
      </c>
      <c r="G560" s="82"/>
      <c r="H560" s="82"/>
      <c r="I560" s="82"/>
      <c r="J560" s="82"/>
      <c r="K560" s="82"/>
      <c r="L560" s="82"/>
      <c r="M560" s="82"/>
      <c r="N560" s="82"/>
      <c r="O560" s="82"/>
      <c r="P560" s="82"/>
      <c r="Q560" s="82">
        <f>SUM(G560:P560)</f>
        <v>0</v>
      </c>
      <c r="R560" s="324"/>
    </row>
    <row r="561" spans="1:18" ht="15" hidden="1" customHeight="1" x14ac:dyDescent="0.2">
      <c r="A561" s="102"/>
      <c r="B561" s="102"/>
      <c r="C561" s="118"/>
      <c r="D561" s="116" t="s">
        <v>576</v>
      </c>
      <c r="E561" s="113">
        <v>1</v>
      </c>
      <c r="F561" s="82">
        <v>191901</v>
      </c>
      <c r="G561" s="82"/>
      <c r="H561" s="82"/>
      <c r="I561" s="82"/>
      <c r="J561" s="82"/>
      <c r="K561" s="82"/>
      <c r="L561" s="82"/>
      <c r="M561" s="82"/>
      <c r="N561" s="82"/>
      <c r="O561" s="82"/>
      <c r="P561" s="82"/>
      <c r="Q561" s="82">
        <f>SUM(G561:P561)</f>
        <v>0</v>
      </c>
      <c r="R561" s="324"/>
    </row>
    <row r="562" spans="1:18" ht="15" hidden="1" customHeight="1" x14ac:dyDescent="0.2">
      <c r="A562" s="408"/>
      <c r="B562" s="408"/>
      <c r="C562" s="409"/>
      <c r="D562" s="544" t="s">
        <v>979</v>
      </c>
      <c r="E562" s="553">
        <v>1</v>
      </c>
      <c r="F562" s="411">
        <v>191901</v>
      </c>
      <c r="G562" s="411"/>
      <c r="H562" s="411"/>
      <c r="I562" s="411"/>
      <c r="J562" s="411"/>
      <c r="K562" s="411"/>
      <c r="L562" s="411"/>
      <c r="M562" s="411"/>
      <c r="N562" s="411"/>
      <c r="O562" s="411"/>
      <c r="P562" s="411"/>
      <c r="Q562" s="82">
        <f>SUM(G562:P562)</f>
        <v>0</v>
      </c>
      <c r="R562" s="412"/>
    </row>
    <row r="563" spans="1:18" ht="15" hidden="1" customHeight="1" x14ac:dyDescent="0.2">
      <c r="A563" s="102"/>
      <c r="B563" s="102"/>
      <c r="C563" s="118"/>
      <c r="D563" s="119" t="s">
        <v>190</v>
      </c>
      <c r="E563" s="706"/>
      <c r="F563" s="138"/>
      <c r="G563" s="82"/>
      <c r="H563" s="82"/>
      <c r="I563" s="82"/>
      <c r="J563" s="82"/>
      <c r="K563" s="82"/>
      <c r="L563" s="82"/>
      <c r="M563" s="82"/>
      <c r="N563" s="82"/>
      <c r="O563" s="82"/>
      <c r="P563" s="82"/>
      <c r="Q563" s="82"/>
      <c r="R563" s="324"/>
    </row>
    <row r="564" spans="1:18" ht="15" customHeight="1" x14ac:dyDescent="0.2">
      <c r="A564" s="102"/>
      <c r="B564" s="102"/>
      <c r="C564" s="118"/>
      <c r="D564" s="116" t="s">
        <v>833</v>
      </c>
      <c r="E564" s="113">
        <v>1</v>
      </c>
      <c r="F564" s="82">
        <v>191102</v>
      </c>
      <c r="G564" s="82"/>
      <c r="H564" s="82"/>
      <c r="I564" s="82">
        <v>4000</v>
      </c>
      <c r="J564" s="82"/>
      <c r="K564" s="82"/>
      <c r="L564" s="82"/>
      <c r="M564" s="82"/>
      <c r="N564" s="82"/>
      <c r="O564" s="82"/>
      <c r="P564" s="82"/>
      <c r="Q564" s="82">
        <f t="shared" ref="Q564:Q567" si="45">SUM(G564:P564)</f>
        <v>4000</v>
      </c>
      <c r="R564" s="324" t="s">
        <v>1181</v>
      </c>
    </row>
    <row r="565" spans="1:18" ht="15" customHeight="1" x14ac:dyDescent="0.2">
      <c r="A565" s="102"/>
      <c r="B565" s="102"/>
      <c r="C565" s="118"/>
      <c r="D565" s="116" t="s">
        <v>577</v>
      </c>
      <c r="E565" s="82">
        <v>1</v>
      </c>
      <c r="F565" s="82">
        <v>191103</v>
      </c>
      <c r="G565" s="82"/>
      <c r="H565" s="82"/>
      <c r="I565" s="82">
        <v>21400</v>
      </c>
      <c r="J565" s="82"/>
      <c r="K565" s="82"/>
      <c r="L565" s="82"/>
      <c r="M565" s="82"/>
      <c r="N565" s="82"/>
      <c r="O565" s="82"/>
      <c r="P565" s="82"/>
      <c r="Q565" s="82">
        <f t="shared" si="45"/>
        <v>21400</v>
      </c>
      <c r="R565" s="324" t="s">
        <v>1181</v>
      </c>
    </row>
    <row r="566" spans="1:18" ht="15" hidden="1" customHeight="1" x14ac:dyDescent="0.2">
      <c r="A566" s="102"/>
      <c r="B566" s="102"/>
      <c r="C566" s="118"/>
      <c r="D566" s="116" t="s">
        <v>578</v>
      </c>
      <c r="E566" s="82">
        <v>1</v>
      </c>
      <c r="F566" s="82">
        <v>191105</v>
      </c>
      <c r="G566" s="82"/>
      <c r="H566" s="82"/>
      <c r="I566" s="82"/>
      <c r="J566" s="82"/>
      <c r="K566" s="82"/>
      <c r="L566" s="82"/>
      <c r="M566" s="82"/>
      <c r="N566" s="82"/>
      <c r="O566" s="82"/>
      <c r="P566" s="82"/>
      <c r="Q566" s="82">
        <f t="shared" si="45"/>
        <v>0</v>
      </c>
      <c r="R566" s="324"/>
    </row>
    <row r="567" spans="1:18" ht="15" hidden="1" customHeight="1" x14ac:dyDescent="0.2">
      <c r="A567" s="102"/>
      <c r="B567" s="102"/>
      <c r="C567" s="118"/>
      <c r="D567" s="116" t="s">
        <v>579</v>
      </c>
      <c r="E567" s="82">
        <v>1</v>
      </c>
      <c r="F567" s="82">
        <v>196901</v>
      </c>
      <c r="G567" s="82"/>
      <c r="H567" s="82"/>
      <c r="I567" s="82"/>
      <c r="J567" s="82"/>
      <c r="K567" s="82"/>
      <c r="L567" s="82"/>
      <c r="M567" s="82"/>
      <c r="N567" s="82"/>
      <c r="O567" s="82"/>
      <c r="P567" s="82"/>
      <c r="Q567" s="82">
        <f t="shared" si="45"/>
        <v>0</v>
      </c>
      <c r="R567" s="324"/>
    </row>
    <row r="568" spans="1:18" ht="15" hidden="1" customHeight="1" x14ac:dyDescent="0.2">
      <c r="A568" s="102"/>
      <c r="B568" s="102"/>
      <c r="C568" s="118"/>
      <c r="D568" s="116" t="s">
        <v>197</v>
      </c>
      <c r="E568" s="82"/>
      <c r="F568" s="82"/>
      <c r="G568" s="82"/>
      <c r="H568" s="82"/>
      <c r="I568" s="82"/>
      <c r="J568" s="82"/>
      <c r="K568" s="82"/>
      <c r="L568" s="82"/>
      <c r="M568" s="82"/>
      <c r="N568" s="82"/>
      <c r="O568" s="82"/>
      <c r="P568" s="82"/>
      <c r="Q568" s="82"/>
      <c r="R568" s="324"/>
    </row>
    <row r="569" spans="1:18" ht="15" hidden="1" customHeight="1" x14ac:dyDescent="0.2">
      <c r="A569" s="102"/>
      <c r="B569" s="102"/>
      <c r="C569" s="118"/>
      <c r="D569" s="116" t="s">
        <v>580</v>
      </c>
      <c r="E569" s="82">
        <v>1</v>
      </c>
      <c r="F569" s="82">
        <v>191104</v>
      </c>
      <c r="G569" s="82"/>
      <c r="H569" s="82"/>
      <c r="I569" s="82"/>
      <c r="J569" s="82"/>
      <c r="K569" s="82"/>
      <c r="L569" s="82"/>
      <c r="M569" s="82"/>
      <c r="N569" s="82"/>
      <c r="O569" s="82"/>
      <c r="P569" s="82"/>
      <c r="Q569" s="82">
        <f>SUM(G569:P569)</f>
        <v>0</v>
      </c>
      <c r="R569" s="324"/>
    </row>
    <row r="570" spans="1:18" ht="14.1" hidden="1" customHeight="1" x14ac:dyDescent="0.2">
      <c r="A570" s="102"/>
      <c r="B570" s="102"/>
      <c r="C570" s="118"/>
      <c r="D570" s="120" t="s">
        <v>581</v>
      </c>
      <c r="E570" s="82"/>
      <c r="F570" s="82"/>
      <c r="G570" s="82"/>
      <c r="H570" s="82"/>
      <c r="I570" s="82"/>
      <c r="J570" s="82"/>
      <c r="K570" s="82"/>
      <c r="L570" s="82"/>
      <c r="M570" s="82"/>
      <c r="N570" s="82"/>
      <c r="O570" s="82"/>
      <c r="P570" s="82"/>
      <c r="Q570" s="82"/>
      <c r="R570" s="324"/>
    </row>
    <row r="571" spans="1:18" ht="14.1" hidden="1" customHeight="1" x14ac:dyDescent="0.2">
      <c r="A571" s="102"/>
      <c r="B571" s="102"/>
      <c r="C571" s="118"/>
      <c r="D571" s="116" t="s">
        <v>582</v>
      </c>
      <c r="E571" s="82">
        <v>2</v>
      </c>
      <c r="F571" s="82">
        <v>191109</v>
      </c>
      <c r="G571" s="82"/>
      <c r="H571" s="82"/>
      <c r="I571" s="82"/>
      <c r="J571" s="82"/>
      <c r="K571" s="82"/>
      <c r="L571" s="82"/>
      <c r="M571" s="82"/>
      <c r="N571" s="82"/>
      <c r="O571" s="82"/>
      <c r="P571" s="82"/>
      <c r="Q571" s="82">
        <f>SUM(G571:P571)</f>
        <v>0</v>
      </c>
      <c r="R571" s="324"/>
    </row>
    <row r="572" spans="1:18" ht="14.1" hidden="1" customHeight="1" x14ac:dyDescent="0.2">
      <c r="A572" s="341"/>
      <c r="B572" s="341"/>
      <c r="C572" s="363"/>
      <c r="D572" s="351" t="s">
        <v>960</v>
      </c>
      <c r="E572" s="359">
        <v>2</v>
      </c>
      <c r="F572" s="359">
        <v>191146</v>
      </c>
      <c r="G572" s="359"/>
      <c r="H572" s="359"/>
      <c r="I572" s="359"/>
      <c r="J572" s="359"/>
      <c r="K572" s="359"/>
      <c r="L572" s="359"/>
      <c r="M572" s="359"/>
      <c r="N572" s="359"/>
      <c r="O572" s="359"/>
      <c r="P572" s="359"/>
      <c r="Q572" s="359"/>
      <c r="R572" s="358"/>
    </row>
    <row r="573" spans="1:18" ht="15" hidden="1" customHeight="1" x14ac:dyDescent="0.2">
      <c r="A573" s="102"/>
      <c r="B573" s="102"/>
      <c r="C573" s="118"/>
      <c r="D573" s="119" t="s">
        <v>190</v>
      </c>
      <c r="E573" s="706"/>
      <c r="F573" s="138"/>
      <c r="G573" s="82"/>
      <c r="H573" s="82"/>
      <c r="I573" s="82"/>
      <c r="J573" s="82"/>
      <c r="K573" s="82"/>
      <c r="L573" s="82"/>
      <c r="M573" s="82"/>
      <c r="N573" s="82"/>
      <c r="O573" s="82"/>
      <c r="P573" s="82"/>
      <c r="Q573" s="82"/>
      <c r="R573" s="324"/>
    </row>
    <row r="574" spans="1:18" ht="23.25" customHeight="1" x14ac:dyDescent="0.2">
      <c r="A574" s="102"/>
      <c r="B574" s="102"/>
      <c r="C574" s="118"/>
      <c r="D574" s="135" t="s">
        <v>585</v>
      </c>
      <c r="E574" s="113">
        <v>1</v>
      </c>
      <c r="F574" s="82">
        <v>191905</v>
      </c>
      <c r="G574" s="82"/>
      <c r="H574" s="82"/>
      <c r="I574" s="82"/>
      <c r="J574" s="82"/>
      <c r="K574" s="82">
        <v>35786</v>
      </c>
      <c r="L574" s="82"/>
      <c r="M574" s="82"/>
      <c r="N574" s="82"/>
      <c r="O574" s="82"/>
      <c r="P574" s="82"/>
      <c r="Q574" s="82">
        <f>SUM(G574:P574)</f>
        <v>35786</v>
      </c>
      <c r="R574" s="324" t="s">
        <v>1181</v>
      </c>
    </row>
    <row r="575" spans="1:18" ht="15" hidden="1" customHeight="1" x14ac:dyDescent="0.2">
      <c r="A575" s="102"/>
      <c r="B575" s="102"/>
      <c r="C575" s="118"/>
      <c r="D575" s="119" t="s">
        <v>190</v>
      </c>
      <c r="E575" s="138"/>
      <c r="F575" s="138"/>
      <c r="G575" s="82"/>
      <c r="H575" s="82"/>
      <c r="I575" s="82"/>
      <c r="J575" s="82"/>
      <c r="K575" s="82"/>
      <c r="L575" s="82"/>
      <c r="M575" s="82"/>
      <c r="N575" s="82"/>
      <c r="O575" s="82"/>
      <c r="P575" s="82"/>
      <c r="Q575" s="82"/>
      <c r="R575" s="324"/>
    </row>
    <row r="576" spans="1:18" ht="16.149999999999999" customHeight="1" x14ac:dyDescent="0.2">
      <c r="A576" s="102"/>
      <c r="B576" s="102"/>
      <c r="C576" s="118"/>
      <c r="D576" s="116" t="s">
        <v>586</v>
      </c>
      <c r="E576" s="82">
        <v>1</v>
      </c>
      <c r="F576" s="82">
        <v>191121</v>
      </c>
      <c r="G576" s="82"/>
      <c r="H576" s="82"/>
      <c r="I576" s="82">
        <v>-1700</v>
      </c>
      <c r="J576" s="82"/>
      <c r="K576" s="82"/>
      <c r="L576" s="82"/>
      <c r="M576" s="82"/>
      <c r="N576" s="82"/>
      <c r="O576" s="82"/>
      <c r="P576" s="82"/>
      <c r="Q576" s="82">
        <f>SUM(G576:P576)</f>
        <v>-1700</v>
      </c>
      <c r="R576" s="324" t="s">
        <v>1181</v>
      </c>
    </row>
    <row r="577" spans="1:18" ht="21" hidden="1" customHeight="1" x14ac:dyDescent="0.2">
      <c r="A577" s="102"/>
      <c r="B577" s="102"/>
      <c r="C577" s="118"/>
      <c r="D577" s="123" t="s">
        <v>244</v>
      </c>
      <c r="E577" s="138"/>
      <c r="F577" s="138"/>
      <c r="G577" s="82"/>
      <c r="H577" s="82"/>
      <c r="I577" s="82"/>
      <c r="J577" s="82"/>
      <c r="K577" s="82"/>
      <c r="L577" s="82"/>
      <c r="M577" s="82"/>
      <c r="N577" s="82"/>
      <c r="O577" s="82"/>
      <c r="P577" s="82"/>
      <c r="Q577" s="82"/>
      <c r="R577" s="324"/>
    </row>
    <row r="578" spans="1:18" ht="26.25" hidden="1" customHeight="1" x14ac:dyDescent="0.2">
      <c r="A578" s="102"/>
      <c r="B578" s="102"/>
      <c r="C578" s="118"/>
      <c r="D578" s="123" t="s">
        <v>587</v>
      </c>
      <c r="E578" s="138">
        <v>1</v>
      </c>
      <c r="F578" s="139">
        <v>191152</v>
      </c>
      <c r="G578" s="82"/>
      <c r="H578" s="82"/>
      <c r="I578" s="82"/>
      <c r="J578" s="82"/>
      <c r="K578" s="82"/>
      <c r="L578" s="82"/>
      <c r="M578" s="82"/>
      <c r="N578" s="82"/>
      <c r="O578" s="82"/>
      <c r="P578" s="82"/>
      <c r="Q578" s="82">
        <f>SUM(G578:P578)</f>
        <v>0</v>
      </c>
      <c r="R578" s="324"/>
    </row>
    <row r="579" spans="1:18" ht="25.5" hidden="1" customHeight="1" x14ac:dyDescent="0.2">
      <c r="A579" s="102"/>
      <c r="B579" s="102"/>
      <c r="C579" s="118"/>
      <c r="D579" s="139" t="s">
        <v>834</v>
      </c>
      <c r="E579" s="138">
        <v>2</v>
      </c>
      <c r="F579" s="139">
        <v>196919</v>
      </c>
      <c r="G579" s="82"/>
      <c r="H579" s="82"/>
      <c r="I579" s="82"/>
      <c r="J579" s="82"/>
      <c r="K579" s="82"/>
      <c r="L579" s="82"/>
      <c r="M579" s="82"/>
      <c r="N579" s="82"/>
      <c r="O579" s="82"/>
      <c r="P579" s="82"/>
      <c r="Q579" s="82">
        <f>SUM(G579:P579)</f>
        <v>0</v>
      </c>
      <c r="R579" s="324"/>
    </row>
    <row r="580" spans="1:18" ht="16.149999999999999" hidden="1" customHeight="1" x14ac:dyDescent="0.2">
      <c r="A580" s="679"/>
      <c r="B580" s="679"/>
      <c r="C580" s="661"/>
      <c r="D580" s="722" t="s">
        <v>1002</v>
      </c>
      <c r="E580" s="706"/>
      <c r="F580" s="678"/>
      <c r="G580" s="663"/>
      <c r="H580" s="663"/>
      <c r="I580" s="663"/>
      <c r="J580" s="663"/>
      <c r="K580" s="663"/>
      <c r="L580" s="663"/>
      <c r="M580" s="663"/>
      <c r="N580" s="663"/>
      <c r="O580" s="663"/>
      <c r="P580" s="663"/>
      <c r="Q580" s="82"/>
      <c r="R580" s="666"/>
    </row>
    <row r="581" spans="1:18" ht="24.6" hidden="1" customHeight="1" x14ac:dyDescent="0.2">
      <c r="A581" s="679"/>
      <c r="B581" s="679"/>
      <c r="C581" s="661"/>
      <c r="D581" s="722" t="s">
        <v>1039</v>
      </c>
      <c r="E581" s="663">
        <v>1</v>
      </c>
      <c r="F581" s="684">
        <v>191909</v>
      </c>
      <c r="G581" s="663"/>
      <c r="H581" s="663"/>
      <c r="I581" s="663"/>
      <c r="J581" s="663"/>
      <c r="K581" s="663"/>
      <c r="L581" s="663"/>
      <c r="M581" s="663"/>
      <c r="N581" s="663"/>
      <c r="O581" s="663"/>
      <c r="P581" s="663"/>
      <c r="Q581" s="82">
        <f t="shared" ref="Q581:Q584" si="46">SUM(G581:P581)</f>
        <v>0</v>
      </c>
      <c r="R581" s="666"/>
    </row>
    <row r="582" spans="1:18" ht="24.6" hidden="1" customHeight="1" x14ac:dyDescent="0.2">
      <c r="A582" s="102"/>
      <c r="B582" s="102"/>
      <c r="C582" s="363"/>
      <c r="D582" s="365" t="s">
        <v>1116</v>
      </c>
      <c r="E582" s="82"/>
      <c r="F582" s="783">
        <v>191158</v>
      </c>
      <c r="G582" s="82"/>
      <c r="H582" s="82"/>
      <c r="I582" s="82"/>
      <c r="J582" s="82"/>
      <c r="K582" s="82"/>
      <c r="L582" s="82"/>
      <c r="M582" s="82"/>
      <c r="N582" s="82"/>
      <c r="O582" s="82"/>
      <c r="P582" s="82"/>
      <c r="Q582" s="82">
        <f t="shared" si="46"/>
        <v>0</v>
      </c>
      <c r="R582" s="782"/>
    </row>
    <row r="583" spans="1:18" ht="24.6" hidden="1" customHeight="1" x14ac:dyDescent="0.2">
      <c r="A583" s="102"/>
      <c r="B583" s="102"/>
      <c r="C583" s="363"/>
      <c r="D583" s="365" t="s">
        <v>1117</v>
      </c>
      <c r="E583" s="82"/>
      <c r="F583" s="783">
        <v>191135</v>
      </c>
      <c r="G583" s="82"/>
      <c r="H583" s="82"/>
      <c r="I583" s="82"/>
      <c r="J583" s="82"/>
      <c r="K583" s="82"/>
      <c r="L583" s="82"/>
      <c r="M583" s="82"/>
      <c r="N583" s="82"/>
      <c r="O583" s="82"/>
      <c r="P583" s="82"/>
      <c r="Q583" s="82">
        <f t="shared" si="46"/>
        <v>0</v>
      </c>
      <c r="R583" s="782"/>
    </row>
    <row r="584" spans="1:18" ht="17.100000000000001" hidden="1" customHeight="1" x14ac:dyDescent="0.2">
      <c r="A584" s="102"/>
      <c r="B584" s="102"/>
      <c r="C584" s="118"/>
      <c r="D584" s="116" t="s">
        <v>588</v>
      </c>
      <c r="E584" s="82"/>
      <c r="F584" s="161"/>
      <c r="G584" s="82"/>
      <c r="H584" s="82"/>
      <c r="I584" s="82"/>
      <c r="J584" s="82"/>
      <c r="K584" s="82"/>
      <c r="L584" s="82"/>
      <c r="M584" s="82"/>
      <c r="N584" s="82"/>
      <c r="O584" s="82"/>
      <c r="P584" s="82"/>
      <c r="Q584" s="82">
        <f t="shared" si="46"/>
        <v>0</v>
      </c>
      <c r="R584" s="324"/>
    </row>
    <row r="585" spans="1:18" ht="17.100000000000001" hidden="1" customHeight="1" x14ac:dyDescent="0.2">
      <c r="A585" s="102"/>
      <c r="B585" s="102"/>
      <c r="C585" s="118"/>
      <c r="D585" s="116" t="s">
        <v>589</v>
      </c>
      <c r="E585" s="82">
        <v>2</v>
      </c>
      <c r="F585" s="162" t="s">
        <v>590</v>
      </c>
      <c r="G585" s="82"/>
      <c r="H585" s="82"/>
      <c r="I585" s="82"/>
      <c r="J585" s="82"/>
      <c r="K585" s="82"/>
      <c r="L585" s="82"/>
      <c r="M585" s="82"/>
      <c r="N585" s="82"/>
      <c r="O585" s="82"/>
      <c r="P585" s="82"/>
      <c r="Q585" s="82">
        <f>SUM(G585:P585)</f>
        <v>0</v>
      </c>
      <c r="R585" s="324"/>
    </row>
    <row r="586" spans="1:18" ht="17.100000000000001" customHeight="1" x14ac:dyDescent="0.2">
      <c r="A586" s="124"/>
      <c r="B586" s="124"/>
      <c r="C586" s="125"/>
      <c r="D586" s="126" t="s">
        <v>591</v>
      </c>
      <c r="E586" s="127"/>
      <c r="F586" s="127"/>
      <c r="G586" s="128">
        <f t="shared" ref="G586:Q586" si="47">SUM(G557:G585)</f>
        <v>0</v>
      </c>
      <c r="H586" s="128">
        <f t="shared" si="47"/>
        <v>0</v>
      </c>
      <c r="I586" s="128">
        <f t="shared" si="47"/>
        <v>23700</v>
      </c>
      <c r="J586" s="128">
        <f t="shared" si="47"/>
        <v>0</v>
      </c>
      <c r="K586" s="128">
        <f t="shared" si="47"/>
        <v>9130</v>
      </c>
      <c r="L586" s="128">
        <f t="shared" si="47"/>
        <v>0</v>
      </c>
      <c r="M586" s="128">
        <f t="shared" si="47"/>
        <v>0</v>
      </c>
      <c r="N586" s="128">
        <f t="shared" si="47"/>
        <v>0</v>
      </c>
      <c r="O586" s="128">
        <f t="shared" si="47"/>
        <v>0</v>
      </c>
      <c r="P586" s="128">
        <f t="shared" si="47"/>
        <v>0</v>
      </c>
      <c r="Q586" s="128">
        <f t="shared" si="47"/>
        <v>32830</v>
      </c>
      <c r="R586" s="325"/>
    </row>
    <row r="587" spans="1:18" ht="17.100000000000001" hidden="1" customHeight="1" x14ac:dyDescent="0.2">
      <c r="A587" s="129"/>
      <c r="B587" s="129"/>
      <c r="C587" s="142"/>
      <c r="D587" s="143" t="s">
        <v>571</v>
      </c>
      <c r="E587" s="131"/>
      <c r="F587" s="131"/>
      <c r="G587" s="132"/>
      <c r="H587" s="132"/>
      <c r="I587" s="132"/>
      <c r="J587" s="132"/>
      <c r="K587" s="132"/>
      <c r="L587" s="132"/>
      <c r="M587" s="132"/>
      <c r="N587" s="132"/>
      <c r="O587" s="132"/>
      <c r="P587" s="132"/>
      <c r="Q587" s="132"/>
      <c r="R587" s="324"/>
    </row>
    <row r="588" spans="1:18" ht="27.75" hidden="1" customHeight="1" x14ac:dyDescent="0.2">
      <c r="A588" s="129"/>
      <c r="B588" s="129"/>
      <c r="C588" s="361"/>
      <c r="D588" s="365" t="s">
        <v>1118</v>
      </c>
      <c r="E588" s="336"/>
      <c r="F588" s="783">
        <v>192909</v>
      </c>
      <c r="G588" s="82"/>
      <c r="H588" s="82"/>
      <c r="I588" s="82"/>
      <c r="J588" s="82"/>
      <c r="K588" s="82"/>
      <c r="L588" s="82"/>
      <c r="M588" s="82"/>
      <c r="N588" s="82"/>
      <c r="O588" s="82"/>
      <c r="P588" s="82"/>
      <c r="Q588" s="82">
        <f>SUM(G588:P588)</f>
        <v>0</v>
      </c>
      <c r="R588" s="782"/>
    </row>
    <row r="589" spans="1:18" ht="17.100000000000001" hidden="1" customHeight="1" x14ac:dyDescent="0.2">
      <c r="A589" s="124"/>
      <c r="B589" s="124"/>
      <c r="C589" s="125"/>
      <c r="D589" s="126" t="s">
        <v>257</v>
      </c>
      <c r="E589" s="127"/>
      <c r="F589" s="127"/>
      <c r="G589" s="128">
        <f>SUM(G586:G588)</f>
        <v>0</v>
      </c>
      <c r="H589" s="128">
        <f t="shared" ref="H589:Q589" si="48">SUM(H586:H588)</f>
        <v>0</v>
      </c>
      <c r="I589" s="128">
        <f t="shared" si="48"/>
        <v>23700</v>
      </c>
      <c r="J589" s="128">
        <f t="shared" si="48"/>
        <v>0</v>
      </c>
      <c r="K589" s="128">
        <f t="shared" si="48"/>
        <v>9130</v>
      </c>
      <c r="L589" s="128">
        <f t="shared" si="48"/>
        <v>0</v>
      </c>
      <c r="M589" s="128">
        <f t="shared" si="48"/>
        <v>0</v>
      </c>
      <c r="N589" s="128">
        <f t="shared" si="48"/>
        <v>0</v>
      </c>
      <c r="O589" s="128">
        <f t="shared" si="48"/>
        <v>0</v>
      </c>
      <c r="P589" s="128">
        <f t="shared" si="48"/>
        <v>0</v>
      </c>
      <c r="Q589" s="128">
        <f t="shared" si="48"/>
        <v>32830</v>
      </c>
      <c r="R589" s="325"/>
    </row>
    <row r="590" spans="1:18" ht="17.100000000000001" customHeight="1" x14ac:dyDescent="0.2">
      <c r="A590" s="163">
        <v>1</v>
      </c>
      <c r="B590" s="163" t="s">
        <v>592</v>
      </c>
      <c r="C590" s="164"/>
      <c r="D590" s="253" t="s">
        <v>593</v>
      </c>
      <c r="E590" s="165"/>
      <c r="F590" s="165"/>
      <c r="G590" s="166"/>
      <c r="H590" s="107"/>
      <c r="I590" s="107"/>
      <c r="J590" s="107"/>
      <c r="K590" s="107"/>
      <c r="L590" s="107"/>
      <c r="M590" s="82"/>
      <c r="N590" s="82"/>
      <c r="O590" s="166"/>
      <c r="P590" s="166"/>
      <c r="Q590" s="166"/>
      <c r="R590" s="324"/>
    </row>
    <row r="591" spans="1:18" ht="17.100000000000001" hidden="1" customHeight="1" x14ac:dyDescent="0.2">
      <c r="A591" s="163"/>
      <c r="B591" s="163"/>
      <c r="C591" s="164"/>
      <c r="D591" s="119" t="s">
        <v>190</v>
      </c>
      <c r="E591" s="134"/>
      <c r="F591" s="134"/>
      <c r="G591" s="166"/>
      <c r="H591" s="107"/>
      <c r="I591" s="107"/>
      <c r="J591" s="107"/>
      <c r="K591" s="107"/>
      <c r="L591" s="107"/>
      <c r="M591" s="82"/>
      <c r="N591" s="82"/>
      <c r="O591" s="166"/>
      <c r="P591" s="166"/>
      <c r="Q591" s="166"/>
      <c r="R591" s="324"/>
    </row>
    <row r="592" spans="1:18" ht="17.100000000000001" customHeight="1" x14ac:dyDescent="0.2">
      <c r="A592" s="163"/>
      <c r="B592" s="163"/>
      <c r="C592" s="164"/>
      <c r="D592" s="120" t="s">
        <v>594</v>
      </c>
      <c r="E592" s="158">
        <v>2</v>
      </c>
      <c r="F592" s="158">
        <v>221901</v>
      </c>
      <c r="G592" s="167"/>
      <c r="H592" s="167"/>
      <c r="I592" s="122">
        <v>-5827</v>
      </c>
      <c r="J592" s="167"/>
      <c r="K592" s="167"/>
      <c r="L592" s="167"/>
      <c r="M592" s="167"/>
      <c r="N592" s="167"/>
      <c r="O592" s="167"/>
      <c r="P592" s="167"/>
      <c r="Q592" s="158">
        <f t="shared" ref="Q592:Q603" si="49">SUM(G592:P592)</f>
        <v>-5827</v>
      </c>
      <c r="R592" s="324" t="s">
        <v>1183</v>
      </c>
    </row>
    <row r="593" spans="1:18" ht="17.100000000000001" hidden="1" customHeight="1" x14ac:dyDescent="0.2">
      <c r="A593" s="163"/>
      <c r="B593" s="163"/>
      <c r="C593" s="164"/>
      <c r="D593" s="115" t="s">
        <v>595</v>
      </c>
      <c r="E593" s="122">
        <v>1</v>
      </c>
      <c r="F593" s="82">
        <v>221912</v>
      </c>
      <c r="G593" s="941"/>
      <c r="H593" s="941"/>
      <c r="I593" s="941"/>
      <c r="J593" s="941"/>
      <c r="K593" s="941"/>
      <c r="L593" s="167"/>
      <c r="M593" s="167"/>
      <c r="N593" s="167"/>
      <c r="O593" s="167"/>
      <c r="P593" s="167"/>
      <c r="Q593" s="158">
        <f t="shared" si="49"/>
        <v>0</v>
      </c>
      <c r="R593" s="324"/>
    </row>
    <row r="594" spans="1:18" ht="17.100000000000001" customHeight="1" x14ac:dyDescent="0.2">
      <c r="A594" s="163"/>
      <c r="B594" s="163"/>
      <c r="C594" s="164"/>
      <c r="D594" s="115" t="s">
        <v>596</v>
      </c>
      <c r="E594" s="122">
        <v>2</v>
      </c>
      <c r="F594" s="82">
        <v>221916</v>
      </c>
      <c r="G594" s="167"/>
      <c r="H594" s="167"/>
      <c r="I594" s="167"/>
      <c r="J594" s="167"/>
      <c r="K594" s="167">
        <v>5600</v>
      </c>
      <c r="L594" s="167"/>
      <c r="M594" s="167"/>
      <c r="N594" s="167"/>
      <c r="O594" s="167"/>
      <c r="P594" s="167"/>
      <c r="Q594" s="158">
        <f t="shared" si="49"/>
        <v>5600</v>
      </c>
      <c r="R594" s="324" t="s">
        <v>1182</v>
      </c>
    </row>
    <row r="595" spans="1:18" ht="17.100000000000001" hidden="1" customHeight="1" x14ac:dyDescent="0.2">
      <c r="A595" s="163"/>
      <c r="B595" s="163"/>
      <c r="C595" s="164"/>
      <c r="D595" s="116" t="s">
        <v>597</v>
      </c>
      <c r="E595" s="122">
        <v>2</v>
      </c>
      <c r="F595" s="82">
        <v>221904</v>
      </c>
      <c r="G595" s="941"/>
      <c r="H595" s="941"/>
      <c r="I595" s="941"/>
      <c r="J595" s="941"/>
      <c r="K595" s="941"/>
      <c r="L595" s="167"/>
      <c r="M595" s="167"/>
      <c r="N595" s="167"/>
      <c r="O595" s="167"/>
      <c r="P595" s="167"/>
      <c r="Q595" s="158">
        <f t="shared" si="49"/>
        <v>0</v>
      </c>
      <c r="R595" s="324"/>
    </row>
    <row r="596" spans="1:18" ht="17.100000000000001" hidden="1" customHeight="1" x14ac:dyDescent="0.2">
      <c r="A596" s="163"/>
      <c r="B596" s="163"/>
      <c r="C596" s="164"/>
      <c r="D596" s="116" t="s">
        <v>598</v>
      </c>
      <c r="E596" s="82">
        <v>2</v>
      </c>
      <c r="F596" s="82">
        <v>221922</v>
      </c>
      <c r="G596" s="941"/>
      <c r="H596" s="941"/>
      <c r="I596" s="941"/>
      <c r="J596" s="941"/>
      <c r="K596" s="941"/>
      <c r="L596" s="167"/>
      <c r="M596" s="167"/>
      <c r="N596" s="167"/>
      <c r="O596" s="167"/>
      <c r="P596" s="167"/>
      <c r="Q596" s="158">
        <f t="shared" si="49"/>
        <v>0</v>
      </c>
      <c r="R596" s="324"/>
    </row>
    <row r="597" spans="1:18" x14ac:dyDescent="0.2">
      <c r="A597" s="163"/>
      <c r="B597" s="163"/>
      <c r="C597" s="164"/>
      <c r="D597" s="116" t="s">
        <v>599</v>
      </c>
      <c r="E597" s="113">
        <v>2</v>
      </c>
      <c r="F597" s="82">
        <v>221939</v>
      </c>
      <c r="G597" s="167"/>
      <c r="H597" s="167">
        <v>-30</v>
      </c>
      <c r="I597" s="167">
        <v>90</v>
      </c>
      <c r="J597" s="167"/>
      <c r="K597" s="167">
        <v>-60</v>
      </c>
      <c r="L597" s="167"/>
      <c r="M597" s="167"/>
      <c r="N597" s="167"/>
      <c r="O597" s="167"/>
      <c r="P597" s="167"/>
      <c r="Q597" s="158">
        <f t="shared" si="49"/>
        <v>0</v>
      </c>
      <c r="R597" s="324" t="s">
        <v>1182</v>
      </c>
    </row>
    <row r="598" spans="1:18" ht="17.100000000000001" hidden="1" customHeight="1" x14ac:dyDescent="0.2">
      <c r="A598" s="163"/>
      <c r="B598" s="163"/>
      <c r="C598" s="164"/>
      <c r="D598" s="116" t="s">
        <v>600</v>
      </c>
      <c r="E598" s="113">
        <v>2</v>
      </c>
      <c r="F598" s="82">
        <v>221927</v>
      </c>
      <c r="G598" s="941"/>
      <c r="H598" s="941"/>
      <c r="I598" s="941"/>
      <c r="J598" s="941"/>
      <c r="K598" s="941"/>
      <c r="L598" s="167"/>
      <c r="M598" s="167"/>
      <c r="N598" s="167"/>
      <c r="O598" s="167"/>
      <c r="P598" s="167"/>
      <c r="Q598" s="158">
        <f t="shared" si="49"/>
        <v>0</v>
      </c>
      <c r="R598" s="324"/>
    </row>
    <row r="599" spans="1:18" ht="24.75" customHeight="1" x14ac:dyDescent="0.2">
      <c r="A599" s="163"/>
      <c r="B599" s="163"/>
      <c r="C599" s="164"/>
      <c r="D599" s="254" t="s">
        <v>601</v>
      </c>
      <c r="E599" s="113">
        <v>2</v>
      </c>
      <c r="F599" s="82">
        <v>221935</v>
      </c>
      <c r="G599" s="941"/>
      <c r="H599" s="167"/>
      <c r="I599" s="167"/>
      <c r="J599" s="167"/>
      <c r="K599" s="167">
        <v>-10000</v>
      </c>
      <c r="L599" s="167"/>
      <c r="M599" s="167"/>
      <c r="N599" s="167"/>
      <c r="O599" s="167"/>
      <c r="P599" s="167"/>
      <c r="Q599" s="158">
        <f t="shared" si="49"/>
        <v>-10000</v>
      </c>
      <c r="R599" s="324" t="s">
        <v>1182</v>
      </c>
    </row>
    <row r="600" spans="1:18" ht="17.100000000000001" customHeight="1" x14ac:dyDescent="0.2">
      <c r="A600" s="163"/>
      <c r="B600" s="163"/>
      <c r="C600" s="164"/>
      <c r="D600" s="116" t="s">
        <v>602</v>
      </c>
      <c r="E600" s="82">
        <v>2</v>
      </c>
      <c r="F600" s="82">
        <v>191110</v>
      </c>
      <c r="G600" s="167">
        <v>1869</v>
      </c>
      <c r="H600" s="167">
        <v>279</v>
      </c>
      <c r="I600" s="167">
        <v>-1221</v>
      </c>
      <c r="J600" s="167"/>
      <c r="K600" s="167">
        <v>1600</v>
      </c>
      <c r="L600" s="167"/>
      <c r="M600" s="167"/>
      <c r="N600" s="167"/>
      <c r="O600" s="167"/>
      <c r="P600" s="167"/>
      <c r="Q600" s="158">
        <f t="shared" si="49"/>
        <v>2527</v>
      </c>
      <c r="R600" s="324" t="s">
        <v>1182</v>
      </c>
    </row>
    <row r="601" spans="1:18" ht="17.100000000000001" hidden="1" customHeight="1" x14ac:dyDescent="0.2">
      <c r="A601" s="163"/>
      <c r="B601" s="163"/>
      <c r="C601" s="164"/>
      <c r="D601" s="116" t="s">
        <v>709</v>
      </c>
      <c r="E601" s="82">
        <v>2</v>
      </c>
      <c r="F601" s="82">
        <v>221967</v>
      </c>
      <c r="G601" s="941"/>
      <c r="H601" s="941"/>
      <c r="I601" s="941"/>
      <c r="J601" s="941"/>
      <c r="K601" s="941"/>
      <c r="L601" s="167"/>
      <c r="M601" s="167"/>
      <c r="N601" s="167"/>
      <c r="O601" s="167"/>
      <c r="P601" s="167"/>
      <c r="Q601" s="158">
        <f t="shared" si="49"/>
        <v>0</v>
      </c>
      <c r="R601" s="324"/>
    </row>
    <row r="602" spans="1:18" ht="17.100000000000001" hidden="1" customHeight="1" x14ac:dyDescent="0.2">
      <c r="A602" s="163"/>
      <c r="B602" s="163"/>
      <c r="C602" s="164"/>
      <c r="D602" s="308" t="s">
        <v>1168</v>
      </c>
      <c r="E602" s="299">
        <v>2</v>
      </c>
      <c r="F602" s="299">
        <v>191139</v>
      </c>
      <c r="G602" s="941"/>
      <c r="H602" s="941"/>
      <c r="I602" s="941"/>
      <c r="J602" s="941"/>
      <c r="K602" s="941"/>
      <c r="L602" s="167"/>
      <c r="M602" s="167"/>
      <c r="N602" s="167"/>
      <c r="O602" s="167"/>
      <c r="P602" s="167"/>
      <c r="Q602" s="158">
        <f t="shared" si="49"/>
        <v>0</v>
      </c>
      <c r="R602" s="324"/>
    </row>
    <row r="603" spans="1:18" ht="27" hidden="1" customHeight="1" x14ac:dyDescent="0.2">
      <c r="A603" s="163"/>
      <c r="B603" s="163"/>
      <c r="C603" s="164"/>
      <c r="D603" s="365" t="s">
        <v>835</v>
      </c>
      <c r="E603" s="359">
        <v>2</v>
      </c>
      <c r="F603" s="359">
        <v>221976</v>
      </c>
      <c r="G603" s="941"/>
      <c r="H603" s="941"/>
      <c r="I603" s="941"/>
      <c r="J603" s="941"/>
      <c r="K603" s="941"/>
      <c r="L603" s="167"/>
      <c r="M603" s="167"/>
      <c r="N603" s="167"/>
      <c r="O603" s="167"/>
      <c r="P603" s="167"/>
      <c r="Q603" s="158">
        <f t="shared" si="49"/>
        <v>0</v>
      </c>
      <c r="R603" s="324"/>
    </row>
    <row r="604" spans="1:18" ht="17.100000000000001" hidden="1" customHeight="1" x14ac:dyDescent="0.2">
      <c r="A604" s="163"/>
      <c r="B604" s="163"/>
      <c r="C604" s="164"/>
      <c r="D604" s="116" t="s">
        <v>603</v>
      </c>
      <c r="E604" s="113"/>
      <c r="F604" s="113"/>
      <c r="G604" s="941"/>
      <c r="H604" s="941"/>
      <c r="I604" s="941"/>
      <c r="J604" s="941"/>
      <c r="K604" s="941"/>
      <c r="L604" s="167"/>
      <c r="M604" s="167"/>
      <c r="N604" s="167"/>
      <c r="O604" s="167"/>
      <c r="P604" s="167"/>
      <c r="Q604" s="158"/>
      <c r="R604" s="324"/>
    </row>
    <row r="605" spans="1:18" ht="17.100000000000001" hidden="1" customHeight="1" x14ac:dyDescent="0.2">
      <c r="A605" s="163"/>
      <c r="B605" s="163"/>
      <c r="C605" s="164"/>
      <c r="D605" s="116" t="s">
        <v>604</v>
      </c>
      <c r="E605" s="82">
        <v>2</v>
      </c>
      <c r="F605" s="82">
        <v>191301</v>
      </c>
      <c r="G605" s="941"/>
      <c r="H605" s="941"/>
      <c r="I605" s="941"/>
      <c r="J605" s="941"/>
      <c r="K605" s="941"/>
      <c r="L605" s="167"/>
      <c r="M605" s="167"/>
      <c r="N605" s="167"/>
      <c r="O605" s="167"/>
      <c r="P605" s="167"/>
      <c r="Q605" s="158">
        <f>SUM(G605:P605)</f>
        <v>0</v>
      </c>
      <c r="R605" s="324"/>
    </row>
    <row r="606" spans="1:18" ht="17.100000000000001" hidden="1" customHeight="1" x14ac:dyDescent="0.2">
      <c r="A606" s="129"/>
      <c r="B606" s="129"/>
      <c r="C606" s="142"/>
      <c r="D606" s="116" t="s">
        <v>605</v>
      </c>
      <c r="E606" s="82">
        <v>2</v>
      </c>
      <c r="F606" s="82">
        <v>191302</v>
      </c>
      <c r="G606" s="942"/>
      <c r="H606" s="942"/>
      <c r="I606" s="942"/>
      <c r="J606" s="942"/>
      <c r="K606" s="942"/>
      <c r="L606" s="122"/>
      <c r="M606" s="122"/>
      <c r="N606" s="122"/>
      <c r="O606" s="122"/>
      <c r="P606" s="122"/>
      <c r="Q606" s="82">
        <f>SUM(G606:P606)</f>
        <v>0</v>
      </c>
      <c r="R606" s="324"/>
    </row>
    <row r="607" spans="1:18" ht="17.100000000000001" hidden="1" customHeight="1" x14ac:dyDescent="0.2">
      <c r="A607" s="163"/>
      <c r="B607" s="163"/>
      <c r="C607" s="164"/>
      <c r="D607" s="727" t="s">
        <v>208</v>
      </c>
      <c r="E607" s="665"/>
      <c r="F607" s="82"/>
      <c r="G607" s="941"/>
      <c r="H607" s="941"/>
      <c r="I607" s="941"/>
      <c r="J607" s="941"/>
      <c r="K607" s="941"/>
      <c r="L607" s="167"/>
      <c r="M607" s="167"/>
      <c r="N607" s="167"/>
      <c r="O607" s="167"/>
      <c r="P607" s="167"/>
      <c r="Q607" s="158"/>
      <c r="R607" s="324"/>
    </row>
    <row r="608" spans="1:18" ht="17.100000000000001" customHeight="1" x14ac:dyDescent="0.2">
      <c r="A608" s="163"/>
      <c r="B608" s="163"/>
      <c r="C608" s="164"/>
      <c r="D608" s="123" t="s">
        <v>606</v>
      </c>
      <c r="E608" s="140">
        <v>2</v>
      </c>
      <c r="F608" s="139">
        <v>221951</v>
      </c>
      <c r="G608" s="167"/>
      <c r="H608" s="167"/>
      <c r="I608" s="167"/>
      <c r="J608" s="167"/>
      <c r="K608" s="167">
        <v>800</v>
      </c>
      <c r="L608" s="167"/>
      <c r="M608" s="167"/>
      <c r="N608" s="167">
        <v>200</v>
      </c>
      <c r="O608" s="167"/>
      <c r="P608" s="167"/>
      <c r="Q608" s="158">
        <f>SUM(G608:P608)</f>
        <v>1000</v>
      </c>
      <c r="R608" s="324" t="s">
        <v>1182</v>
      </c>
    </row>
    <row r="609" spans="1:18" ht="17.100000000000001" customHeight="1" x14ac:dyDescent="0.2">
      <c r="A609" s="436"/>
      <c r="B609" s="163"/>
      <c r="C609" s="168"/>
      <c r="D609" s="256" t="s">
        <v>607</v>
      </c>
      <c r="E609" s="122">
        <v>2</v>
      </c>
      <c r="F609" s="82" t="s">
        <v>608</v>
      </c>
      <c r="G609" s="122">
        <v>566</v>
      </c>
      <c r="H609" s="122">
        <v>27</v>
      </c>
      <c r="I609" s="122">
        <v>-4286</v>
      </c>
      <c r="J609" s="167"/>
      <c r="K609" s="167">
        <v>3875</v>
      </c>
      <c r="L609" s="167"/>
      <c r="M609" s="167"/>
      <c r="N609" s="167"/>
      <c r="O609" s="167"/>
      <c r="P609" s="167"/>
      <c r="Q609" s="158">
        <f>SUM(G609:P609)</f>
        <v>182</v>
      </c>
      <c r="R609" s="324" t="s">
        <v>1183</v>
      </c>
    </row>
    <row r="610" spans="1:18" ht="17.100000000000001" customHeight="1" x14ac:dyDescent="0.2">
      <c r="A610" s="436"/>
      <c r="B610" s="480"/>
      <c r="C610" s="481"/>
      <c r="D610" s="482" t="s">
        <v>837</v>
      </c>
      <c r="E610" s="483">
        <v>2</v>
      </c>
      <c r="F610" s="475">
        <v>221981</v>
      </c>
      <c r="G610" s="483"/>
      <c r="H610" s="483"/>
      <c r="I610" s="483">
        <v>200</v>
      </c>
      <c r="J610" s="484"/>
      <c r="K610" s="484"/>
      <c r="L610" s="484"/>
      <c r="M610" s="484"/>
      <c r="N610" s="484"/>
      <c r="O610" s="484"/>
      <c r="P610" s="484"/>
      <c r="Q610" s="158">
        <f>SUM(G610:P610)</f>
        <v>200</v>
      </c>
      <c r="R610" s="324" t="s">
        <v>1182</v>
      </c>
    </row>
    <row r="611" spans="1:18" ht="17.100000000000001" hidden="1" customHeight="1" x14ac:dyDescent="0.2">
      <c r="A611" s="163"/>
      <c r="B611" s="163"/>
      <c r="C611" s="257"/>
      <c r="D611" s="256" t="s">
        <v>710</v>
      </c>
      <c r="E611" s="122">
        <v>2</v>
      </c>
      <c r="F611" s="82">
        <v>221969</v>
      </c>
      <c r="G611" s="942"/>
      <c r="H611" s="942"/>
      <c r="I611" s="942"/>
      <c r="J611" s="941"/>
      <c r="K611" s="941"/>
      <c r="L611" s="167"/>
      <c r="M611" s="167"/>
      <c r="N611" s="167"/>
      <c r="O611" s="167"/>
      <c r="P611" s="167"/>
      <c r="Q611" s="158">
        <f t="shared" ref="Q611" si="50">SUM(G611:P611)</f>
        <v>0</v>
      </c>
      <c r="R611" s="324"/>
    </row>
    <row r="612" spans="1:18" ht="17.100000000000001" hidden="1" customHeight="1" x14ac:dyDescent="0.2">
      <c r="A612" s="163"/>
      <c r="B612" s="163"/>
      <c r="C612" s="164"/>
      <c r="D612" s="119" t="s">
        <v>190</v>
      </c>
      <c r="E612" s="122"/>
      <c r="F612" s="82"/>
      <c r="G612" s="942"/>
      <c r="H612" s="942"/>
      <c r="I612" s="942"/>
      <c r="J612" s="941"/>
      <c r="K612" s="941"/>
      <c r="L612" s="167"/>
      <c r="M612" s="167"/>
      <c r="N612" s="167"/>
      <c r="O612" s="167"/>
      <c r="P612" s="167"/>
      <c r="Q612" s="158"/>
      <c r="R612" s="324"/>
    </row>
    <row r="613" spans="1:18" ht="17.100000000000001" hidden="1" customHeight="1" x14ac:dyDescent="0.2">
      <c r="A613" s="163"/>
      <c r="B613" s="163"/>
      <c r="C613" s="164"/>
      <c r="D613" s="115" t="s">
        <v>609</v>
      </c>
      <c r="E613" s="122">
        <v>2</v>
      </c>
      <c r="F613" s="82">
        <v>221929</v>
      </c>
      <c r="G613" s="942"/>
      <c r="H613" s="942"/>
      <c r="I613" s="942"/>
      <c r="J613" s="941"/>
      <c r="K613" s="941"/>
      <c r="L613" s="167"/>
      <c r="M613" s="167"/>
      <c r="N613" s="167"/>
      <c r="O613" s="167"/>
      <c r="P613" s="167"/>
      <c r="Q613" s="158">
        <f>SUM(G613:P613)</f>
        <v>0</v>
      </c>
      <c r="R613" s="324"/>
    </row>
    <row r="614" spans="1:18" ht="17.100000000000001" hidden="1" customHeight="1" x14ac:dyDescent="0.2">
      <c r="A614" s="163"/>
      <c r="B614" s="163"/>
      <c r="C614" s="257"/>
      <c r="D614" s="115" t="s">
        <v>610</v>
      </c>
      <c r="E614" s="122">
        <v>2</v>
      </c>
      <c r="F614" s="82">
        <v>191402</v>
      </c>
      <c r="G614" s="942"/>
      <c r="H614" s="942"/>
      <c r="I614" s="942"/>
      <c r="J614" s="941"/>
      <c r="K614" s="941"/>
      <c r="L614" s="167"/>
      <c r="M614" s="167"/>
      <c r="N614" s="167"/>
      <c r="O614" s="167"/>
      <c r="P614" s="167"/>
      <c r="Q614" s="158">
        <f>SUM(G614:P614)</f>
        <v>0</v>
      </c>
      <c r="R614" s="324"/>
    </row>
    <row r="615" spans="1:18" ht="17.100000000000001" hidden="1" customHeight="1" x14ac:dyDescent="0.2">
      <c r="A615" s="163"/>
      <c r="B615" s="163"/>
      <c r="C615" s="257"/>
      <c r="D615" s="115" t="s">
        <v>611</v>
      </c>
      <c r="E615" s="665"/>
      <c r="F615" s="82"/>
      <c r="G615" s="942"/>
      <c r="H615" s="942"/>
      <c r="I615" s="942"/>
      <c r="J615" s="941"/>
      <c r="K615" s="941"/>
      <c r="L615" s="167"/>
      <c r="M615" s="167"/>
      <c r="N615" s="167"/>
      <c r="O615" s="167"/>
      <c r="P615" s="167"/>
      <c r="Q615" s="158"/>
      <c r="R615" s="324"/>
    </row>
    <row r="616" spans="1:18" ht="17.100000000000001" customHeight="1" x14ac:dyDescent="0.2">
      <c r="A616" s="163"/>
      <c r="B616" s="163"/>
      <c r="C616" s="257"/>
      <c r="D616" s="115" t="s">
        <v>612</v>
      </c>
      <c r="E616" s="122">
        <v>1</v>
      </c>
      <c r="F616" s="82">
        <v>221909</v>
      </c>
      <c r="G616" s="122"/>
      <c r="H616" s="122"/>
      <c r="I616" s="122"/>
      <c r="J616" s="167"/>
      <c r="K616" s="167">
        <v>-5600</v>
      </c>
      <c r="L616" s="167"/>
      <c r="M616" s="167"/>
      <c r="N616" s="167"/>
      <c r="O616" s="167"/>
      <c r="P616" s="167"/>
      <c r="Q616" s="158">
        <f>SUM(G616:P616)</f>
        <v>-5600</v>
      </c>
      <c r="R616" s="324" t="s">
        <v>1182</v>
      </c>
    </row>
    <row r="617" spans="1:18" ht="17.100000000000001" hidden="1" customHeight="1" x14ac:dyDescent="0.2">
      <c r="A617" s="163"/>
      <c r="B617" s="163"/>
      <c r="C617" s="164"/>
      <c r="D617" s="115" t="s">
        <v>613</v>
      </c>
      <c r="E617" s="122">
        <v>1</v>
      </c>
      <c r="F617" s="82">
        <v>221913</v>
      </c>
      <c r="G617" s="942"/>
      <c r="H617" s="942"/>
      <c r="I617" s="942"/>
      <c r="J617" s="941"/>
      <c r="K617" s="941"/>
      <c r="L617" s="167"/>
      <c r="M617" s="167"/>
      <c r="N617" s="167"/>
      <c r="O617" s="167"/>
      <c r="P617" s="167"/>
      <c r="Q617" s="158">
        <f>SUM(G617:P617)</f>
        <v>0</v>
      </c>
      <c r="R617" s="324"/>
    </row>
    <row r="618" spans="1:18" ht="17.100000000000001" hidden="1" customHeight="1" x14ac:dyDescent="0.2">
      <c r="A618" s="163"/>
      <c r="B618" s="163"/>
      <c r="C618" s="164"/>
      <c r="D618" s="115" t="s">
        <v>656</v>
      </c>
      <c r="E618" s="122">
        <v>1</v>
      </c>
      <c r="F618" s="82">
        <v>221962</v>
      </c>
      <c r="G618" s="942"/>
      <c r="H618" s="942"/>
      <c r="I618" s="942"/>
      <c r="J618" s="941"/>
      <c r="K618" s="941"/>
      <c r="L618" s="167"/>
      <c r="M618" s="167"/>
      <c r="N618" s="167"/>
      <c r="O618" s="167"/>
      <c r="P618" s="167"/>
      <c r="Q618" s="158">
        <f>SUM(G618:P618)</f>
        <v>0</v>
      </c>
      <c r="R618" s="324"/>
    </row>
    <row r="619" spans="1:18" ht="17.100000000000001" hidden="1" customHeight="1" x14ac:dyDescent="0.2">
      <c r="A619" s="163"/>
      <c r="B619" s="163"/>
      <c r="C619" s="164"/>
      <c r="D619" s="116" t="s">
        <v>614</v>
      </c>
      <c r="E619" s="113"/>
      <c r="F619" s="113"/>
      <c r="G619" s="942"/>
      <c r="H619" s="942"/>
      <c r="I619" s="942"/>
      <c r="J619" s="941"/>
      <c r="K619" s="941"/>
      <c r="L619" s="167"/>
      <c r="M619" s="167"/>
      <c r="N619" s="167"/>
      <c r="O619" s="167"/>
      <c r="P619" s="167"/>
      <c r="Q619" s="82"/>
      <c r="R619" s="324"/>
    </row>
    <row r="620" spans="1:18" ht="14.25" customHeight="1" x14ac:dyDescent="0.2">
      <c r="A620" s="163"/>
      <c r="B620" s="163"/>
      <c r="C620" s="164"/>
      <c r="D620" s="351" t="s">
        <v>961</v>
      </c>
      <c r="E620" s="82">
        <v>2</v>
      </c>
      <c r="F620" s="82">
        <v>191151</v>
      </c>
      <c r="G620" s="122"/>
      <c r="H620" s="122"/>
      <c r="I620" s="122"/>
      <c r="J620" s="167"/>
      <c r="K620" s="167">
        <v>18500</v>
      </c>
      <c r="L620" s="167"/>
      <c r="M620" s="167"/>
      <c r="N620" s="167"/>
      <c r="O620" s="167"/>
      <c r="P620" s="167"/>
      <c r="Q620" s="82">
        <f>SUM(G620:P620)</f>
        <v>18500</v>
      </c>
      <c r="R620" s="324" t="s">
        <v>1182</v>
      </c>
    </row>
    <row r="621" spans="1:18" ht="15.95" hidden="1" customHeight="1" x14ac:dyDescent="0.2">
      <c r="A621" s="163"/>
      <c r="B621" s="163"/>
      <c r="C621" s="164"/>
      <c r="D621" s="403" t="s">
        <v>190</v>
      </c>
      <c r="E621" s="665"/>
      <c r="F621" s="130"/>
      <c r="G621" s="942"/>
      <c r="H621" s="942"/>
      <c r="I621" s="942"/>
      <c r="J621" s="941"/>
      <c r="K621" s="941"/>
      <c r="L621" s="167"/>
      <c r="M621" s="167"/>
      <c r="N621" s="167"/>
      <c r="O621" s="167"/>
      <c r="P621" s="167"/>
      <c r="Q621" s="158"/>
      <c r="R621" s="324"/>
    </row>
    <row r="622" spans="1:18" ht="18.75" hidden="1" customHeight="1" x14ac:dyDescent="0.2">
      <c r="A622" s="163"/>
      <c r="B622" s="163"/>
      <c r="C622" s="164"/>
      <c r="D622" s="123" t="s">
        <v>635</v>
      </c>
      <c r="E622" s="122">
        <v>2</v>
      </c>
      <c r="F622" s="130">
        <v>221961</v>
      </c>
      <c r="G622" s="942"/>
      <c r="H622" s="942"/>
      <c r="I622" s="942"/>
      <c r="J622" s="941"/>
      <c r="K622" s="941"/>
      <c r="L622" s="167"/>
      <c r="M622" s="167"/>
      <c r="N622" s="167"/>
      <c r="O622" s="167"/>
      <c r="P622" s="167"/>
      <c r="Q622" s="158">
        <f t="shared" ref="Q622:Q625" si="51">SUM(G622:P622)</f>
        <v>0</v>
      </c>
      <c r="R622" s="324"/>
    </row>
    <row r="623" spans="1:18" ht="16.5" hidden="1" customHeight="1" x14ac:dyDescent="0.2">
      <c r="A623" s="163"/>
      <c r="B623" s="163"/>
      <c r="C623" s="164"/>
      <c r="D623" s="359" t="s">
        <v>759</v>
      </c>
      <c r="E623" s="355">
        <v>2</v>
      </c>
      <c r="F623" s="359">
        <v>121518</v>
      </c>
      <c r="G623" s="942"/>
      <c r="H623" s="942"/>
      <c r="I623" s="942"/>
      <c r="J623" s="941"/>
      <c r="K623" s="941"/>
      <c r="L623" s="167"/>
      <c r="M623" s="167"/>
      <c r="N623" s="167"/>
      <c r="O623" s="167"/>
      <c r="P623" s="167"/>
      <c r="Q623" s="158">
        <f t="shared" si="51"/>
        <v>0</v>
      </c>
      <c r="R623" s="324"/>
    </row>
    <row r="624" spans="1:18" ht="16.5" customHeight="1" x14ac:dyDescent="0.2">
      <c r="A624" s="469"/>
      <c r="B624" s="469"/>
      <c r="C624" s="470"/>
      <c r="D624" s="359" t="s">
        <v>962</v>
      </c>
      <c r="E624" s="355">
        <v>2</v>
      </c>
      <c r="F624" s="598">
        <v>221982</v>
      </c>
      <c r="G624" s="405"/>
      <c r="H624" s="405">
        <v>48</v>
      </c>
      <c r="I624" s="405">
        <v>-48</v>
      </c>
      <c r="J624" s="471"/>
      <c r="K624" s="471"/>
      <c r="L624" s="471"/>
      <c r="M624" s="471"/>
      <c r="N624" s="471"/>
      <c r="O624" s="471"/>
      <c r="P624" s="471"/>
      <c r="Q624" s="158">
        <f t="shared" si="51"/>
        <v>0</v>
      </c>
      <c r="R624" s="358" t="s">
        <v>1182</v>
      </c>
    </row>
    <row r="625" spans="1:18" ht="16.5" hidden="1" customHeight="1" x14ac:dyDescent="0.2">
      <c r="A625" s="469"/>
      <c r="B625" s="469"/>
      <c r="C625" s="470"/>
      <c r="D625" s="359" t="s">
        <v>836</v>
      </c>
      <c r="E625" s="355">
        <v>2</v>
      </c>
      <c r="F625" s="401">
        <v>221977</v>
      </c>
      <c r="G625" s="471"/>
      <c r="H625" s="471"/>
      <c r="I625" s="471"/>
      <c r="J625" s="471"/>
      <c r="K625" s="471"/>
      <c r="L625" s="471"/>
      <c r="M625" s="471"/>
      <c r="N625" s="471"/>
      <c r="O625" s="471"/>
      <c r="P625" s="471"/>
      <c r="Q625" s="158">
        <f t="shared" si="51"/>
        <v>0</v>
      </c>
      <c r="R625" s="358"/>
    </row>
    <row r="626" spans="1:18" ht="14.1" customHeight="1" x14ac:dyDescent="0.2">
      <c r="A626" s="124"/>
      <c r="B626" s="124"/>
      <c r="C626" s="272"/>
      <c r="D626" s="273" t="s">
        <v>615</v>
      </c>
      <c r="E626" s="274"/>
      <c r="F626" s="275"/>
      <c r="G626" s="169">
        <f t="shared" ref="G626:Q626" si="52">SUM(G592:G625)</f>
        <v>2435</v>
      </c>
      <c r="H626" s="169">
        <f t="shared" si="52"/>
        <v>324</v>
      </c>
      <c r="I626" s="169">
        <f t="shared" si="52"/>
        <v>-11092</v>
      </c>
      <c r="J626" s="169">
        <f t="shared" si="52"/>
        <v>0</v>
      </c>
      <c r="K626" s="169">
        <f t="shared" si="52"/>
        <v>14715</v>
      </c>
      <c r="L626" s="169">
        <f t="shared" si="52"/>
        <v>0</v>
      </c>
      <c r="M626" s="169">
        <f t="shared" si="52"/>
        <v>0</v>
      </c>
      <c r="N626" s="169">
        <f t="shared" si="52"/>
        <v>200</v>
      </c>
      <c r="O626" s="169">
        <f t="shared" si="52"/>
        <v>0</v>
      </c>
      <c r="P626" s="169">
        <f t="shared" si="52"/>
        <v>0</v>
      </c>
      <c r="Q626" s="169">
        <f t="shared" si="52"/>
        <v>6582</v>
      </c>
      <c r="R626" s="325"/>
    </row>
    <row r="627" spans="1:18" ht="14.1" customHeight="1" x14ac:dyDescent="0.2">
      <c r="A627" s="129"/>
      <c r="B627" s="129"/>
      <c r="C627" s="129"/>
      <c r="D627" s="276" t="s">
        <v>616</v>
      </c>
      <c r="E627" s="277"/>
      <c r="F627" s="278"/>
      <c r="G627" s="145"/>
      <c r="H627" s="145"/>
      <c r="I627" s="145"/>
      <c r="J627" s="145"/>
      <c r="K627" s="145"/>
      <c r="L627" s="145"/>
      <c r="M627" s="145"/>
      <c r="N627" s="145"/>
      <c r="O627" s="145"/>
      <c r="P627" s="145"/>
      <c r="Q627" s="145"/>
      <c r="R627" s="324"/>
    </row>
    <row r="628" spans="1:18" ht="14.1" hidden="1" customHeight="1" x14ac:dyDescent="0.2">
      <c r="A628" s="360"/>
      <c r="B628" s="360"/>
      <c r="C628" s="363" t="s">
        <v>86</v>
      </c>
      <c r="D628" s="450" t="s">
        <v>963</v>
      </c>
      <c r="E628" s="638"/>
      <c r="F628" s="598">
        <v>222937</v>
      </c>
      <c r="G628" s="405"/>
      <c r="H628" s="405"/>
      <c r="I628" s="405"/>
      <c r="J628" s="405"/>
      <c r="K628" s="405"/>
      <c r="L628" s="405"/>
      <c r="M628" s="405"/>
      <c r="N628" s="405"/>
      <c r="O628" s="405"/>
      <c r="P628" s="405"/>
      <c r="Q628" s="405">
        <f>SUM(G628:P628)</f>
        <v>0</v>
      </c>
      <c r="R628" s="358"/>
    </row>
    <row r="629" spans="1:18" ht="27" customHeight="1" x14ac:dyDescent="0.2">
      <c r="A629" s="660"/>
      <c r="B629" s="660"/>
      <c r="C629" s="661" t="s">
        <v>85</v>
      </c>
      <c r="D629" s="730" t="s">
        <v>1040</v>
      </c>
      <c r="E629" s="723"/>
      <c r="F629" s="684">
        <v>222939</v>
      </c>
      <c r="G629" s="724"/>
      <c r="H629" s="724"/>
      <c r="I629" s="724"/>
      <c r="J629" s="724"/>
      <c r="K629" s="724"/>
      <c r="L629" s="724"/>
      <c r="M629" s="724"/>
      <c r="N629" s="724">
        <v>-2200</v>
      </c>
      <c r="O629" s="724"/>
      <c r="P629" s="724"/>
      <c r="Q629" s="405">
        <f>SUM(G629:P629)</f>
        <v>-2200</v>
      </c>
      <c r="R629" s="666" t="s">
        <v>1182</v>
      </c>
    </row>
    <row r="630" spans="1:18" ht="15.75" customHeight="1" x14ac:dyDescent="0.2">
      <c r="A630" s="660"/>
      <c r="B630" s="660"/>
      <c r="C630" s="661" t="s">
        <v>87</v>
      </c>
      <c r="D630" s="730" t="s">
        <v>1106</v>
      </c>
      <c r="E630" s="723"/>
      <c r="F630" s="684">
        <v>222938</v>
      </c>
      <c r="G630" s="724"/>
      <c r="H630" s="724"/>
      <c r="I630" s="724"/>
      <c r="J630" s="724"/>
      <c r="K630" s="724"/>
      <c r="L630" s="724">
        <v>2000</v>
      </c>
      <c r="M630" s="724"/>
      <c r="N630" s="724"/>
      <c r="O630" s="724"/>
      <c r="P630" s="724"/>
      <c r="Q630" s="405">
        <f>SUM(G630:P630)</f>
        <v>2000</v>
      </c>
      <c r="R630" s="666" t="s">
        <v>1182</v>
      </c>
    </row>
    <row r="631" spans="1:18" ht="15.75" customHeight="1" x14ac:dyDescent="0.2">
      <c r="A631" s="814"/>
      <c r="B631" s="814"/>
      <c r="C631" s="809" t="s">
        <v>88</v>
      </c>
      <c r="D631" s="861" t="s">
        <v>1193</v>
      </c>
      <c r="E631" s="862"/>
      <c r="F631" s="810">
        <v>221983</v>
      </c>
      <c r="G631" s="863"/>
      <c r="H631" s="863"/>
      <c r="I631" s="863"/>
      <c r="J631" s="863"/>
      <c r="K631" s="863"/>
      <c r="L631" s="863"/>
      <c r="M631" s="863"/>
      <c r="N631" s="863">
        <v>500</v>
      </c>
      <c r="O631" s="863"/>
      <c r="P631" s="863"/>
      <c r="Q631" s="405">
        <f>SUM(G631:P631)</f>
        <v>500</v>
      </c>
      <c r="R631" s="812" t="s">
        <v>1181</v>
      </c>
    </row>
    <row r="632" spans="1:18" ht="14.1" hidden="1" customHeight="1" x14ac:dyDescent="0.2">
      <c r="A632" s="360"/>
      <c r="B632" s="360"/>
      <c r="C632" s="361"/>
      <c r="D632" s="351" t="s">
        <v>868</v>
      </c>
      <c r="E632" s="638"/>
      <c r="F632" s="601"/>
      <c r="G632" s="405"/>
      <c r="H632" s="405"/>
      <c r="I632" s="405"/>
      <c r="J632" s="405"/>
      <c r="K632" s="405"/>
      <c r="L632" s="405"/>
      <c r="M632" s="405"/>
      <c r="N632" s="405"/>
      <c r="O632" s="405"/>
      <c r="P632" s="405"/>
      <c r="Q632" s="405">
        <f t="shared" ref="Q632:Q633" si="53">SUM(G632:P632)</f>
        <v>0</v>
      </c>
      <c r="R632" s="358"/>
    </row>
    <row r="633" spans="1:18" ht="14.1" hidden="1" customHeight="1" x14ac:dyDescent="0.2">
      <c r="A633" s="360"/>
      <c r="B633" s="360"/>
      <c r="C633" s="363" t="s">
        <v>294</v>
      </c>
      <c r="D633" s="375" t="s">
        <v>964</v>
      </c>
      <c r="E633" s="638"/>
      <c r="F633" s="598">
        <v>222935</v>
      </c>
      <c r="G633" s="405"/>
      <c r="H633" s="405"/>
      <c r="I633" s="405"/>
      <c r="J633" s="405"/>
      <c r="K633" s="405"/>
      <c r="L633" s="405"/>
      <c r="M633" s="405"/>
      <c r="N633" s="405"/>
      <c r="O633" s="405"/>
      <c r="P633" s="405"/>
      <c r="Q633" s="405">
        <f t="shared" si="53"/>
        <v>0</v>
      </c>
      <c r="R633" s="358"/>
    </row>
    <row r="634" spans="1:18" ht="18" customHeight="1" x14ac:dyDescent="0.2">
      <c r="A634" s="124"/>
      <c r="B634" s="124"/>
      <c r="C634" s="272"/>
      <c r="D634" s="282" t="s">
        <v>617</v>
      </c>
      <c r="E634" s="274"/>
      <c r="F634" s="275"/>
      <c r="G634" s="169">
        <f>SUM(G626:G633)</f>
        <v>2435</v>
      </c>
      <c r="H634" s="169">
        <f t="shared" ref="H634:Q634" si="54">SUM(H626:H633)</f>
        <v>324</v>
      </c>
      <c r="I634" s="169">
        <f t="shared" si="54"/>
        <v>-11092</v>
      </c>
      <c r="J634" s="169">
        <f t="shared" si="54"/>
        <v>0</v>
      </c>
      <c r="K634" s="169">
        <f t="shared" si="54"/>
        <v>14715</v>
      </c>
      <c r="L634" s="169">
        <f t="shared" si="54"/>
        <v>2000</v>
      </c>
      <c r="M634" s="169">
        <f t="shared" si="54"/>
        <v>0</v>
      </c>
      <c r="N634" s="169">
        <f t="shared" si="54"/>
        <v>-1500</v>
      </c>
      <c r="O634" s="169">
        <f t="shared" si="54"/>
        <v>0</v>
      </c>
      <c r="P634" s="169">
        <f t="shared" si="54"/>
        <v>0</v>
      </c>
      <c r="Q634" s="169">
        <f t="shared" si="54"/>
        <v>6882</v>
      </c>
      <c r="R634" s="325"/>
    </row>
    <row r="635" spans="1:18" ht="18" customHeight="1" x14ac:dyDescent="0.2">
      <c r="A635" s="129">
        <v>1</v>
      </c>
      <c r="B635" s="129">
        <v>30</v>
      </c>
      <c r="C635" s="283"/>
      <c r="D635" s="281" t="s">
        <v>618</v>
      </c>
      <c r="E635" s="280"/>
      <c r="F635" s="280"/>
      <c r="G635" s="82"/>
      <c r="H635" s="107"/>
      <c r="I635" s="107"/>
      <c r="J635" s="107"/>
      <c r="K635" s="107"/>
      <c r="L635" s="107"/>
      <c r="M635" s="82"/>
      <c r="N635" s="82"/>
      <c r="O635" s="82"/>
      <c r="P635" s="82"/>
      <c r="Q635" s="82"/>
      <c r="R635" s="324"/>
    </row>
    <row r="636" spans="1:18" ht="15.6" hidden="1" customHeight="1" x14ac:dyDescent="0.2">
      <c r="A636" s="129"/>
      <c r="B636" s="129">
        <v>31</v>
      </c>
      <c r="C636" s="283"/>
      <c r="D636" s="284" t="s">
        <v>619</v>
      </c>
      <c r="E636" s="82">
        <v>1</v>
      </c>
      <c r="F636" s="280">
        <v>311901</v>
      </c>
      <c r="G636" s="122"/>
      <c r="H636" s="122"/>
      <c r="I636" s="122"/>
      <c r="J636" s="122"/>
      <c r="K636" s="122"/>
      <c r="L636" s="122"/>
      <c r="M636" s="122"/>
      <c r="N636" s="122"/>
      <c r="O636" s="122"/>
      <c r="P636" s="122"/>
      <c r="Q636" s="82">
        <f>SUM(K636:P636)</f>
        <v>0</v>
      </c>
      <c r="R636" s="324"/>
    </row>
    <row r="637" spans="1:18" ht="15" customHeight="1" x14ac:dyDescent="0.2">
      <c r="A637" s="102"/>
      <c r="B637" s="102">
        <v>32</v>
      </c>
      <c r="C637" s="279"/>
      <c r="D637" s="1021" t="s">
        <v>620</v>
      </c>
      <c r="E637" s="1022"/>
      <c r="F637" s="280"/>
      <c r="G637" s="122"/>
      <c r="H637" s="107"/>
      <c r="I637" s="107"/>
      <c r="J637" s="107"/>
      <c r="K637" s="107"/>
      <c r="L637" s="107"/>
      <c r="M637" s="122"/>
      <c r="N637" s="122"/>
      <c r="O637" s="82"/>
      <c r="P637" s="82"/>
      <c r="Q637" s="82"/>
      <c r="R637" s="324"/>
    </row>
    <row r="638" spans="1:18" ht="18" hidden="1" customHeight="1" x14ac:dyDescent="0.2">
      <c r="A638" s="102"/>
      <c r="B638" s="102"/>
      <c r="C638" s="279"/>
      <c r="D638" s="351" t="s">
        <v>965</v>
      </c>
      <c r="E638" s="82">
        <v>1</v>
      </c>
      <c r="F638" s="82">
        <v>321907</v>
      </c>
      <c r="G638" s="122"/>
      <c r="H638" s="122"/>
      <c r="I638" s="122"/>
      <c r="J638" s="122"/>
      <c r="K638" s="122"/>
      <c r="L638" s="122"/>
      <c r="M638" s="122"/>
      <c r="N638" s="122"/>
      <c r="O638" s="122"/>
      <c r="P638" s="122"/>
      <c r="Q638" s="82">
        <f t="shared" ref="Q638:Q645" si="55">SUM(K638:P638)</f>
        <v>0</v>
      </c>
      <c r="R638" s="324"/>
    </row>
    <row r="639" spans="1:18" ht="17.25" customHeight="1" x14ac:dyDescent="0.2">
      <c r="A639" s="258"/>
      <c r="B639" s="258"/>
      <c r="C639" s="258"/>
      <c r="D639" s="309" t="s">
        <v>621</v>
      </c>
      <c r="E639" s="170">
        <v>1</v>
      </c>
      <c r="F639" s="171">
        <v>321903</v>
      </c>
      <c r="G639" s="122"/>
      <c r="H639" s="122"/>
      <c r="I639" s="122"/>
      <c r="J639" s="122"/>
      <c r="K639" s="122">
        <v>35943</v>
      </c>
      <c r="L639" s="122"/>
      <c r="M639" s="122"/>
      <c r="N639" s="122"/>
      <c r="O639" s="122"/>
      <c r="P639" s="122"/>
      <c r="Q639" s="82">
        <f t="shared" si="55"/>
        <v>35943</v>
      </c>
      <c r="R639" s="324" t="s">
        <v>1181</v>
      </c>
    </row>
    <row r="640" spans="1:18" ht="18" hidden="1" customHeight="1" x14ac:dyDescent="0.2">
      <c r="A640" s="102"/>
      <c r="B640" s="102"/>
      <c r="C640" s="279"/>
      <c r="D640" s="281" t="s">
        <v>622</v>
      </c>
      <c r="E640" s="113">
        <v>1</v>
      </c>
      <c r="F640" s="82">
        <v>321908</v>
      </c>
      <c r="G640" s="122"/>
      <c r="H640" s="122"/>
      <c r="I640" s="122"/>
      <c r="J640" s="122"/>
      <c r="K640" s="122"/>
      <c r="L640" s="122"/>
      <c r="M640" s="122"/>
      <c r="N640" s="122"/>
      <c r="O640" s="122"/>
      <c r="P640" s="122"/>
      <c r="Q640" s="82">
        <f t="shared" si="55"/>
        <v>0</v>
      </c>
      <c r="R640" s="324"/>
    </row>
    <row r="641" spans="1:18" ht="16.899999999999999" customHeight="1" x14ac:dyDescent="0.2">
      <c r="A641" s="102"/>
      <c r="B641" s="102"/>
      <c r="C641" s="279"/>
      <c r="D641" s="254" t="s">
        <v>623</v>
      </c>
      <c r="E641" s="138">
        <v>1</v>
      </c>
      <c r="F641" s="139">
        <v>321933</v>
      </c>
      <c r="G641" s="122"/>
      <c r="H641" s="122"/>
      <c r="I641" s="122"/>
      <c r="J641" s="122"/>
      <c r="K641" s="122">
        <v>-12685</v>
      </c>
      <c r="L641" s="122"/>
      <c r="M641" s="122"/>
      <c r="N641" s="122"/>
      <c r="O641" s="122"/>
      <c r="P641" s="122"/>
      <c r="Q641" s="82">
        <f t="shared" si="55"/>
        <v>-12685</v>
      </c>
      <c r="R641" s="324" t="s">
        <v>1181</v>
      </c>
    </row>
    <row r="642" spans="1:18" ht="16.899999999999999" customHeight="1" x14ac:dyDescent="0.2">
      <c r="A642" s="341"/>
      <c r="B642" s="341"/>
      <c r="C642" s="363"/>
      <c r="D642" s="404" t="s">
        <v>760</v>
      </c>
      <c r="E642" s="406">
        <v>1</v>
      </c>
      <c r="F642" s="407">
        <v>321924</v>
      </c>
      <c r="G642" s="405"/>
      <c r="H642" s="405"/>
      <c r="I642" s="405"/>
      <c r="J642" s="405"/>
      <c r="K642" s="405">
        <v>-50000</v>
      </c>
      <c r="L642" s="405"/>
      <c r="M642" s="405"/>
      <c r="N642" s="405"/>
      <c r="O642" s="405"/>
      <c r="P642" s="405"/>
      <c r="Q642" s="82">
        <f t="shared" si="55"/>
        <v>-50000</v>
      </c>
      <c r="R642" s="324" t="s">
        <v>1181</v>
      </c>
    </row>
    <row r="643" spans="1:18" ht="15.6" customHeight="1" x14ac:dyDescent="0.2">
      <c r="A643" s="102"/>
      <c r="B643" s="102"/>
      <c r="C643" s="118"/>
      <c r="D643" s="259" t="s">
        <v>624</v>
      </c>
      <c r="E643" s="138">
        <v>1</v>
      </c>
      <c r="F643" s="139">
        <v>321934</v>
      </c>
      <c r="G643" s="122"/>
      <c r="H643" s="122"/>
      <c r="I643" s="122"/>
      <c r="J643" s="122"/>
      <c r="K643" s="122">
        <v>-1126</v>
      </c>
      <c r="L643" s="122"/>
      <c r="M643" s="122"/>
      <c r="N643" s="122"/>
      <c r="O643" s="122"/>
      <c r="P643" s="122"/>
      <c r="Q643" s="82">
        <f t="shared" si="55"/>
        <v>-1126</v>
      </c>
      <c r="R643" s="324" t="s">
        <v>1181</v>
      </c>
    </row>
    <row r="644" spans="1:18" ht="18" customHeight="1" x14ac:dyDescent="0.2">
      <c r="A644" s="102"/>
      <c r="B644" s="102"/>
      <c r="C644" s="118"/>
      <c r="D644" s="135" t="s">
        <v>625</v>
      </c>
      <c r="E644" s="138">
        <v>1</v>
      </c>
      <c r="F644" s="139">
        <v>321911</v>
      </c>
      <c r="G644" s="122"/>
      <c r="H644" s="122"/>
      <c r="I644" s="122"/>
      <c r="J644" s="122"/>
      <c r="K644" s="122">
        <v>-491</v>
      </c>
      <c r="L644" s="122"/>
      <c r="M644" s="122"/>
      <c r="N644" s="122"/>
      <c r="O644" s="122"/>
      <c r="P644" s="122"/>
      <c r="Q644" s="82">
        <f t="shared" si="55"/>
        <v>-491</v>
      </c>
      <c r="R644" s="324" t="s">
        <v>1181</v>
      </c>
    </row>
    <row r="645" spans="1:18" ht="26.45" customHeight="1" x14ac:dyDescent="0.2">
      <c r="A645" s="679"/>
      <c r="B645" s="679"/>
      <c r="C645" s="661"/>
      <c r="D645" s="725" t="s">
        <v>1041</v>
      </c>
      <c r="E645" s="707">
        <v>1</v>
      </c>
      <c r="F645" s="678">
        <v>321928</v>
      </c>
      <c r="G645" s="724"/>
      <c r="H645" s="724"/>
      <c r="I645" s="724"/>
      <c r="J645" s="724"/>
      <c r="K645" s="724">
        <v>-26500</v>
      </c>
      <c r="L645" s="724"/>
      <c r="M645" s="724"/>
      <c r="N645" s="724"/>
      <c r="O645" s="724"/>
      <c r="P645" s="724"/>
      <c r="Q645" s="82">
        <f t="shared" si="55"/>
        <v>-26500</v>
      </c>
      <c r="R645" s="666" t="s">
        <v>1181</v>
      </c>
    </row>
    <row r="646" spans="1:18" ht="16.899999999999999" customHeight="1" x14ac:dyDescent="0.2">
      <c r="A646" s="102"/>
      <c r="B646" s="102"/>
      <c r="C646" s="118"/>
      <c r="D646" s="143" t="s">
        <v>626</v>
      </c>
      <c r="E646" s="684"/>
      <c r="F646" s="82"/>
      <c r="G646" s="122"/>
      <c r="H646" s="107"/>
      <c r="I646" s="107"/>
      <c r="J646" s="107"/>
      <c r="K646" s="107"/>
      <c r="L646" s="107"/>
      <c r="M646" s="82"/>
      <c r="N646" s="82"/>
      <c r="O646" s="82"/>
      <c r="P646" s="82"/>
      <c r="Q646" s="82"/>
      <c r="R646" s="324"/>
    </row>
    <row r="647" spans="1:18" ht="18" customHeight="1" x14ac:dyDescent="0.2">
      <c r="A647" s="102"/>
      <c r="B647" s="102"/>
      <c r="C647" s="118" t="s">
        <v>86</v>
      </c>
      <c r="D647" s="260" t="s">
        <v>627</v>
      </c>
      <c r="E647" s="82">
        <v>1</v>
      </c>
      <c r="F647" s="82">
        <v>324902</v>
      </c>
      <c r="G647" s="122"/>
      <c r="H647" s="122"/>
      <c r="I647" s="122"/>
      <c r="J647" s="122"/>
      <c r="K647" s="122"/>
      <c r="L647" s="122"/>
      <c r="M647" s="122">
        <v>-1203</v>
      </c>
      <c r="N647" s="122"/>
      <c r="O647" s="122"/>
      <c r="P647" s="122"/>
      <c r="Q647" s="82">
        <f>SUM(K647:P647)</f>
        <v>-1203</v>
      </c>
      <c r="R647" s="324" t="s">
        <v>1182</v>
      </c>
    </row>
    <row r="648" spans="1:18" ht="18" customHeight="1" x14ac:dyDescent="0.2">
      <c r="A648" s="285"/>
      <c r="B648" s="285"/>
      <c r="C648" s="286" t="s">
        <v>85</v>
      </c>
      <c r="D648" s="261" t="s">
        <v>657</v>
      </c>
      <c r="E648" s="130">
        <v>1</v>
      </c>
      <c r="F648" s="130">
        <v>322906</v>
      </c>
      <c r="G648" s="288"/>
      <c r="H648" s="288"/>
      <c r="I648" s="288"/>
      <c r="J648" s="288"/>
      <c r="K648" s="288"/>
      <c r="L648" s="288">
        <v>-5000</v>
      </c>
      <c r="M648" s="288"/>
      <c r="N648" s="288"/>
      <c r="O648" s="288"/>
      <c r="P648" s="288"/>
      <c r="Q648" s="82">
        <f t="shared" ref="Q648:Q649" si="56">SUM(K648:P648)</f>
        <v>-5000</v>
      </c>
      <c r="R648" s="324" t="s">
        <v>1182</v>
      </c>
    </row>
    <row r="649" spans="1:18" hidden="1" x14ac:dyDescent="0.2">
      <c r="A649" s="408"/>
      <c r="B649" s="408"/>
      <c r="C649" s="409" t="s">
        <v>87</v>
      </c>
      <c r="D649" s="411" t="s">
        <v>761</v>
      </c>
      <c r="E649" s="401">
        <v>1</v>
      </c>
      <c r="F649" s="401">
        <v>322909</v>
      </c>
      <c r="G649" s="410"/>
      <c r="H649" s="410"/>
      <c r="I649" s="410"/>
      <c r="J649" s="410"/>
      <c r="K649" s="410"/>
      <c r="L649" s="410"/>
      <c r="M649" s="410"/>
      <c r="N649" s="410"/>
      <c r="O649" s="410"/>
      <c r="P649" s="410"/>
      <c r="Q649" s="82">
        <f t="shared" si="56"/>
        <v>0</v>
      </c>
      <c r="R649" s="412"/>
    </row>
    <row r="650" spans="1:18" ht="15.95" customHeight="1" x14ac:dyDescent="0.2">
      <c r="A650" s="124"/>
      <c r="B650" s="124"/>
      <c r="C650" s="125"/>
      <c r="D650" s="126" t="s">
        <v>628</v>
      </c>
      <c r="E650" s="127"/>
      <c r="F650" s="172"/>
      <c r="G650" s="173">
        <f t="shared" ref="G650:Q650" si="57">SUM(G636:G649)</f>
        <v>0</v>
      </c>
      <c r="H650" s="173">
        <f t="shared" si="57"/>
        <v>0</v>
      </c>
      <c r="I650" s="173">
        <f t="shared" si="57"/>
        <v>0</v>
      </c>
      <c r="J650" s="173">
        <f t="shared" si="57"/>
        <v>0</v>
      </c>
      <c r="K650" s="173">
        <f t="shared" si="57"/>
        <v>-54859</v>
      </c>
      <c r="L650" s="173">
        <f t="shared" si="57"/>
        <v>-5000</v>
      </c>
      <c r="M650" s="173">
        <f t="shared" si="57"/>
        <v>-1203</v>
      </c>
      <c r="N650" s="173">
        <f t="shared" si="57"/>
        <v>0</v>
      </c>
      <c r="O650" s="173">
        <f t="shared" si="57"/>
        <v>0</v>
      </c>
      <c r="P650" s="173">
        <f t="shared" si="57"/>
        <v>0</v>
      </c>
      <c r="Q650" s="173">
        <f t="shared" si="57"/>
        <v>-61062</v>
      </c>
      <c r="R650" s="325"/>
    </row>
    <row r="651" spans="1:18" ht="21.75" customHeight="1" x14ac:dyDescent="0.2">
      <c r="A651" s="124"/>
      <c r="B651" s="124"/>
      <c r="C651" s="125"/>
      <c r="D651" s="262" t="s">
        <v>629</v>
      </c>
      <c r="E651" s="263"/>
      <c r="F651" s="264"/>
      <c r="G651" s="174">
        <f>SUM(G48+G212+G224+G382+G510+G528+G556+G589+G634+G650)</f>
        <v>11280</v>
      </c>
      <c r="H651" s="174">
        <f t="shared" ref="H651:Q651" si="58">SUM(H48+H212+H224+H382+H510+H528+H556+H589+H634+H650)</f>
        <v>1619</v>
      </c>
      <c r="I651" s="174">
        <f t="shared" si="58"/>
        <v>-98987</v>
      </c>
      <c r="J651" s="174">
        <f t="shared" si="58"/>
        <v>0</v>
      </c>
      <c r="K651" s="174">
        <f t="shared" si="58"/>
        <v>35282</v>
      </c>
      <c r="L651" s="174">
        <f t="shared" si="58"/>
        <v>327130</v>
      </c>
      <c r="M651" s="174">
        <f t="shared" si="58"/>
        <v>268602</v>
      </c>
      <c r="N651" s="174">
        <f t="shared" si="58"/>
        <v>394</v>
      </c>
      <c r="O651" s="174">
        <f t="shared" si="58"/>
        <v>0</v>
      </c>
      <c r="P651" s="174">
        <f t="shared" si="58"/>
        <v>0</v>
      </c>
      <c r="Q651" s="174">
        <f t="shared" si="58"/>
        <v>545320</v>
      </c>
      <c r="R651" s="325"/>
    </row>
    <row r="652" spans="1:18" ht="15.95" customHeight="1" x14ac:dyDescent="0.2">
      <c r="A652" s="102">
        <v>2</v>
      </c>
      <c r="B652" s="102"/>
      <c r="C652" s="102"/>
      <c r="D652" s="104" t="s">
        <v>161</v>
      </c>
      <c r="E652" s="130"/>
      <c r="F652" s="175"/>
      <c r="G652" s="176">
        <f>táj4!D22</f>
        <v>43083</v>
      </c>
      <c r="H652" s="176">
        <f>táj4!E22</f>
        <v>-18000</v>
      </c>
      <c r="I652" s="176">
        <f>táj4!F22</f>
        <v>91531</v>
      </c>
      <c r="J652" s="176">
        <f>táj4!G22</f>
        <v>0</v>
      </c>
      <c r="K652" s="176">
        <f>táj4!H22</f>
        <v>60</v>
      </c>
      <c r="L652" s="176">
        <f>táj4!I22</f>
        <v>16574</v>
      </c>
      <c r="M652" s="176">
        <f>táj4!J22</f>
        <v>4610</v>
      </c>
      <c r="N652" s="176">
        <f>táj4!K22</f>
        <v>0</v>
      </c>
      <c r="O652" s="176"/>
      <c r="P652" s="176"/>
      <c r="Q652" s="176">
        <f>SUM(G652:P652)</f>
        <v>137858</v>
      </c>
      <c r="R652" s="324"/>
    </row>
    <row r="653" spans="1:18" ht="15.95" customHeight="1" x14ac:dyDescent="0.2">
      <c r="A653" s="124"/>
      <c r="B653" s="124"/>
      <c r="C653" s="125"/>
      <c r="D653" s="126" t="s">
        <v>151</v>
      </c>
      <c r="E653" s="151"/>
      <c r="F653" s="177"/>
      <c r="G653" s="24">
        <f>SUM(G651:G652)</f>
        <v>54363</v>
      </c>
      <c r="H653" s="24">
        <f t="shared" ref="H653:P653" si="59">SUM(H651:H652)</f>
        <v>-16381</v>
      </c>
      <c r="I653" s="24">
        <f t="shared" si="59"/>
        <v>-7456</v>
      </c>
      <c r="J653" s="24">
        <f t="shared" si="59"/>
        <v>0</v>
      </c>
      <c r="K653" s="24">
        <f t="shared" si="59"/>
        <v>35342</v>
      </c>
      <c r="L653" s="24">
        <f t="shared" si="59"/>
        <v>343704</v>
      </c>
      <c r="M653" s="24">
        <f t="shared" si="59"/>
        <v>273212</v>
      </c>
      <c r="N653" s="24">
        <f t="shared" si="59"/>
        <v>394</v>
      </c>
      <c r="O653" s="24">
        <f t="shared" si="59"/>
        <v>0</v>
      </c>
      <c r="P653" s="24">
        <f t="shared" si="59"/>
        <v>0</v>
      </c>
      <c r="Q653" s="24">
        <f>SUM(Q651:Q652)</f>
        <v>683178</v>
      </c>
      <c r="R653" s="325"/>
    </row>
    <row r="654" spans="1:18" x14ac:dyDescent="0.2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65"/>
      <c r="N654" s="265"/>
      <c r="O654" s="23"/>
      <c r="P654" s="23"/>
      <c r="Q654" s="23"/>
    </row>
    <row r="655" spans="1:18" ht="12.75" customHeight="1" x14ac:dyDescent="0.2">
      <c r="N655" s="1049"/>
      <c r="O655" s="1049"/>
      <c r="P655" s="1049"/>
      <c r="Q655" s="179"/>
    </row>
  </sheetData>
  <sheetProtection selectLockedCells="1" selectUnlockedCells="1"/>
  <mergeCells count="13">
    <mergeCell ref="A1:A2"/>
    <mergeCell ref="B1:B2"/>
    <mergeCell ref="C1:C2"/>
    <mergeCell ref="D1:D2"/>
    <mergeCell ref="E1:E2"/>
    <mergeCell ref="D382:E382"/>
    <mergeCell ref="N655:P655"/>
    <mergeCell ref="D637:E637"/>
    <mergeCell ref="R1:R2"/>
    <mergeCell ref="F1:F2"/>
    <mergeCell ref="G1:N1"/>
    <mergeCell ref="O1:P1"/>
    <mergeCell ref="Q1:Q2"/>
  </mergeCells>
  <phoneticPr fontId="100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2025.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workbookViewId="0">
      <pane ySplit="2" topLeftCell="A3" activePane="bottomLeft" state="frozen"/>
      <selection activeCell="G28" sqref="G28"/>
      <selection pane="bottomLeft" activeCell="E25" sqref="E25"/>
    </sheetView>
  </sheetViews>
  <sheetFormatPr defaultColWidth="9.33203125" defaultRowHeight="12.75" x14ac:dyDescent="0.2"/>
  <cols>
    <col min="1" max="1" width="3.1640625" style="50" customWidth="1"/>
    <col min="2" max="2" width="3.33203125" style="50" customWidth="1"/>
    <col min="3" max="3" width="47.5" style="50" customWidth="1"/>
    <col min="4" max="5" width="12.33203125" style="50" customWidth="1"/>
    <col min="6" max="6" width="9.6640625" style="50" customWidth="1"/>
    <col min="7" max="7" width="10.33203125" style="50" customWidth="1"/>
    <col min="8" max="8" width="12" style="50" customWidth="1"/>
    <col min="9" max="10" width="12.33203125" style="50" customWidth="1"/>
    <col min="11" max="11" width="12.83203125" style="50" customWidth="1"/>
    <col min="12" max="12" width="14.83203125" style="50" customWidth="1"/>
    <col min="13" max="13" width="13.1640625" style="50" customWidth="1"/>
    <col min="14" max="14" width="13.33203125" style="50" customWidth="1"/>
    <col min="15" max="16384" width="9.33203125" style="50"/>
  </cols>
  <sheetData>
    <row r="1" spans="1:14" ht="12.75" customHeight="1" x14ac:dyDescent="0.2">
      <c r="A1" s="1029" t="s">
        <v>731</v>
      </c>
      <c r="B1" s="1033" t="s">
        <v>17</v>
      </c>
      <c r="C1" s="1003" t="s">
        <v>115</v>
      </c>
      <c r="D1" s="1034" t="s">
        <v>122</v>
      </c>
      <c r="E1" s="1034"/>
      <c r="F1" s="1034"/>
      <c r="G1" s="1034"/>
      <c r="H1" s="1034"/>
      <c r="I1" s="1034"/>
      <c r="J1" s="1034"/>
      <c r="K1" s="1034" t="s">
        <v>174</v>
      </c>
      <c r="L1" s="1034"/>
      <c r="M1" s="1034"/>
      <c r="N1" s="1052" t="s">
        <v>176</v>
      </c>
    </row>
    <row r="2" spans="1:14" s="51" customFormat="1" ht="78" customHeight="1" x14ac:dyDescent="0.2">
      <c r="A2" s="1030"/>
      <c r="B2" s="1033"/>
      <c r="C2" s="1003"/>
      <c r="D2" s="54" t="s">
        <v>12</v>
      </c>
      <c r="E2" s="54" t="s">
        <v>13</v>
      </c>
      <c r="F2" s="44" t="s">
        <v>14</v>
      </c>
      <c r="G2" s="54" t="s">
        <v>170</v>
      </c>
      <c r="H2" s="44" t="s">
        <v>171</v>
      </c>
      <c r="I2" s="44" t="s">
        <v>172</v>
      </c>
      <c r="J2" s="44" t="s">
        <v>173</v>
      </c>
      <c r="K2" s="44" t="s">
        <v>124</v>
      </c>
      <c r="L2" s="44" t="s">
        <v>89</v>
      </c>
      <c r="M2" s="44" t="s">
        <v>126</v>
      </c>
      <c r="N2" s="1053"/>
    </row>
    <row r="3" spans="1:14" s="51" customFormat="1" ht="15.75" customHeight="1" x14ac:dyDescent="0.2">
      <c r="A3" s="321">
        <v>2</v>
      </c>
      <c r="B3" s="313"/>
      <c r="C3" s="323" t="s">
        <v>161</v>
      </c>
      <c r="D3" s="314"/>
      <c r="E3" s="314"/>
      <c r="F3" s="315"/>
      <c r="G3" s="314"/>
      <c r="H3" s="315"/>
      <c r="I3" s="315"/>
      <c r="J3" s="315"/>
      <c r="K3" s="315"/>
      <c r="L3" s="315"/>
      <c r="M3" s="315"/>
      <c r="N3" s="316"/>
    </row>
    <row r="4" spans="1:14" ht="17.100000000000001" customHeight="1" x14ac:dyDescent="0.2">
      <c r="A4" s="311"/>
      <c r="B4" s="312">
        <v>1</v>
      </c>
      <c r="C4" s="55" t="s">
        <v>117</v>
      </c>
      <c r="D4" s="56">
        <v>3338</v>
      </c>
      <c r="E4" s="56"/>
      <c r="F4" s="56"/>
      <c r="G4" s="56">
        <v>1242</v>
      </c>
      <c r="H4" s="56">
        <v>2413</v>
      </c>
      <c r="I4" s="56"/>
      <c r="J4" s="56"/>
      <c r="K4" s="56"/>
      <c r="L4" s="56">
        <v>20000</v>
      </c>
      <c r="M4" s="56"/>
      <c r="N4" s="56">
        <f>SUM(D4:M4)</f>
        <v>26993</v>
      </c>
    </row>
    <row r="5" spans="1:14" ht="17.100000000000001" customHeight="1" x14ac:dyDescent="0.2">
      <c r="A5" s="311"/>
      <c r="B5" s="312">
        <v>2</v>
      </c>
      <c r="C5" s="55" t="s">
        <v>113</v>
      </c>
      <c r="D5" s="56"/>
      <c r="E5" s="56"/>
      <c r="F5" s="56"/>
      <c r="G5" s="56"/>
      <c r="H5" s="56"/>
      <c r="I5" s="56"/>
      <c r="J5" s="56"/>
      <c r="K5" s="56"/>
      <c r="L5" s="56">
        <v>-18434</v>
      </c>
      <c r="M5" s="56"/>
      <c r="N5" s="56">
        <f>SUM(D5:M5)</f>
        <v>-18434</v>
      </c>
    </row>
    <row r="6" spans="1:14" ht="17.100000000000001" customHeight="1" x14ac:dyDescent="0.2">
      <c r="A6" s="311"/>
      <c r="B6" s="312">
        <v>3</v>
      </c>
      <c r="C6" s="55" t="s">
        <v>141</v>
      </c>
      <c r="D6" s="824"/>
      <c r="E6" s="824"/>
      <c r="F6" s="824"/>
      <c r="G6" s="56"/>
      <c r="H6" s="56"/>
      <c r="I6" s="56"/>
      <c r="J6" s="56"/>
      <c r="K6" s="56"/>
      <c r="L6" s="56">
        <v>3447</v>
      </c>
      <c r="M6" s="56"/>
      <c r="N6" s="56">
        <f>SUM(G6:M6)</f>
        <v>3447</v>
      </c>
    </row>
    <row r="7" spans="1:14" ht="24" customHeight="1" x14ac:dyDescent="0.2">
      <c r="A7" s="311"/>
      <c r="B7" s="312">
        <v>4</v>
      </c>
      <c r="C7" s="57" t="s">
        <v>163</v>
      </c>
      <c r="D7" s="56"/>
      <c r="E7" s="56"/>
      <c r="F7" s="56"/>
      <c r="G7" s="56"/>
      <c r="H7" s="56"/>
      <c r="I7" s="56"/>
      <c r="J7" s="56"/>
      <c r="K7" s="56"/>
      <c r="L7" s="56">
        <v>18682</v>
      </c>
      <c r="M7" s="56"/>
      <c r="N7" s="56">
        <f t="shared" ref="N7:N21" si="0">SUM(D7:M7)</f>
        <v>18682</v>
      </c>
    </row>
    <row r="8" spans="1:14" ht="24" customHeight="1" x14ac:dyDescent="0.2">
      <c r="A8" s="311"/>
      <c r="B8" s="312">
        <v>5</v>
      </c>
      <c r="C8" s="58" t="s">
        <v>142</v>
      </c>
      <c r="D8" s="56"/>
      <c r="E8" s="56"/>
      <c r="F8" s="56"/>
      <c r="G8" s="56"/>
      <c r="H8" s="56"/>
      <c r="I8" s="56"/>
      <c r="J8" s="56"/>
      <c r="K8" s="56"/>
      <c r="L8" s="56">
        <v>1630</v>
      </c>
      <c r="M8" s="56"/>
      <c r="N8" s="56">
        <f t="shared" si="0"/>
        <v>1630</v>
      </c>
    </row>
    <row r="9" spans="1:14" ht="17.100000000000001" customHeight="1" x14ac:dyDescent="0.2">
      <c r="A9" s="311"/>
      <c r="B9" s="312">
        <v>6</v>
      </c>
      <c r="C9" s="58" t="s">
        <v>143</v>
      </c>
      <c r="D9" s="56"/>
      <c r="E9" s="56"/>
      <c r="F9" s="56"/>
      <c r="G9" s="56"/>
      <c r="H9" s="56"/>
      <c r="I9" s="56"/>
      <c r="J9" s="56"/>
      <c r="K9" s="56"/>
      <c r="L9" s="56">
        <v>4272</v>
      </c>
      <c r="M9" s="56"/>
      <c r="N9" s="56">
        <f t="shared" si="0"/>
        <v>4272</v>
      </c>
    </row>
    <row r="10" spans="1:14" ht="17.100000000000001" customHeight="1" x14ac:dyDescent="0.2">
      <c r="A10" s="311"/>
      <c r="B10" s="312">
        <v>7</v>
      </c>
      <c r="C10" s="58" t="s">
        <v>144</v>
      </c>
      <c r="D10" s="56"/>
      <c r="E10" s="56"/>
      <c r="F10" s="56"/>
      <c r="G10" s="56"/>
      <c r="H10" s="56"/>
      <c r="I10" s="56"/>
      <c r="J10" s="56">
        <v>988</v>
      </c>
      <c r="K10" s="56"/>
      <c r="L10" s="56">
        <v>-422</v>
      </c>
      <c r="M10" s="56"/>
      <c r="N10" s="56">
        <f t="shared" si="0"/>
        <v>566</v>
      </c>
    </row>
    <row r="11" spans="1:14" ht="17.100000000000001" customHeight="1" x14ac:dyDescent="0.2">
      <c r="A11" s="311"/>
      <c r="B11" s="312">
        <v>8</v>
      </c>
      <c r="C11" s="58" t="s">
        <v>145</v>
      </c>
      <c r="D11" s="56"/>
      <c r="E11" s="56"/>
      <c r="F11" s="56"/>
      <c r="G11" s="56"/>
      <c r="H11" s="56"/>
      <c r="I11" s="56"/>
      <c r="J11" s="56"/>
      <c r="K11" s="56"/>
      <c r="L11" s="56">
        <v>1155</v>
      </c>
      <c r="M11" s="56"/>
      <c r="N11" s="56">
        <f t="shared" si="0"/>
        <v>1155</v>
      </c>
    </row>
    <row r="12" spans="1:14" ht="17.100000000000001" customHeight="1" x14ac:dyDescent="0.2">
      <c r="A12" s="311"/>
      <c r="B12" s="312">
        <v>9</v>
      </c>
      <c r="C12" s="58" t="s">
        <v>164</v>
      </c>
      <c r="D12" s="56"/>
      <c r="E12" s="56"/>
      <c r="F12" s="56"/>
      <c r="G12" s="56">
        <v>4</v>
      </c>
      <c r="H12" s="56"/>
      <c r="I12" s="56"/>
      <c r="J12" s="56"/>
      <c r="K12" s="56"/>
      <c r="L12" s="56">
        <v>500</v>
      </c>
      <c r="M12" s="56"/>
      <c r="N12" s="56">
        <f t="shared" si="0"/>
        <v>504</v>
      </c>
    </row>
    <row r="13" spans="1:14" ht="18" customHeight="1" x14ac:dyDescent="0.2">
      <c r="A13" s="311"/>
      <c r="B13" s="312">
        <v>10</v>
      </c>
      <c r="C13" s="59" t="s">
        <v>139</v>
      </c>
      <c r="D13" s="56">
        <v>2545</v>
      </c>
      <c r="E13" s="56"/>
      <c r="F13" s="56"/>
      <c r="G13" s="56">
        <v>23513</v>
      </c>
      <c r="H13" s="56"/>
      <c r="I13" s="56">
        <v>1200</v>
      </c>
      <c r="J13" s="56"/>
      <c r="K13" s="56"/>
      <c r="L13" s="56">
        <v>10605</v>
      </c>
      <c r="M13" s="56"/>
      <c r="N13" s="56">
        <f t="shared" si="0"/>
        <v>37863</v>
      </c>
    </row>
    <row r="14" spans="1:14" ht="27" customHeight="1" x14ac:dyDescent="0.2">
      <c r="A14" s="311"/>
      <c r="B14" s="312">
        <v>11</v>
      </c>
      <c r="C14" s="57" t="s">
        <v>146</v>
      </c>
      <c r="D14" s="56"/>
      <c r="E14" s="56">
        <v>260</v>
      </c>
      <c r="F14" s="56"/>
      <c r="G14" s="56">
        <v>1250</v>
      </c>
      <c r="H14" s="56"/>
      <c r="I14" s="56"/>
      <c r="J14" s="56"/>
      <c r="K14" s="56"/>
      <c r="L14" s="56">
        <v>1404</v>
      </c>
      <c r="M14" s="56"/>
      <c r="N14" s="56">
        <f t="shared" si="0"/>
        <v>2914</v>
      </c>
    </row>
    <row r="15" spans="1:14" ht="27" customHeight="1" x14ac:dyDescent="0.2">
      <c r="A15" s="311"/>
      <c r="B15" s="312">
        <v>12</v>
      </c>
      <c r="C15" s="58" t="s">
        <v>140</v>
      </c>
      <c r="D15" s="56">
        <v>1828</v>
      </c>
      <c r="E15" s="56"/>
      <c r="F15" s="56"/>
      <c r="G15" s="56">
        <v>-3907</v>
      </c>
      <c r="H15" s="56"/>
      <c r="I15" s="56"/>
      <c r="J15" s="56"/>
      <c r="K15" s="56"/>
      <c r="L15" s="56">
        <v>211</v>
      </c>
      <c r="M15" s="56"/>
      <c r="N15" s="56">
        <f t="shared" si="0"/>
        <v>-1868</v>
      </c>
    </row>
    <row r="16" spans="1:14" ht="17.100000000000001" customHeight="1" x14ac:dyDescent="0.2">
      <c r="A16" s="311"/>
      <c r="B16" s="312">
        <v>13</v>
      </c>
      <c r="C16" s="58" t="s">
        <v>773</v>
      </c>
      <c r="D16" s="56">
        <v>11569</v>
      </c>
      <c r="E16" s="56">
        <v>600</v>
      </c>
      <c r="F16" s="56"/>
      <c r="G16" s="56">
        <v>14961</v>
      </c>
      <c r="H16" s="56"/>
      <c r="I16" s="56">
        <v>-980</v>
      </c>
      <c r="J16" s="56"/>
      <c r="K16" s="56"/>
      <c r="L16" s="56">
        <v>234</v>
      </c>
      <c r="M16" s="56"/>
      <c r="N16" s="56">
        <f t="shared" si="0"/>
        <v>26384</v>
      </c>
    </row>
    <row r="17" spans="1:14" ht="17.100000000000001" customHeight="1" x14ac:dyDescent="0.2">
      <c r="A17" s="311"/>
      <c r="B17" s="312">
        <v>14</v>
      </c>
      <c r="C17" s="58" t="s">
        <v>147</v>
      </c>
      <c r="D17" s="56">
        <v>6000</v>
      </c>
      <c r="E17" s="56"/>
      <c r="F17" s="56"/>
      <c r="G17" s="56">
        <v>15040</v>
      </c>
      <c r="H17" s="56"/>
      <c r="I17" s="56"/>
      <c r="J17" s="56"/>
      <c r="K17" s="56"/>
      <c r="L17" s="56"/>
      <c r="M17" s="56"/>
      <c r="N17" s="56">
        <f t="shared" si="0"/>
        <v>21040</v>
      </c>
    </row>
    <row r="18" spans="1:14" ht="17.100000000000001" customHeight="1" x14ac:dyDescent="0.2">
      <c r="A18" s="311"/>
      <c r="B18" s="312">
        <v>15</v>
      </c>
      <c r="C18" s="58" t="s">
        <v>148</v>
      </c>
      <c r="D18" s="56">
        <v>6550</v>
      </c>
      <c r="E18" s="56"/>
      <c r="F18" s="56"/>
      <c r="G18" s="56"/>
      <c r="H18" s="56"/>
      <c r="I18" s="56"/>
      <c r="J18" s="56"/>
      <c r="K18" s="56"/>
      <c r="L18" s="56"/>
      <c r="M18" s="56"/>
      <c r="N18" s="56">
        <f t="shared" si="0"/>
        <v>6550</v>
      </c>
    </row>
    <row r="19" spans="1:14" ht="17.100000000000001" customHeight="1" x14ac:dyDescent="0.2">
      <c r="A19" s="311"/>
      <c r="B19" s="312">
        <v>16</v>
      </c>
      <c r="C19" s="58" t="s">
        <v>165</v>
      </c>
      <c r="D19" s="56"/>
      <c r="E19" s="56"/>
      <c r="F19" s="56"/>
      <c r="G19" s="56"/>
      <c r="H19" s="56"/>
      <c r="I19" s="56"/>
      <c r="J19" s="56"/>
      <c r="K19" s="56"/>
      <c r="L19" s="56">
        <v>3200</v>
      </c>
      <c r="M19" s="56"/>
      <c r="N19" s="56">
        <f t="shared" si="0"/>
        <v>3200</v>
      </c>
    </row>
    <row r="20" spans="1:14" ht="17.100000000000001" customHeight="1" x14ac:dyDescent="0.2">
      <c r="A20" s="311"/>
      <c r="B20" s="312">
        <v>17</v>
      </c>
      <c r="C20" s="58" t="s">
        <v>168</v>
      </c>
      <c r="D20" s="56">
        <v>50</v>
      </c>
      <c r="E20" s="56"/>
      <c r="F20" s="56"/>
      <c r="G20" s="56">
        <v>280</v>
      </c>
      <c r="H20" s="56"/>
      <c r="I20" s="56"/>
      <c r="J20" s="56"/>
      <c r="K20" s="56"/>
      <c r="L20" s="56"/>
      <c r="M20" s="56"/>
      <c r="N20" s="56">
        <f t="shared" si="0"/>
        <v>330</v>
      </c>
    </row>
    <row r="21" spans="1:14" ht="17.100000000000001" customHeight="1" x14ac:dyDescent="0.2">
      <c r="A21" s="311"/>
      <c r="B21" s="312">
        <v>18</v>
      </c>
      <c r="C21" s="58" t="s">
        <v>774</v>
      </c>
      <c r="D21" s="56">
        <v>1500</v>
      </c>
      <c r="E21" s="56"/>
      <c r="F21" s="56"/>
      <c r="G21" s="56">
        <v>1130</v>
      </c>
      <c r="H21" s="56"/>
      <c r="I21" s="56"/>
      <c r="J21" s="56"/>
      <c r="K21" s="56"/>
      <c r="L21" s="56"/>
      <c r="M21" s="56"/>
      <c r="N21" s="56">
        <f t="shared" si="0"/>
        <v>2630</v>
      </c>
    </row>
    <row r="22" spans="1:14" ht="14.25" customHeight="1" x14ac:dyDescent="0.2">
      <c r="A22" s="317"/>
      <c r="B22" s="310"/>
      <c r="C22" s="60" t="s">
        <v>11</v>
      </c>
      <c r="D22" s="61">
        <f t="shared" ref="D22:N22" si="1">SUM(D4:D21)</f>
        <v>33380</v>
      </c>
      <c r="E22" s="61">
        <f t="shared" si="1"/>
        <v>860</v>
      </c>
      <c r="F22" s="61">
        <f t="shared" si="1"/>
        <v>0</v>
      </c>
      <c r="G22" s="61">
        <f t="shared" si="1"/>
        <v>53513</v>
      </c>
      <c r="H22" s="61">
        <f t="shared" si="1"/>
        <v>2413</v>
      </c>
      <c r="I22" s="61">
        <f t="shared" si="1"/>
        <v>220</v>
      </c>
      <c r="J22" s="61">
        <f t="shared" si="1"/>
        <v>988</v>
      </c>
      <c r="K22" s="61">
        <f t="shared" si="1"/>
        <v>0</v>
      </c>
      <c r="L22" s="61">
        <f t="shared" si="1"/>
        <v>46484</v>
      </c>
      <c r="M22" s="61">
        <f t="shared" si="1"/>
        <v>0</v>
      </c>
      <c r="N22" s="61">
        <f t="shared" si="1"/>
        <v>137858</v>
      </c>
    </row>
    <row r="23" spans="1:14" ht="14.1" customHeight="1" x14ac:dyDescent="0.2">
      <c r="D23" s="52"/>
      <c r="E23" s="52"/>
      <c r="F23" s="52"/>
      <c r="G23" s="52"/>
      <c r="H23" s="52"/>
      <c r="I23" s="52"/>
      <c r="J23" s="52"/>
      <c r="K23" s="52"/>
      <c r="L23" s="52"/>
    </row>
    <row r="24" spans="1:14" ht="14.1" customHeight="1" x14ac:dyDescent="0.2">
      <c r="D24" s="52"/>
      <c r="E24" s="52"/>
      <c r="F24" s="52"/>
      <c r="G24" s="52"/>
      <c r="H24" s="52"/>
      <c r="I24" s="52"/>
      <c r="J24" s="52"/>
      <c r="K24" s="52"/>
      <c r="L24" s="52"/>
    </row>
    <row r="25" spans="1:14" ht="14.1" customHeight="1" x14ac:dyDescent="0.2">
      <c r="D25" s="52"/>
      <c r="E25" s="52"/>
      <c r="F25" s="52"/>
      <c r="G25" s="52"/>
      <c r="H25" s="52"/>
      <c r="I25" s="52"/>
      <c r="J25" s="52"/>
      <c r="K25" s="52"/>
      <c r="L25" s="62"/>
    </row>
    <row r="26" spans="1:14" ht="14.1" customHeight="1" x14ac:dyDescent="0.2">
      <c r="D26" s="52"/>
      <c r="E26" s="52"/>
      <c r="F26" s="52"/>
      <c r="G26" s="52"/>
      <c r="H26" s="52"/>
      <c r="I26" s="52"/>
      <c r="J26" s="52"/>
      <c r="K26" s="52"/>
      <c r="L26" s="62"/>
    </row>
    <row r="27" spans="1:14" ht="14.1" customHeight="1" x14ac:dyDescent="0.2">
      <c r="D27" s="52"/>
      <c r="E27" s="52"/>
      <c r="F27" s="52"/>
      <c r="G27" s="52"/>
      <c r="H27" s="52"/>
      <c r="I27" s="52"/>
      <c r="J27" s="52"/>
      <c r="K27" s="52"/>
      <c r="L27" s="52"/>
    </row>
    <row r="28" spans="1:14" ht="14.1" customHeight="1" x14ac:dyDescent="0.2"/>
    <row r="29" spans="1:14" ht="14.1" customHeight="1" x14ac:dyDescent="0.2"/>
    <row r="30" spans="1:14" ht="14.1" customHeight="1" x14ac:dyDescent="0.2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2" orientation="landscape" r:id="rId1"/>
  <headerFooter alignWithMargins="0">
    <oddHeader>&amp;C&amp;"Times New Roman,Félkövér dőlt"ZALAEGERSZEG  MEGYEI JOGÚ VÁROS ÖNKORMÁNYZATA ÁLTAL IRÁNYÍTOTT KÖLTSÉGVETÉSI SZERVEK
  2025. ÉVI  BEVÉTELI ELŐIRÁNYZATAINAK MÓDOSÍTÁSA&amp;R&amp;"Times New Roman,Félkövér dőlt"3. tájékoztató tábla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abSelected="1" zoomScale="110" workbookViewId="0">
      <pane ySplit="2" topLeftCell="A3" activePane="bottomLeft" state="frozen"/>
      <selection activeCell="G28" sqref="G28"/>
      <selection pane="bottomLeft" activeCell="H28" sqref="H28"/>
    </sheetView>
  </sheetViews>
  <sheetFormatPr defaultColWidth="9.33203125" defaultRowHeight="12" x14ac:dyDescent="0.2"/>
  <cols>
    <col min="1" max="1" width="3" style="11" customWidth="1"/>
    <col min="2" max="2" width="3.83203125" style="11" customWidth="1"/>
    <col min="3" max="3" width="47.83203125" style="11" customWidth="1"/>
    <col min="4" max="4" width="10" style="11" customWidth="1"/>
    <col min="5" max="5" width="11.83203125" style="11" customWidth="1"/>
    <col min="6" max="6" width="9.83203125" style="11" customWidth="1"/>
    <col min="7" max="8" width="10.5" style="11" customWidth="1"/>
    <col min="9" max="9" width="11.1640625" style="11" customWidth="1"/>
    <col min="10" max="10" width="11.83203125" style="11" customWidth="1"/>
    <col min="11" max="11" width="9.5" style="11" customWidth="1"/>
    <col min="12" max="12" width="8.1640625" style="11" customWidth="1"/>
    <col min="13" max="13" width="10.83203125" style="11" customWidth="1"/>
    <col min="14" max="16384" width="9.33203125" style="11"/>
  </cols>
  <sheetData>
    <row r="1" spans="1:13" ht="12.75" customHeight="1" x14ac:dyDescent="0.2">
      <c r="A1" s="1054" t="s">
        <v>83</v>
      </c>
      <c r="B1" s="1054" t="s">
        <v>17</v>
      </c>
      <c r="C1" s="1054" t="s">
        <v>115</v>
      </c>
      <c r="D1" s="1056" t="s">
        <v>121</v>
      </c>
      <c r="E1" s="1056"/>
      <c r="F1" s="1056"/>
      <c r="G1" s="1056"/>
      <c r="H1" s="1056"/>
      <c r="I1" s="1056"/>
      <c r="J1" s="1056"/>
      <c r="K1" s="1056"/>
      <c r="L1" s="1054" t="s">
        <v>120</v>
      </c>
      <c r="M1" s="1054" t="s">
        <v>159</v>
      </c>
    </row>
    <row r="2" spans="1:13" s="18" customFormat="1" ht="60" customHeight="1" x14ac:dyDescent="0.2">
      <c r="A2" s="1054"/>
      <c r="B2" s="1055"/>
      <c r="C2" s="1054"/>
      <c r="D2" s="911" t="s">
        <v>105</v>
      </c>
      <c r="E2" s="911" t="s">
        <v>175</v>
      </c>
      <c r="F2" s="911" t="s">
        <v>169</v>
      </c>
      <c r="G2" s="911" t="s">
        <v>15</v>
      </c>
      <c r="H2" s="911" t="s">
        <v>22</v>
      </c>
      <c r="I2" s="911" t="s">
        <v>20</v>
      </c>
      <c r="J2" s="911" t="s">
        <v>19</v>
      </c>
      <c r="K2" s="911" t="s">
        <v>16</v>
      </c>
      <c r="L2" s="1057"/>
      <c r="M2" s="1054"/>
    </row>
    <row r="3" spans="1:13" s="18" customFormat="1" ht="17.25" customHeight="1" x14ac:dyDescent="0.2">
      <c r="A3" s="912">
        <v>2</v>
      </c>
      <c r="B3" s="913"/>
      <c r="C3" s="914" t="s">
        <v>161</v>
      </c>
      <c r="D3" s="913"/>
      <c r="E3" s="913"/>
      <c r="F3" s="913"/>
      <c r="G3" s="913"/>
      <c r="H3" s="913"/>
      <c r="I3" s="913"/>
      <c r="J3" s="913"/>
      <c r="K3" s="913"/>
      <c r="L3" s="915"/>
      <c r="M3" s="913"/>
    </row>
    <row r="4" spans="1:13" s="18" customFormat="1" ht="15" customHeight="1" x14ac:dyDescent="0.2">
      <c r="A4" s="916"/>
      <c r="B4" s="916">
        <v>1</v>
      </c>
      <c r="C4" s="917" t="s">
        <v>117</v>
      </c>
      <c r="D4" s="918">
        <v>3597</v>
      </c>
      <c r="E4" s="918">
        <v>468</v>
      </c>
      <c r="F4" s="918">
        <v>20515</v>
      </c>
      <c r="G4" s="918"/>
      <c r="H4" s="918"/>
      <c r="I4" s="918">
        <v>2413</v>
      </c>
      <c r="J4" s="918"/>
      <c r="K4" s="919"/>
      <c r="L4" s="918"/>
      <c r="M4" s="918">
        <f t="shared" ref="M4:M21" si="0">SUM(D4:L4)</f>
        <v>26993</v>
      </c>
    </row>
    <row r="5" spans="1:13" s="18" customFormat="1" ht="15" customHeight="1" x14ac:dyDescent="0.2">
      <c r="A5" s="916"/>
      <c r="B5" s="916">
        <v>2</v>
      </c>
      <c r="C5" s="917" t="s">
        <v>113</v>
      </c>
      <c r="D5" s="918"/>
      <c r="E5" s="918"/>
      <c r="F5" s="918">
        <v>-19214</v>
      </c>
      <c r="G5" s="918"/>
      <c r="H5" s="918"/>
      <c r="I5" s="918">
        <v>-220</v>
      </c>
      <c r="J5" s="918">
        <v>1000</v>
      </c>
      <c r="K5" s="918"/>
      <c r="L5" s="918"/>
      <c r="M5" s="918">
        <f t="shared" si="0"/>
        <v>-18434</v>
      </c>
    </row>
    <row r="6" spans="1:13" s="18" customFormat="1" ht="15" customHeight="1" x14ac:dyDescent="0.2">
      <c r="A6" s="916"/>
      <c r="B6" s="916">
        <v>3</v>
      </c>
      <c r="C6" s="917" t="s">
        <v>141</v>
      </c>
      <c r="D6" s="920">
        <v>3363</v>
      </c>
      <c r="E6" s="920">
        <v>438</v>
      </c>
      <c r="F6" s="920">
        <v>146</v>
      </c>
      <c r="G6" s="918"/>
      <c r="H6" s="918"/>
      <c r="I6" s="918">
        <v>-1250</v>
      </c>
      <c r="J6" s="918">
        <v>750</v>
      </c>
      <c r="K6" s="918"/>
      <c r="L6" s="918"/>
      <c r="M6" s="918">
        <f>SUM(D6:L6)</f>
        <v>3447</v>
      </c>
    </row>
    <row r="7" spans="1:13" s="18" customFormat="1" ht="18.75" customHeight="1" x14ac:dyDescent="0.2">
      <c r="A7" s="916"/>
      <c r="B7" s="916">
        <v>4</v>
      </c>
      <c r="C7" s="921" t="s">
        <v>163</v>
      </c>
      <c r="D7" s="918">
        <v>16706</v>
      </c>
      <c r="E7" s="918">
        <v>1976</v>
      </c>
      <c r="F7" s="918">
        <v>-1000</v>
      </c>
      <c r="G7" s="918"/>
      <c r="H7" s="918"/>
      <c r="I7" s="918">
        <v>1000</v>
      </c>
      <c r="J7" s="918"/>
      <c r="K7" s="918"/>
      <c r="L7" s="918"/>
      <c r="M7" s="918">
        <f t="shared" si="0"/>
        <v>18682</v>
      </c>
    </row>
    <row r="8" spans="1:13" s="18" customFormat="1" ht="15.6" customHeight="1" x14ac:dyDescent="0.2">
      <c r="A8" s="916"/>
      <c r="B8" s="916">
        <v>5</v>
      </c>
      <c r="C8" s="922" t="s">
        <v>142</v>
      </c>
      <c r="D8" s="918">
        <v>-22</v>
      </c>
      <c r="E8" s="918">
        <v>-3</v>
      </c>
      <c r="F8" s="918">
        <v>1155</v>
      </c>
      <c r="G8" s="918"/>
      <c r="H8" s="918"/>
      <c r="I8" s="918">
        <v>500</v>
      </c>
      <c r="J8" s="918"/>
      <c r="K8" s="918"/>
      <c r="L8" s="918"/>
      <c r="M8" s="918">
        <f t="shared" si="0"/>
        <v>1630</v>
      </c>
    </row>
    <row r="9" spans="1:13" s="18" customFormat="1" ht="15" customHeight="1" x14ac:dyDescent="0.2">
      <c r="A9" s="916"/>
      <c r="B9" s="916">
        <v>6</v>
      </c>
      <c r="C9" s="922" t="s">
        <v>143</v>
      </c>
      <c r="D9" s="918">
        <v>4198</v>
      </c>
      <c r="E9" s="918">
        <v>546</v>
      </c>
      <c r="F9" s="918">
        <v>-722</v>
      </c>
      <c r="G9" s="918"/>
      <c r="H9" s="918"/>
      <c r="I9" s="918"/>
      <c r="J9" s="918">
        <v>250</v>
      </c>
      <c r="K9" s="918"/>
      <c r="L9" s="918"/>
      <c r="M9" s="918">
        <f t="shared" si="0"/>
        <v>4272</v>
      </c>
    </row>
    <row r="10" spans="1:13" s="18" customFormat="1" ht="15" customHeight="1" x14ac:dyDescent="0.2">
      <c r="A10" s="916"/>
      <c r="B10" s="916">
        <v>7</v>
      </c>
      <c r="C10" s="922" t="s">
        <v>144</v>
      </c>
      <c r="D10" s="918">
        <v>-22</v>
      </c>
      <c r="E10" s="918">
        <v>-3</v>
      </c>
      <c r="F10" s="918">
        <v>-397</v>
      </c>
      <c r="G10" s="918"/>
      <c r="H10" s="918"/>
      <c r="I10" s="918">
        <v>388</v>
      </c>
      <c r="J10" s="918">
        <v>600</v>
      </c>
      <c r="K10" s="918"/>
      <c r="L10" s="918"/>
      <c r="M10" s="918">
        <f t="shared" si="0"/>
        <v>566</v>
      </c>
    </row>
    <row r="11" spans="1:13" s="19" customFormat="1" ht="15" customHeight="1" x14ac:dyDescent="0.2">
      <c r="A11" s="916"/>
      <c r="B11" s="916">
        <v>8</v>
      </c>
      <c r="C11" s="922" t="s">
        <v>145</v>
      </c>
      <c r="D11" s="822">
        <v>-22</v>
      </c>
      <c r="E11" s="822">
        <v>-3</v>
      </c>
      <c r="F11" s="822">
        <v>680</v>
      </c>
      <c r="G11" s="822"/>
      <c r="H11" s="822"/>
      <c r="I11" s="822">
        <v>500</v>
      </c>
      <c r="J11" s="822"/>
      <c r="K11" s="822"/>
      <c r="L11" s="822"/>
      <c r="M11" s="918">
        <f t="shared" si="0"/>
        <v>1155</v>
      </c>
    </row>
    <row r="12" spans="1:13" s="19" customFormat="1" ht="17.25" customHeight="1" x14ac:dyDescent="0.2">
      <c r="A12" s="916"/>
      <c r="B12" s="916">
        <v>9</v>
      </c>
      <c r="C12" s="922" t="s">
        <v>164</v>
      </c>
      <c r="D12" s="822">
        <v>-245</v>
      </c>
      <c r="E12" s="822">
        <v>245</v>
      </c>
      <c r="F12" s="822">
        <v>254</v>
      </c>
      <c r="G12" s="822"/>
      <c r="H12" s="822"/>
      <c r="I12" s="822">
        <v>250</v>
      </c>
      <c r="J12" s="822"/>
      <c r="K12" s="822"/>
      <c r="L12" s="822"/>
      <c r="M12" s="918">
        <f t="shared" si="0"/>
        <v>504</v>
      </c>
    </row>
    <row r="13" spans="1:13" s="19" customFormat="1" ht="18.75" customHeight="1" x14ac:dyDescent="0.2">
      <c r="A13" s="916"/>
      <c r="B13" s="916">
        <v>10</v>
      </c>
      <c r="C13" s="923" t="s">
        <v>139</v>
      </c>
      <c r="D13" s="822">
        <v>-4000</v>
      </c>
      <c r="E13" s="822"/>
      <c r="F13" s="822">
        <v>38150</v>
      </c>
      <c r="G13" s="822"/>
      <c r="H13" s="822"/>
      <c r="I13" s="822">
        <v>513</v>
      </c>
      <c r="J13" s="822">
        <v>3200</v>
      </c>
      <c r="K13" s="822"/>
      <c r="L13" s="822"/>
      <c r="M13" s="918">
        <f t="shared" si="0"/>
        <v>37863</v>
      </c>
    </row>
    <row r="14" spans="1:13" s="19" customFormat="1" ht="18" customHeight="1" x14ac:dyDescent="0.2">
      <c r="A14" s="916"/>
      <c r="B14" s="916">
        <v>11</v>
      </c>
      <c r="C14" s="921" t="s">
        <v>146</v>
      </c>
      <c r="D14" s="822">
        <v>990</v>
      </c>
      <c r="E14" s="822">
        <v>204</v>
      </c>
      <c r="F14" s="822">
        <v>1390</v>
      </c>
      <c r="G14" s="822"/>
      <c r="H14" s="822"/>
      <c r="I14" s="822">
        <v>330</v>
      </c>
      <c r="J14" s="822"/>
      <c r="K14" s="822"/>
      <c r="L14" s="822"/>
      <c r="M14" s="918">
        <f t="shared" si="0"/>
        <v>2914</v>
      </c>
    </row>
    <row r="15" spans="1:13" s="19" customFormat="1" ht="15.6" customHeight="1" x14ac:dyDescent="0.2">
      <c r="A15" s="916"/>
      <c r="B15" s="916">
        <v>12</v>
      </c>
      <c r="C15" s="922" t="s">
        <v>140</v>
      </c>
      <c r="D15" s="822">
        <v>-2740</v>
      </c>
      <c r="E15" s="822">
        <v>-350</v>
      </c>
      <c r="F15" s="822">
        <v>-1858</v>
      </c>
      <c r="G15" s="822"/>
      <c r="H15" s="822"/>
      <c r="I15" s="822">
        <v>4350</v>
      </c>
      <c r="J15" s="822">
        <v>-1270</v>
      </c>
      <c r="K15" s="822"/>
      <c r="L15" s="822"/>
      <c r="M15" s="918">
        <f t="shared" si="0"/>
        <v>-1868</v>
      </c>
    </row>
    <row r="16" spans="1:13" s="19" customFormat="1" ht="14.1" customHeight="1" x14ac:dyDescent="0.2">
      <c r="A16" s="916"/>
      <c r="B16" s="916">
        <v>13</v>
      </c>
      <c r="C16" s="922" t="s">
        <v>773</v>
      </c>
      <c r="D16" s="822">
        <v>-3590</v>
      </c>
      <c r="E16" s="822">
        <v>-328</v>
      </c>
      <c r="F16" s="822">
        <v>29642</v>
      </c>
      <c r="G16" s="822"/>
      <c r="H16" s="822">
        <v>60</v>
      </c>
      <c r="I16" s="822">
        <v>600</v>
      </c>
      <c r="J16" s="822"/>
      <c r="K16" s="822"/>
      <c r="L16" s="822"/>
      <c r="M16" s="918">
        <f t="shared" si="0"/>
        <v>26384</v>
      </c>
    </row>
    <row r="17" spans="1:13" s="19" customFormat="1" ht="15.6" customHeight="1" x14ac:dyDescent="0.2">
      <c r="A17" s="916"/>
      <c r="B17" s="916">
        <v>14</v>
      </c>
      <c r="C17" s="922" t="s">
        <v>147</v>
      </c>
      <c r="D17" s="822">
        <v>22000</v>
      </c>
      <c r="E17" s="822">
        <v>-20000</v>
      </c>
      <c r="F17" s="822">
        <v>19040</v>
      </c>
      <c r="G17" s="822"/>
      <c r="H17" s="822"/>
      <c r="I17" s="822"/>
      <c r="J17" s="822"/>
      <c r="K17" s="822"/>
      <c r="L17" s="822"/>
      <c r="M17" s="918">
        <f t="shared" si="0"/>
        <v>21040</v>
      </c>
    </row>
    <row r="18" spans="1:13" s="19" customFormat="1" ht="14.45" customHeight="1" x14ac:dyDescent="0.2">
      <c r="A18" s="916"/>
      <c r="B18" s="916">
        <v>15</v>
      </c>
      <c r="C18" s="922" t="s">
        <v>148</v>
      </c>
      <c r="D18" s="822">
        <v>2000</v>
      </c>
      <c r="E18" s="822">
        <v>-2000</v>
      </c>
      <c r="F18" s="822">
        <v>6550</v>
      </c>
      <c r="G18" s="822"/>
      <c r="H18" s="822"/>
      <c r="I18" s="822"/>
      <c r="J18" s="822"/>
      <c r="K18" s="822"/>
      <c r="L18" s="822"/>
      <c r="M18" s="918">
        <f t="shared" si="0"/>
        <v>6550</v>
      </c>
    </row>
    <row r="19" spans="1:13" s="19" customFormat="1" ht="14.45" customHeight="1" x14ac:dyDescent="0.2">
      <c r="A19" s="916"/>
      <c r="B19" s="916">
        <v>16</v>
      </c>
      <c r="C19" s="922" t="s">
        <v>165</v>
      </c>
      <c r="D19" s="822"/>
      <c r="E19" s="822"/>
      <c r="F19" s="822">
        <v>-4000</v>
      </c>
      <c r="G19" s="822"/>
      <c r="H19" s="822"/>
      <c r="I19" s="822">
        <v>7200</v>
      </c>
      <c r="J19" s="822"/>
      <c r="K19" s="822"/>
      <c r="L19" s="822"/>
      <c r="M19" s="918">
        <f t="shared" si="0"/>
        <v>3200</v>
      </c>
    </row>
    <row r="20" spans="1:13" s="19" customFormat="1" ht="15.75" customHeight="1" x14ac:dyDescent="0.2">
      <c r="A20" s="916"/>
      <c r="B20" s="916">
        <v>17</v>
      </c>
      <c r="C20" s="922" t="s">
        <v>168</v>
      </c>
      <c r="D20" s="822">
        <v>-350</v>
      </c>
      <c r="E20" s="822">
        <v>630</v>
      </c>
      <c r="F20" s="822">
        <v>50</v>
      </c>
      <c r="G20" s="822"/>
      <c r="H20" s="822"/>
      <c r="I20" s="822"/>
      <c r="J20" s="822"/>
      <c r="K20" s="822"/>
      <c r="L20" s="822"/>
      <c r="M20" s="918">
        <f t="shared" si="0"/>
        <v>330</v>
      </c>
    </row>
    <row r="21" spans="1:13" s="1" customFormat="1" x14ac:dyDescent="0.2">
      <c r="A21" s="916"/>
      <c r="B21" s="916">
        <v>18</v>
      </c>
      <c r="C21" s="922" t="s">
        <v>774</v>
      </c>
      <c r="D21" s="811">
        <v>1220</v>
      </c>
      <c r="E21" s="811">
        <v>180</v>
      </c>
      <c r="F21" s="811">
        <v>1150</v>
      </c>
      <c r="G21" s="811"/>
      <c r="H21" s="811"/>
      <c r="I21" s="811"/>
      <c r="J21" s="811">
        <v>80</v>
      </c>
      <c r="K21" s="811"/>
      <c r="L21" s="811"/>
      <c r="M21" s="918">
        <f t="shared" si="0"/>
        <v>2630</v>
      </c>
    </row>
    <row r="22" spans="1:13" s="1" customFormat="1" x14ac:dyDescent="0.2">
      <c r="A22" s="924"/>
      <c r="B22" s="924"/>
      <c r="C22" s="925" t="s">
        <v>11</v>
      </c>
      <c r="D22" s="926">
        <f t="shared" ref="D22:M22" si="1">SUM(D4:D21)</f>
        <v>43083</v>
      </c>
      <c r="E22" s="926">
        <f t="shared" si="1"/>
        <v>-18000</v>
      </c>
      <c r="F22" s="926">
        <f t="shared" si="1"/>
        <v>91531</v>
      </c>
      <c r="G22" s="926">
        <f t="shared" si="1"/>
        <v>0</v>
      </c>
      <c r="H22" s="926">
        <f t="shared" si="1"/>
        <v>60</v>
      </c>
      <c r="I22" s="926">
        <f t="shared" si="1"/>
        <v>16574</v>
      </c>
      <c r="J22" s="926">
        <f t="shared" si="1"/>
        <v>4610</v>
      </c>
      <c r="K22" s="926">
        <f t="shared" si="1"/>
        <v>0</v>
      </c>
      <c r="L22" s="926">
        <f t="shared" si="1"/>
        <v>0</v>
      </c>
      <c r="M22" s="926">
        <f t="shared" si="1"/>
        <v>137858</v>
      </c>
    </row>
    <row r="23" spans="1:13" s="1" customFormat="1" x14ac:dyDescent="0.2"/>
    <row r="24" spans="1:13" s="1" customFormat="1" x14ac:dyDescent="0.2"/>
    <row r="25" spans="1:13" s="1" customFormat="1" x14ac:dyDescent="0.2"/>
    <row r="26" spans="1:13" s="1" customFormat="1" x14ac:dyDescent="0.2"/>
    <row r="27" spans="1:13" s="1" customFormat="1" x14ac:dyDescent="0.2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9" orientation="landscape" r:id="rId1"/>
  <headerFooter alignWithMargins="0">
    <oddHeader>&amp;C&amp;"Times New Roman CE,Félkövér dőlt"ZALAEGERSZEG MEGYEI JOGÚ VÁROS ÖNKORMÁNYZATA ÁLTAL IRÁNYÍTOTT KÖLTSÉGVETÉSI SZERVEK 
2025.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10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Toth Anges</cp:lastModifiedBy>
  <cp:lastPrinted>2025-12-04T10:58:07Z</cp:lastPrinted>
  <dcterms:created xsi:type="dcterms:W3CDTF">2002-12-30T13:12:46Z</dcterms:created>
  <dcterms:modified xsi:type="dcterms:W3CDTF">2025-12-04T11:00:59Z</dcterms:modified>
</cp:coreProperties>
</file>