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Marika\2026. július rendkívüli közgyűlés\"/>
    </mc:Choice>
  </mc:AlternateContent>
  <xr:revisionPtr revIDLastSave="0" documentId="13_ncr:1_{F51ECD9D-5769-4CD4-8C04-59DE538DB8C1}" xr6:coauthVersionLast="47" xr6:coauthVersionMax="47" xr10:uidLastSave="{00000000-0000-0000-0000-000000000000}"/>
  <bookViews>
    <workbookView xWindow="-120" yWindow="-120" windowWidth="29040" windowHeight="15840" tabRatio="608" activeTab="11" xr2:uid="{00000000-000D-0000-FFFF-FFFF00000000}"/>
  </bookViews>
  <sheets>
    <sheet name="1" sheetId="135" r:id="rId1"/>
    <sheet name="2" sheetId="223" r:id="rId2"/>
    <sheet name="3" sheetId="220" r:id="rId3"/>
    <sheet name="4" sheetId="107" r:id="rId4"/>
    <sheet name="5" sheetId="62" r:id="rId5"/>
    <sheet name="6" sheetId="219" r:id="rId6"/>
    <sheet name="7" sheetId="63" r:id="rId7"/>
    <sheet name="8" sheetId="215" r:id="rId8"/>
    <sheet name="9" sheetId="232" r:id="rId9"/>
    <sheet name="10" sheetId="231" r:id="rId10"/>
    <sheet name="táj1" sheetId="228" r:id="rId11"/>
    <sheet name="táj2" sheetId="225" r:id="rId12"/>
  </sheets>
  <definedNames>
    <definedName name="_GoBack" localSheetId="1">'2'!#REF!</definedName>
    <definedName name="_xlnm.Print_Titles" localSheetId="9">#REF!</definedName>
    <definedName name="_xlnm.Print_Titles" localSheetId="2">'3'!$1:$2</definedName>
    <definedName name="_xlnm.Print_Titles" localSheetId="5">'6'!$1:$2</definedName>
    <definedName name="_xlnm.Print_Titles" localSheetId="7">'8'!$1:$2</definedName>
    <definedName name="_xlnm.Print_Titles" localSheetId="8">#REF!</definedName>
    <definedName name="_xlnm.Print_Titles" localSheetId="10">táj1!$1:$2</definedName>
    <definedName name="_xlnm.Print_Titles" localSheetId="11">táj2!$1:$2</definedName>
    <definedName name="_xlnm.Print_Titles">#REF!</definedName>
    <definedName name="_xlnm.Print_Area" localSheetId="5">'6'!$A$1:$O$167</definedName>
    <definedName name="_xlnm.Print_Area" localSheetId="7">'8'!$A$1:$Q$581</definedName>
    <definedName name="_xlnm.Print_Area" localSheetId="8">'9'!$A$1:$M$10</definedName>
    <definedName name="_xlnm.Print_Area" localSheetId="10">táj1!$A$1:$O$167</definedName>
    <definedName name="_xlnm.Print_Area" localSheetId="11">táj2!$A$1:$R$581</definedName>
  </definedNames>
  <calcPr calcId="181029"/>
</workbook>
</file>

<file path=xl/calcChain.xml><?xml version="1.0" encoding="utf-8"?>
<calcChain xmlns="http://schemas.openxmlformats.org/spreadsheetml/2006/main">
  <c r="M10" i="232" l="1"/>
  <c r="F10" i="232"/>
  <c r="G10" i="232"/>
  <c r="H10" i="232"/>
  <c r="I10" i="232"/>
  <c r="J10" i="232"/>
  <c r="K10" i="232"/>
  <c r="L10" i="232"/>
  <c r="E10" i="232"/>
  <c r="M6" i="232"/>
  <c r="F37" i="219" l="1"/>
  <c r="G37" i="219"/>
  <c r="H37" i="219"/>
  <c r="I37" i="219"/>
  <c r="J37" i="219"/>
  <c r="K37" i="219"/>
  <c r="L37" i="219"/>
  <c r="M37" i="219"/>
  <c r="N37" i="219"/>
  <c r="E37" i="219"/>
  <c r="O37" i="228"/>
  <c r="H280" i="215"/>
  <c r="I280" i="215"/>
  <c r="J280" i="215"/>
  <c r="K280" i="215"/>
  <c r="L280" i="215"/>
  <c r="M280" i="215"/>
  <c r="N280" i="215"/>
  <c r="O280" i="215"/>
  <c r="P280" i="215"/>
  <c r="G280" i="215"/>
  <c r="H279" i="215"/>
  <c r="I279" i="215"/>
  <c r="J279" i="215"/>
  <c r="K279" i="215"/>
  <c r="Q279" i="215" s="1"/>
  <c r="L279" i="215"/>
  <c r="M279" i="215"/>
  <c r="N279" i="215"/>
  <c r="O279" i="215"/>
  <c r="P279" i="215"/>
  <c r="G279" i="215"/>
  <c r="Q279" i="225"/>
  <c r="Q280" i="225"/>
  <c r="O37" i="219" l="1"/>
  <c r="Q280" i="215"/>
  <c r="G41" i="223"/>
  <c r="G33" i="223"/>
  <c r="G28" i="223"/>
  <c r="G22" i="223"/>
  <c r="G14" i="223"/>
  <c r="G9" i="223"/>
  <c r="W25" i="135"/>
  <c r="R22" i="135"/>
  <c r="R25" i="135" s="1"/>
  <c r="S22" i="135"/>
  <c r="S25" i="135" s="1"/>
  <c r="U22" i="135"/>
  <c r="U25" i="135" s="1"/>
  <c r="V22" i="135"/>
  <c r="V25" i="135" s="1"/>
  <c r="W22" i="135"/>
  <c r="U12" i="135"/>
  <c r="R8" i="135"/>
  <c r="R12" i="135" s="1"/>
  <c r="R26" i="135" s="1"/>
  <c r="R28" i="135" s="1"/>
  <c r="S8" i="135"/>
  <c r="S12" i="135" s="1"/>
  <c r="U8" i="135"/>
  <c r="V8" i="135"/>
  <c r="V12" i="135" s="1"/>
  <c r="W8" i="135"/>
  <c r="W12" i="135" s="1"/>
  <c r="W26" i="135" s="1"/>
  <c r="W28" i="135" s="1"/>
  <c r="T7" i="135"/>
  <c r="I25" i="135"/>
  <c r="D19" i="135"/>
  <c r="D25" i="135" s="1"/>
  <c r="E19" i="135"/>
  <c r="E25" i="135" s="1"/>
  <c r="G19" i="135"/>
  <c r="G25" i="135" s="1"/>
  <c r="H19" i="135"/>
  <c r="H25" i="135" s="1"/>
  <c r="I19" i="135"/>
  <c r="E12" i="135"/>
  <c r="E26" i="135" s="1"/>
  <c r="E28" i="135" s="1"/>
  <c r="G12" i="135"/>
  <c r="D7" i="135"/>
  <c r="D12" i="135" s="1"/>
  <c r="D26" i="135" s="1"/>
  <c r="D28" i="135" s="1"/>
  <c r="E7" i="135"/>
  <c r="G7" i="135"/>
  <c r="H7" i="135"/>
  <c r="H12" i="135" s="1"/>
  <c r="I7" i="135"/>
  <c r="I12" i="135" s="1"/>
  <c r="J59" i="220"/>
  <c r="L577" i="215"/>
  <c r="K573" i="215"/>
  <c r="K571" i="215"/>
  <c r="K570" i="215"/>
  <c r="K569" i="215"/>
  <c r="K566" i="215"/>
  <c r="H26" i="135" l="1"/>
  <c r="H28" i="135" s="1"/>
  <c r="G34" i="223"/>
  <c r="V26" i="135"/>
  <c r="V28" i="135" s="1"/>
  <c r="I26" i="135"/>
  <c r="I28" i="135" s="1"/>
  <c r="U26" i="135"/>
  <c r="U28" i="135" s="1"/>
  <c r="G26" i="135"/>
  <c r="G28" i="135" s="1"/>
  <c r="S26" i="135"/>
  <c r="S28" i="135" s="1"/>
  <c r="G42" i="223"/>
  <c r="I557" i="215" l="1"/>
  <c r="K556" i="215"/>
  <c r="K547" i="215"/>
  <c r="K545" i="215"/>
  <c r="I545" i="215"/>
  <c r="L544" i="215"/>
  <c r="K544" i="215"/>
  <c r="I544" i="215"/>
  <c r="H544" i="215"/>
  <c r="G544" i="215"/>
  <c r="K543" i="215"/>
  <c r="K540" i="215"/>
  <c r="I531" i="215"/>
  <c r="O517" i="215" l="1"/>
  <c r="K513" i="215"/>
  <c r="I508" i="215"/>
  <c r="H508" i="215"/>
  <c r="G508" i="215"/>
  <c r="I504" i="215"/>
  <c r="N502" i="215"/>
  <c r="I502" i="215"/>
  <c r="I464" i="215"/>
  <c r="I459" i="215"/>
  <c r="I457" i="215"/>
  <c r="I456" i="215"/>
  <c r="M392" i="215"/>
  <c r="L450" i="215"/>
  <c r="I450" i="215"/>
  <c r="L449" i="215"/>
  <c r="I444" i="215"/>
  <c r="I438" i="215"/>
  <c r="M430" i="215"/>
  <c r="L430" i="215"/>
  <c r="I430" i="215"/>
  <c r="M429" i="215"/>
  <c r="L429" i="215"/>
  <c r="I429" i="215"/>
  <c r="M427" i="215"/>
  <c r="I427" i="215"/>
  <c r="M426" i="215"/>
  <c r="I426" i="215"/>
  <c r="N425" i="215"/>
  <c r="I425" i="215"/>
  <c r="M415" i="215"/>
  <c r="H406" i="215"/>
  <c r="G406" i="215"/>
  <c r="M396" i="215"/>
  <c r="L396" i="215"/>
  <c r="I396" i="215"/>
  <c r="M395" i="215"/>
  <c r="L392" i="215"/>
  <c r="L388" i="215"/>
  <c r="M384" i="215"/>
  <c r="M382" i="215"/>
  <c r="L379" i="215"/>
  <c r="M378" i="215"/>
  <c r="M377" i="215"/>
  <c r="M361" i="215"/>
  <c r="L356" i="215"/>
  <c r="L352" i="215"/>
  <c r="M344" i="215"/>
  <c r="M342" i="215"/>
  <c r="M339" i="215"/>
  <c r="M330" i="215"/>
  <c r="L330" i="215"/>
  <c r="I330" i="215"/>
  <c r="M329" i="215"/>
  <c r="I329" i="215"/>
  <c r="M328" i="215"/>
  <c r="I328" i="215"/>
  <c r="M318" i="215"/>
  <c r="I318" i="215"/>
  <c r="M314" i="215"/>
  <c r="L314" i="215"/>
  <c r="L310" i="215"/>
  <c r="I310" i="215"/>
  <c r="M309" i="215"/>
  <c r="M298" i="215"/>
  <c r="L298" i="215"/>
  <c r="I287" i="215"/>
  <c r="M285" i="215"/>
  <c r="I285" i="215"/>
  <c r="I273" i="215"/>
  <c r="I271" i="215"/>
  <c r="I260" i="215"/>
  <c r="L258" i="215"/>
  <c r="I258" i="215"/>
  <c r="I257" i="215"/>
  <c r="I254" i="215"/>
  <c r="I227" i="215"/>
  <c r="I223" i="215"/>
  <c r="I222" i="215"/>
  <c r="I220" i="215"/>
  <c r="I219" i="215"/>
  <c r="I217" i="215"/>
  <c r="I206" i="215"/>
  <c r="I204" i="215"/>
  <c r="H204" i="215"/>
  <c r="G204" i="215"/>
  <c r="I200" i="215"/>
  <c r="K134" i="215"/>
  <c r="G134" i="215"/>
  <c r="K132" i="215"/>
  <c r="K123" i="215"/>
  <c r="I115" i="215"/>
  <c r="H115" i="215"/>
  <c r="G115" i="215"/>
  <c r="I82" i="215"/>
  <c r="I60" i="215"/>
  <c r="H60" i="215"/>
  <c r="G60" i="215"/>
  <c r="I59" i="215"/>
  <c r="G59" i="215"/>
  <c r="H58" i="215"/>
  <c r="G58" i="215"/>
  <c r="K37" i="215"/>
  <c r="I37" i="215"/>
  <c r="H37" i="215"/>
  <c r="G37" i="215"/>
  <c r="I34" i="215"/>
  <c r="J33" i="215"/>
  <c r="I33" i="215"/>
  <c r="I32" i="215"/>
  <c r="L16" i="63"/>
  <c r="M16" i="63"/>
  <c r="E16" i="63"/>
  <c r="F16" i="63"/>
  <c r="G16" i="63"/>
  <c r="H16" i="63"/>
  <c r="I16" i="63"/>
  <c r="J16" i="63"/>
  <c r="K16" i="63"/>
  <c r="D16" i="63"/>
  <c r="M14" i="62"/>
  <c r="L14" i="62"/>
  <c r="E14" i="62"/>
  <c r="F14" i="62"/>
  <c r="G14" i="62"/>
  <c r="H14" i="62"/>
  <c r="I14" i="62"/>
  <c r="J14" i="62"/>
  <c r="D14" i="62"/>
  <c r="J163" i="219"/>
  <c r="H137" i="219"/>
  <c r="J158" i="219" l="1"/>
  <c r="H157" i="219"/>
  <c r="E142" i="219"/>
  <c r="E140" i="219"/>
  <c r="E139" i="219"/>
  <c r="M136" i="219"/>
  <c r="L132" i="219"/>
  <c r="H119" i="219"/>
  <c r="H115" i="219"/>
  <c r="H76" i="219"/>
  <c r="E56" i="219"/>
  <c r="F50" i="219"/>
  <c r="E45" i="219"/>
  <c r="E18" i="231"/>
  <c r="D18" i="231"/>
  <c r="C18" i="231"/>
  <c r="B18" i="231"/>
  <c r="K336" i="225" l="1"/>
  <c r="H287" i="215" l="1"/>
  <c r="J287" i="215"/>
  <c r="K287" i="215"/>
  <c r="L287" i="215"/>
  <c r="M287" i="215"/>
  <c r="N287" i="215"/>
  <c r="O287" i="215"/>
  <c r="P287" i="215"/>
  <c r="G287" i="215"/>
  <c r="Q287" i="225"/>
  <c r="Q287" i="215" l="1"/>
  <c r="D41" i="223"/>
  <c r="E41" i="223"/>
  <c r="F41" i="223"/>
  <c r="H41" i="223"/>
  <c r="I41" i="223"/>
  <c r="J41" i="223"/>
  <c r="M41" i="223"/>
  <c r="N41" i="223"/>
  <c r="C41" i="223"/>
  <c r="K37" i="223"/>
  <c r="L37" i="223" s="1"/>
  <c r="H517" i="215" l="1"/>
  <c r="I517" i="215"/>
  <c r="J517" i="215"/>
  <c r="K517" i="215"/>
  <c r="L517" i="215"/>
  <c r="M517" i="215"/>
  <c r="N517" i="215"/>
  <c r="P517" i="215"/>
  <c r="G517" i="215"/>
  <c r="Q517" i="225"/>
  <c r="F132" i="219"/>
  <c r="G132" i="219"/>
  <c r="H132" i="219"/>
  <c r="I132" i="219"/>
  <c r="J132" i="219"/>
  <c r="K132" i="219"/>
  <c r="M132" i="219"/>
  <c r="N132" i="219"/>
  <c r="E132" i="219"/>
  <c r="O132" i="228"/>
  <c r="O132" i="219" l="1"/>
  <c r="Q517" i="215"/>
  <c r="H379" i="215"/>
  <c r="I379" i="215"/>
  <c r="J379" i="215"/>
  <c r="K379" i="215"/>
  <c r="M379" i="215"/>
  <c r="N379" i="215"/>
  <c r="O379" i="215"/>
  <c r="P379" i="215"/>
  <c r="G379" i="215"/>
  <c r="Q379" i="225"/>
  <c r="Q379" i="215" l="1"/>
  <c r="X7" i="135"/>
  <c r="X9" i="135"/>
  <c r="X10" i="135"/>
  <c r="X11" i="135"/>
  <c r="X13" i="135"/>
  <c r="X21" i="135"/>
  <c r="X23" i="135"/>
  <c r="X24" i="135"/>
  <c r="X27" i="135"/>
  <c r="J9" i="135"/>
  <c r="J10" i="135"/>
  <c r="J11" i="135"/>
  <c r="J16" i="135"/>
  <c r="J18" i="135"/>
  <c r="J21" i="135"/>
  <c r="J23" i="135"/>
  <c r="J24" i="135"/>
  <c r="J27" i="135"/>
  <c r="E33" i="223" l="1"/>
  <c r="F33" i="223"/>
  <c r="H33" i="223"/>
  <c r="I33" i="223"/>
  <c r="J33" i="223"/>
  <c r="E28" i="223"/>
  <c r="F28" i="223"/>
  <c r="H28" i="223"/>
  <c r="I28" i="223"/>
  <c r="J28" i="223"/>
  <c r="E22" i="223"/>
  <c r="F22" i="223"/>
  <c r="H22" i="223"/>
  <c r="I22" i="223"/>
  <c r="J22" i="223"/>
  <c r="E14" i="223"/>
  <c r="F14" i="223"/>
  <c r="H14" i="223"/>
  <c r="I14" i="223"/>
  <c r="J14" i="223"/>
  <c r="E9" i="223"/>
  <c r="F9" i="223"/>
  <c r="H9" i="223"/>
  <c r="I9" i="223"/>
  <c r="J9" i="223"/>
  <c r="K5" i="223"/>
  <c r="L5" i="223" s="1"/>
  <c r="K6" i="223"/>
  <c r="L6" i="223" s="1"/>
  <c r="K7" i="223"/>
  <c r="L7" i="223" s="1"/>
  <c r="K8" i="223"/>
  <c r="K10" i="223"/>
  <c r="L10" i="223" s="1"/>
  <c r="K11" i="223"/>
  <c r="L11" i="223" s="1"/>
  <c r="K12" i="223"/>
  <c r="L12" i="223" s="1"/>
  <c r="K13" i="223"/>
  <c r="K15" i="223"/>
  <c r="K16" i="223"/>
  <c r="L16" i="223" s="1"/>
  <c r="K17" i="223"/>
  <c r="L17" i="223" s="1"/>
  <c r="K18" i="223"/>
  <c r="L18" i="223" s="1"/>
  <c r="K19" i="223"/>
  <c r="L19" i="223" s="1"/>
  <c r="K20" i="223"/>
  <c r="L20" i="223" s="1"/>
  <c r="K21" i="223"/>
  <c r="L21" i="223" s="1"/>
  <c r="K23" i="223"/>
  <c r="L23" i="223" s="1"/>
  <c r="K24" i="223"/>
  <c r="L24" i="223" s="1"/>
  <c r="K25" i="223"/>
  <c r="K26" i="223"/>
  <c r="L26" i="223" s="1"/>
  <c r="K27" i="223"/>
  <c r="L27" i="223" s="1"/>
  <c r="K29" i="223"/>
  <c r="L29" i="223" s="1"/>
  <c r="K30" i="223"/>
  <c r="L30" i="223" s="1"/>
  <c r="K31" i="223"/>
  <c r="K32" i="223"/>
  <c r="L32" i="223" s="1"/>
  <c r="K35" i="223"/>
  <c r="L35" i="223" s="1"/>
  <c r="K36" i="223"/>
  <c r="L36" i="223" s="1"/>
  <c r="K38" i="223"/>
  <c r="K39" i="223"/>
  <c r="L39" i="223" s="1"/>
  <c r="K40" i="223"/>
  <c r="L40" i="223" s="1"/>
  <c r="K4" i="223"/>
  <c r="L4" i="223" s="1"/>
  <c r="G51" i="220"/>
  <c r="H59" i="220"/>
  <c r="I59" i="220"/>
  <c r="H547" i="215"/>
  <c r="I547" i="215"/>
  <c r="J547" i="215"/>
  <c r="L547" i="215"/>
  <c r="M547" i="215"/>
  <c r="N547" i="215"/>
  <c r="O547" i="215"/>
  <c r="P547" i="215"/>
  <c r="G547" i="215"/>
  <c r="Q546" i="225"/>
  <c r="Q547" i="225"/>
  <c r="H378" i="215"/>
  <c r="I378" i="215"/>
  <c r="J378" i="215"/>
  <c r="K378" i="215"/>
  <c r="L378" i="215"/>
  <c r="N378" i="215"/>
  <c r="O378" i="215"/>
  <c r="P378" i="215"/>
  <c r="H377" i="215"/>
  <c r="I377" i="215"/>
  <c r="J377" i="215"/>
  <c r="K377" i="215"/>
  <c r="L377" i="215"/>
  <c r="N377" i="215"/>
  <c r="O377" i="215"/>
  <c r="P377" i="215"/>
  <c r="G378" i="215"/>
  <c r="G377" i="215"/>
  <c r="Q377" i="225"/>
  <c r="Q378" i="225"/>
  <c r="L38" i="223" l="1"/>
  <c r="L41" i="223" s="1"/>
  <c r="K41" i="223"/>
  <c r="K28" i="223"/>
  <c r="K14" i="223"/>
  <c r="I34" i="223"/>
  <c r="I42" i="223" s="1"/>
  <c r="H34" i="223"/>
  <c r="H42" i="223" s="1"/>
  <c r="L25" i="223"/>
  <c r="L28" i="223" s="1"/>
  <c r="F34" i="223"/>
  <c r="F42" i="223" s="1"/>
  <c r="J34" i="223"/>
  <c r="J42" i="223" s="1"/>
  <c r="K33" i="223"/>
  <c r="K22" i="223"/>
  <c r="E34" i="223"/>
  <c r="E42" i="223" s="1"/>
  <c r="L31" i="223"/>
  <c r="L33" i="223" s="1"/>
  <c r="L15" i="223"/>
  <c r="L22" i="223" s="1"/>
  <c r="K9" i="223"/>
  <c r="Q547" i="215"/>
  <c r="L13" i="223"/>
  <c r="L14" i="223" s="1"/>
  <c r="L8" i="223"/>
  <c r="L9" i="223" s="1"/>
  <c r="Q378" i="215"/>
  <c r="Q377" i="215"/>
  <c r="F163" i="219"/>
  <c r="G163" i="219"/>
  <c r="H163" i="219"/>
  <c r="I163" i="219"/>
  <c r="K163" i="219"/>
  <c r="L163" i="219"/>
  <c r="M163" i="219"/>
  <c r="N163" i="219"/>
  <c r="E163" i="219"/>
  <c r="F164" i="228"/>
  <c r="G164" i="228"/>
  <c r="H164" i="228"/>
  <c r="I164" i="228"/>
  <c r="J164" i="228"/>
  <c r="K164" i="228"/>
  <c r="L164" i="228"/>
  <c r="M164" i="228"/>
  <c r="N164" i="228"/>
  <c r="E164" i="228"/>
  <c r="O163" i="228"/>
  <c r="F158" i="219"/>
  <c r="G158" i="219"/>
  <c r="H158" i="219"/>
  <c r="I158" i="219"/>
  <c r="K158" i="219"/>
  <c r="L158" i="219"/>
  <c r="M158" i="219"/>
  <c r="N158" i="219"/>
  <c r="E158" i="219"/>
  <c r="F159" i="228"/>
  <c r="G159" i="228"/>
  <c r="H159" i="228"/>
  <c r="I159" i="228"/>
  <c r="J159" i="228"/>
  <c r="K159" i="228"/>
  <c r="L159" i="228"/>
  <c r="M159" i="228"/>
  <c r="N159" i="228"/>
  <c r="E159" i="228"/>
  <c r="O158" i="228"/>
  <c r="F142" i="219"/>
  <c r="G142" i="219"/>
  <c r="H142" i="219"/>
  <c r="I142" i="219"/>
  <c r="J142" i="219"/>
  <c r="K142" i="219"/>
  <c r="L142" i="219"/>
  <c r="M142" i="219"/>
  <c r="N142" i="219"/>
  <c r="O142" i="228"/>
  <c r="F119" i="219"/>
  <c r="G119" i="219"/>
  <c r="I119" i="219"/>
  <c r="J119" i="219"/>
  <c r="K119" i="219"/>
  <c r="L119" i="219"/>
  <c r="M119" i="219"/>
  <c r="N119" i="219"/>
  <c r="E119" i="219"/>
  <c r="O119" i="228"/>
  <c r="F120" i="228"/>
  <c r="G120" i="228"/>
  <c r="H120" i="228"/>
  <c r="I120" i="228"/>
  <c r="J120" i="228"/>
  <c r="K120" i="228"/>
  <c r="L120" i="228"/>
  <c r="M120" i="228"/>
  <c r="N120" i="228"/>
  <c r="E120" i="228"/>
  <c r="F45" i="219"/>
  <c r="G45" i="219"/>
  <c r="H45" i="219"/>
  <c r="I45" i="219"/>
  <c r="J45" i="219"/>
  <c r="K45" i="219"/>
  <c r="L45" i="219"/>
  <c r="M45" i="219"/>
  <c r="N45" i="219"/>
  <c r="O45" i="228"/>
  <c r="P4" i="135"/>
  <c r="K34" i="223" l="1"/>
  <c r="K42" i="223" s="1"/>
  <c r="L34" i="223"/>
  <c r="L42" i="223" s="1"/>
  <c r="O163" i="219"/>
  <c r="O158" i="219"/>
  <c r="O142" i="219"/>
  <c r="O119" i="219"/>
  <c r="O45" i="219"/>
  <c r="B5" i="135"/>
  <c r="I518" i="215" l="1"/>
  <c r="H477" i="215"/>
  <c r="G477" i="215"/>
  <c r="L468" i="215"/>
  <c r="I468" i="215"/>
  <c r="I454" i="215"/>
  <c r="M413" i="215"/>
  <c r="L413" i="215"/>
  <c r="I449" i="215"/>
  <c r="L441" i="215"/>
  <c r="I441" i="215"/>
  <c r="L440" i="215"/>
  <c r="I440" i="215"/>
  <c r="M436" i="215"/>
  <c r="L435" i="215"/>
  <c r="I435" i="215"/>
  <c r="H436" i="215"/>
  <c r="I436" i="215"/>
  <c r="J436" i="215"/>
  <c r="K436" i="215"/>
  <c r="L436" i="215"/>
  <c r="N436" i="215"/>
  <c r="O436" i="215"/>
  <c r="P436" i="215"/>
  <c r="G436" i="215"/>
  <c r="H435" i="215"/>
  <c r="J435" i="215"/>
  <c r="K435" i="215"/>
  <c r="M435" i="215"/>
  <c r="N435" i="215"/>
  <c r="O435" i="215"/>
  <c r="P435" i="215"/>
  <c r="G435" i="215"/>
  <c r="H430" i="215"/>
  <c r="J430" i="215"/>
  <c r="K430" i="215"/>
  <c r="N430" i="215"/>
  <c r="O430" i="215"/>
  <c r="P430" i="215"/>
  <c r="G430" i="215"/>
  <c r="H429" i="215"/>
  <c r="J429" i="215"/>
  <c r="K429" i="215"/>
  <c r="N429" i="215"/>
  <c r="O429" i="215"/>
  <c r="P429" i="215"/>
  <c r="G429" i="215"/>
  <c r="L421" i="215"/>
  <c r="I421" i="215"/>
  <c r="L417" i="215"/>
  <c r="I417" i="215"/>
  <c r="M409" i="215"/>
  <c r="I409" i="215"/>
  <c r="L402" i="215"/>
  <c r="I402" i="215"/>
  <c r="M399" i="215"/>
  <c r="L393" i="215"/>
  <c r="M381" i="215"/>
  <c r="M376" i="215"/>
  <c r="L375" i="215"/>
  <c r="I375" i="215"/>
  <c r="L374" i="215"/>
  <c r="I374" i="215"/>
  <c r="M370" i="215"/>
  <c r="L370" i="215"/>
  <c r="M363" i="215"/>
  <c r="I363" i="215"/>
  <c r="M360" i="215"/>
  <c r="M355" i="215"/>
  <c r="L354" i="215"/>
  <c r="M351" i="215"/>
  <c r="L351" i="215"/>
  <c r="L342" i="215"/>
  <c r="K333" i="215"/>
  <c r="M331" i="215"/>
  <c r="I331" i="215"/>
  <c r="M294" i="215"/>
  <c r="I264" i="215"/>
  <c r="I261" i="215"/>
  <c r="M257" i="215"/>
  <c r="I255" i="215"/>
  <c r="M254" i="215"/>
  <c r="I251" i="215"/>
  <c r="K232" i="215"/>
  <c r="K231" i="215"/>
  <c r="I202" i="215"/>
  <c r="K177" i="215"/>
  <c r="K146" i="215"/>
  <c r="K131" i="215"/>
  <c r="K89" i="215"/>
  <c r="K80" i="215"/>
  <c r="I67" i="215"/>
  <c r="H67" i="215"/>
  <c r="G67" i="215"/>
  <c r="K60" i="215"/>
  <c r="K54" i="215"/>
  <c r="J30" i="215"/>
  <c r="J24" i="215"/>
  <c r="E162" i="219"/>
  <c r="E164" i="219" s="1"/>
  <c r="E141" i="219"/>
  <c r="E137" i="219"/>
  <c r="H135" i="219"/>
  <c r="H131" i="219"/>
  <c r="Q435" i="215" l="1"/>
  <c r="F89" i="219" l="1"/>
  <c r="E89" i="219"/>
  <c r="H84" i="219"/>
  <c r="I84" i="219"/>
  <c r="J84" i="219"/>
  <c r="K84" i="219"/>
  <c r="L84" i="219"/>
  <c r="M84" i="219"/>
  <c r="N84" i="219"/>
  <c r="G84" i="219"/>
  <c r="F84" i="219"/>
  <c r="E84" i="219"/>
  <c r="H83" i="219"/>
  <c r="I83" i="219"/>
  <c r="J83" i="219"/>
  <c r="K83" i="219"/>
  <c r="L83" i="219"/>
  <c r="M83" i="219"/>
  <c r="N83" i="219"/>
  <c r="G83" i="219"/>
  <c r="F83" i="219"/>
  <c r="E83" i="219"/>
  <c r="H79" i="219"/>
  <c r="I79" i="219"/>
  <c r="J79" i="219"/>
  <c r="K79" i="219"/>
  <c r="L79" i="219"/>
  <c r="M79" i="219"/>
  <c r="N79" i="219"/>
  <c r="G79" i="219"/>
  <c r="F79" i="219"/>
  <c r="E79" i="219"/>
  <c r="H78" i="219"/>
  <c r="I78" i="219"/>
  <c r="J78" i="219"/>
  <c r="K78" i="219"/>
  <c r="L78" i="219"/>
  <c r="M78" i="219"/>
  <c r="N78" i="219"/>
  <c r="G78" i="219"/>
  <c r="F78" i="219"/>
  <c r="E78" i="219"/>
  <c r="H75" i="219"/>
  <c r="F71" i="219"/>
  <c r="E71" i="219"/>
  <c r="H53" i="219"/>
  <c r="F53" i="219"/>
  <c r="E53" i="219"/>
  <c r="E44" i="219"/>
  <c r="E20" i="219"/>
  <c r="E14" i="219"/>
  <c r="Q54" i="225" l="1"/>
  <c r="Q436" i="225"/>
  <c r="Q435" i="225"/>
  <c r="Q430" i="225"/>
  <c r="Q429" i="225"/>
  <c r="O84" i="228"/>
  <c r="O83" i="228"/>
  <c r="O79" i="228"/>
  <c r="O78" i="228"/>
  <c r="Q436" i="215" l="1"/>
  <c r="Q430" i="215"/>
  <c r="Q429" i="215"/>
  <c r="O84" i="219"/>
  <c r="O83" i="219"/>
  <c r="O78" i="219"/>
  <c r="O79" i="219"/>
  <c r="B22" i="135" l="1"/>
  <c r="B4" i="135"/>
  <c r="M8" i="135"/>
  <c r="M13" i="135"/>
  <c r="M20" i="135"/>
  <c r="K9" i="135"/>
  <c r="K10" i="135"/>
  <c r="K11" i="135"/>
  <c r="M11" i="135" s="1"/>
  <c r="K16" i="135"/>
  <c r="M16" i="135" s="1"/>
  <c r="K18" i="135"/>
  <c r="K21" i="135"/>
  <c r="K23" i="135"/>
  <c r="K24" i="135"/>
  <c r="M24" i="135" s="1"/>
  <c r="K27" i="135"/>
  <c r="AA13" i="135"/>
  <c r="AA23" i="135"/>
  <c r="N131" i="219"/>
  <c r="M155" i="219"/>
  <c r="E153" i="219"/>
  <c r="E152" i="219"/>
  <c r="E150" i="219"/>
  <c r="G148" i="219"/>
  <c r="G147" i="219"/>
  <c r="G146" i="219"/>
  <c r="G145" i="219"/>
  <c r="G144" i="219"/>
  <c r="N136" i="219"/>
  <c r="L10" i="135" s="1"/>
  <c r="H134" i="219"/>
  <c r="F157" i="219"/>
  <c r="G157" i="219"/>
  <c r="I157" i="219"/>
  <c r="J157" i="219"/>
  <c r="K157" i="219"/>
  <c r="L157" i="219"/>
  <c r="M157" i="219"/>
  <c r="N157" i="219"/>
  <c r="F155" i="219"/>
  <c r="G155" i="219"/>
  <c r="H155" i="219"/>
  <c r="I155" i="219"/>
  <c r="J155" i="219"/>
  <c r="K155" i="219"/>
  <c r="L155" i="219"/>
  <c r="N155" i="219"/>
  <c r="F153" i="219"/>
  <c r="G153" i="219"/>
  <c r="H153" i="219"/>
  <c r="I153" i="219"/>
  <c r="J153" i="219"/>
  <c r="K153" i="219"/>
  <c r="L153" i="219"/>
  <c r="M153" i="219"/>
  <c r="N153" i="219"/>
  <c r="F152" i="219"/>
  <c r="G152" i="219"/>
  <c r="H152" i="219"/>
  <c r="I152" i="219"/>
  <c r="J152" i="219"/>
  <c r="K152" i="219"/>
  <c r="L152" i="219"/>
  <c r="M152" i="219"/>
  <c r="N152" i="219"/>
  <c r="F150" i="219"/>
  <c r="G150" i="219"/>
  <c r="H150" i="219"/>
  <c r="I150" i="219"/>
  <c r="J150" i="219"/>
  <c r="K150" i="219"/>
  <c r="L150" i="219"/>
  <c r="M150" i="219"/>
  <c r="N150" i="219"/>
  <c r="F148" i="219"/>
  <c r="H148" i="219"/>
  <c r="I148" i="219"/>
  <c r="J148" i="219"/>
  <c r="K148" i="219"/>
  <c r="L148" i="219"/>
  <c r="M148" i="219"/>
  <c r="N148" i="219"/>
  <c r="F147" i="219"/>
  <c r="H147" i="219"/>
  <c r="I147" i="219"/>
  <c r="J147" i="219"/>
  <c r="K147" i="219"/>
  <c r="L147" i="219"/>
  <c r="M147" i="219"/>
  <c r="N147" i="219"/>
  <c r="F146" i="219"/>
  <c r="H146" i="219"/>
  <c r="I146" i="219"/>
  <c r="J146" i="219"/>
  <c r="K146" i="219"/>
  <c r="L146" i="219"/>
  <c r="M146" i="219"/>
  <c r="N146" i="219"/>
  <c r="F145" i="219"/>
  <c r="H145" i="219"/>
  <c r="I145" i="219"/>
  <c r="J145" i="219"/>
  <c r="K145" i="219"/>
  <c r="L145" i="219"/>
  <c r="M145" i="219"/>
  <c r="N145" i="219"/>
  <c r="F144" i="219"/>
  <c r="H144" i="219"/>
  <c r="I144" i="219"/>
  <c r="J144" i="219"/>
  <c r="K144" i="219"/>
  <c r="L144" i="219"/>
  <c r="M144" i="219"/>
  <c r="N144" i="219"/>
  <c r="F141" i="219"/>
  <c r="G141" i="219"/>
  <c r="H141" i="219"/>
  <c r="I141" i="219"/>
  <c r="J141" i="219"/>
  <c r="K141" i="219"/>
  <c r="L141" i="219"/>
  <c r="M141" i="219"/>
  <c r="N141" i="219"/>
  <c r="F140" i="219"/>
  <c r="G140" i="219"/>
  <c r="H140" i="219"/>
  <c r="I140" i="219"/>
  <c r="J140" i="219"/>
  <c r="K140" i="219"/>
  <c r="L140" i="219"/>
  <c r="M140" i="219"/>
  <c r="N140" i="219"/>
  <c r="F139" i="219"/>
  <c r="G139" i="219"/>
  <c r="H139" i="219"/>
  <c r="I139" i="219"/>
  <c r="J139" i="219"/>
  <c r="K139" i="219"/>
  <c r="L139" i="219"/>
  <c r="M139" i="219"/>
  <c r="N139" i="219"/>
  <c r="F137" i="219"/>
  <c r="G137" i="219"/>
  <c r="I137" i="219"/>
  <c r="J137" i="219"/>
  <c r="K137" i="219"/>
  <c r="L137" i="219"/>
  <c r="M137" i="219"/>
  <c r="N137" i="219"/>
  <c r="F136" i="219"/>
  <c r="G136" i="219"/>
  <c r="H136" i="219"/>
  <c r="I136" i="219"/>
  <c r="J136" i="219"/>
  <c r="K136" i="219"/>
  <c r="L136" i="219"/>
  <c r="F135" i="219"/>
  <c r="G135" i="219"/>
  <c r="I135" i="219"/>
  <c r="J135" i="219"/>
  <c r="K135" i="219"/>
  <c r="L135" i="219"/>
  <c r="M135" i="219"/>
  <c r="N135" i="219"/>
  <c r="F134" i="219"/>
  <c r="G134" i="219"/>
  <c r="I134" i="219"/>
  <c r="J134" i="219"/>
  <c r="K134" i="219"/>
  <c r="L134" i="219"/>
  <c r="M134" i="219"/>
  <c r="N134" i="219"/>
  <c r="F131" i="219"/>
  <c r="G131" i="219"/>
  <c r="I131" i="219"/>
  <c r="J131" i="219"/>
  <c r="K131" i="219"/>
  <c r="L131" i="219"/>
  <c r="M131" i="219"/>
  <c r="G127" i="219"/>
  <c r="H126" i="219"/>
  <c r="G125" i="219"/>
  <c r="G124" i="219"/>
  <c r="H123" i="219"/>
  <c r="F127" i="219"/>
  <c r="H127" i="219"/>
  <c r="I127" i="219"/>
  <c r="J127" i="219"/>
  <c r="K127" i="219"/>
  <c r="L127" i="219"/>
  <c r="M127" i="219"/>
  <c r="N127" i="219"/>
  <c r="F126" i="219"/>
  <c r="G126" i="219"/>
  <c r="I126" i="219"/>
  <c r="J126" i="219"/>
  <c r="K126" i="219"/>
  <c r="L126" i="219"/>
  <c r="M126" i="219"/>
  <c r="N126" i="219"/>
  <c r="F125" i="219"/>
  <c r="H125" i="219"/>
  <c r="I125" i="219"/>
  <c r="J125" i="219"/>
  <c r="K125" i="219"/>
  <c r="L125" i="219"/>
  <c r="M125" i="219"/>
  <c r="N125" i="219"/>
  <c r="F124" i="219"/>
  <c r="H124" i="219"/>
  <c r="I124" i="219"/>
  <c r="J124" i="219"/>
  <c r="K124" i="219"/>
  <c r="L124" i="219"/>
  <c r="M124" i="219"/>
  <c r="N124" i="219"/>
  <c r="F123" i="219"/>
  <c r="G123" i="219"/>
  <c r="I123" i="219"/>
  <c r="J123" i="219"/>
  <c r="K123" i="219"/>
  <c r="L123" i="219"/>
  <c r="M123" i="219"/>
  <c r="N123" i="219"/>
  <c r="N118" i="219"/>
  <c r="M118" i="219"/>
  <c r="H114" i="219"/>
  <c r="H112" i="219"/>
  <c r="H111" i="219"/>
  <c r="H110" i="219"/>
  <c r="H109" i="219"/>
  <c r="H108" i="219"/>
  <c r="H107" i="219"/>
  <c r="H106" i="219"/>
  <c r="H105" i="219"/>
  <c r="I104" i="219"/>
  <c r="H103" i="219"/>
  <c r="H102" i="219"/>
  <c r="H101" i="219"/>
  <c r="H99" i="219"/>
  <c r="I97" i="219"/>
  <c r="I96" i="219"/>
  <c r="H96" i="219"/>
  <c r="F118" i="219"/>
  <c r="G118" i="219"/>
  <c r="H118" i="219"/>
  <c r="I118" i="219"/>
  <c r="J118" i="219"/>
  <c r="K118" i="219"/>
  <c r="L118" i="219"/>
  <c r="F115" i="219"/>
  <c r="G115" i="219"/>
  <c r="I115" i="219"/>
  <c r="J115" i="219"/>
  <c r="K115" i="219"/>
  <c r="L115" i="219"/>
  <c r="M115" i="219"/>
  <c r="N115" i="219"/>
  <c r="F114" i="219"/>
  <c r="G114" i="219"/>
  <c r="I114" i="219"/>
  <c r="J114" i="219"/>
  <c r="K114" i="219"/>
  <c r="L114" i="219"/>
  <c r="M114" i="219"/>
  <c r="N114" i="219"/>
  <c r="F112" i="219"/>
  <c r="G112" i="219"/>
  <c r="I112" i="219"/>
  <c r="J112" i="219"/>
  <c r="K112" i="219"/>
  <c r="L112" i="219"/>
  <c r="M112" i="219"/>
  <c r="N112" i="219"/>
  <c r="F111" i="219"/>
  <c r="G111" i="219"/>
  <c r="I111" i="219"/>
  <c r="J111" i="219"/>
  <c r="K111" i="219"/>
  <c r="L111" i="219"/>
  <c r="M111" i="219"/>
  <c r="N111" i="219"/>
  <c r="F110" i="219"/>
  <c r="G110" i="219"/>
  <c r="I110" i="219"/>
  <c r="J110" i="219"/>
  <c r="K110" i="219"/>
  <c r="L110" i="219"/>
  <c r="M110" i="219"/>
  <c r="N110" i="219"/>
  <c r="F109" i="219"/>
  <c r="G109" i="219"/>
  <c r="I109" i="219"/>
  <c r="J109" i="219"/>
  <c r="K109" i="219"/>
  <c r="L109" i="219"/>
  <c r="M109" i="219"/>
  <c r="N109" i="219"/>
  <c r="F108" i="219"/>
  <c r="G108" i="219"/>
  <c r="I108" i="219"/>
  <c r="J108" i="219"/>
  <c r="K108" i="219"/>
  <c r="L108" i="219"/>
  <c r="M108" i="219"/>
  <c r="N108" i="219"/>
  <c r="F107" i="219"/>
  <c r="G107" i="219"/>
  <c r="I107" i="219"/>
  <c r="J107" i="219"/>
  <c r="K107" i="219"/>
  <c r="L107" i="219"/>
  <c r="M107" i="219"/>
  <c r="N107" i="219"/>
  <c r="F106" i="219"/>
  <c r="G106" i="219"/>
  <c r="I106" i="219"/>
  <c r="J106" i="219"/>
  <c r="K106" i="219"/>
  <c r="L106" i="219"/>
  <c r="M106" i="219"/>
  <c r="N106" i="219"/>
  <c r="F105" i="219"/>
  <c r="G105" i="219"/>
  <c r="I105" i="219"/>
  <c r="J105" i="219"/>
  <c r="K105" i="219"/>
  <c r="L105" i="219"/>
  <c r="M105" i="219"/>
  <c r="N105" i="219"/>
  <c r="F104" i="219"/>
  <c r="G104" i="219"/>
  <c r="H104" i="219"/>
  <c r="J104" i="219"/>
  <c r="K104" i="219"/>
  <c r="L104" i="219"/>
  <c r="M104" i="219"/>
  <c r="N104" i="219"/>
  <c r="F103" i="219"/>
  <c r="G103" i="219"/>
  <c r="I103" i="219"/>
  <c r="J103" i="219"/>
  <c r="K103" i="219"/>
  <c r="L103" i="219"/>
  <c r="M103" i="219"/>
  <c r="N103" i="219"/>
  <c r="F102" i="219"/>
  <c r="G102" i="219"/>
  <c r="I102" i="219"/>
  <c r="J102" i="219"/>
  <c r="K102" i="219"/>
  <c r="L102" i="219"/>
  <c r="M102" i="219"/>
  <c r="N102" i="219"/>
  <c r="F101" i="219"/>
  <c r="G101" i="219"/>
  <c r="I101" i="219"/>
  <c r="J101" i="219"/>
  <c r="K101" i="219"/>
  <c r="L101" i="219"/>
  <c r="M101" i="219"/>
  <c r="N101" i="219"/>
  <c r="F99" i="219"/>
  <c r="G99" i="219"/>
  <c r="I99" i="219"/>
  <c r="J99" i="219"/>
  <c r="K99" i="219"/>
  <c r="L99" i="219"/>
  <c r="M99" i="219"/>
  <c r="N99" i="219"/>
  <c r="F97" i="219"/>
  <c r="G97" i="219"/>
  <c r="H97" i="219"/>
  <c r="J97" i="219"/>
  <c r="K97" i="219"/>
  <c r="L97" i="219"/>
  <c r="M97" i="219"/>
  <c r="N97" i="219"/>
  <c r="F96" i="219"/>
  <c r="G96" i="219"/>
  <c r="J96" i="219"/>
  <c r="K96" i="219"/>
  <c r="L96" i="219"/>
  <c r="M96" i="219"/>
  <c r="N96" i="219"/>
  <c r="F92" i="219"/>
  <c r="E92" i="219"/>
  <c r="M91" i="219"/>
  <c r="M90" i="219"/>
  <c r="F90" i="219"/>
  <c r="M89" i="219"/>
  <c r="M88" i="219"/>
  <c r="M87" i="219"/>
  <c r="M86" i="219"/>
  <c r="H86" i="219"/>
  <c r="M85" i="219"/>
  <c r="M81" i="219"/>
  <c r="M80" i="219"/>
  <c r="N76" i="219"/>
  <c r="M76" i="219"/>
  <c r="N75" i="219"/>
  <c r="M75" i="219"/>
  <c r="M74" i="219"/>
  <c r="F72" i="219"/>
  <c r="E72" i="219"/>
  <c r="F70" i="219"/>
  <c r="E70" i="219"/>
  <c r="F69" i="219"/>
  <c r="E69" i="219"/>
  <c r="F68" i="219"/>
  <c r="E68" i="219"/>
  <c r="F67" i="219"/>
  <c r="E67" i="219"/>
  <c r="F66" i="219"/>
  <c r="E66" i="219"/>
  <c r="F65" i="219"/>
  <c r="E65" i="219"/>
  <c r="M64" i="219"/>
  <c r="H64" i="219"/>
  <c r="F64" i="219"/>
  <c r="E64" i="219"/>
  <c r="F63" i="219"/>
  <c r="E63" i="219"/>
  <c r="F62" i="219"/>
  <c r="E62" i="219"/>
  <c r="M61" i="219"/>
  <c r="F61" i="219"/>
  <c r="E61" i="219"/>
  <c r="F60" i="219"/>
  <c r="E60" i="219"/>
  <c r="M59" i="219"/>
  <c r="F59" i="219"/>
  <c r="E59" i="219"/>
  <c r="M58" i="219"/>
  <c r="F58" i="219"/>
  <c r="E58" i="219"/>
  <c r="F57" i="219"/>
  <c r="E57" i="219"/>
  <c r="M56" i="219"/>
  <c r="M55" i="219"/>
  <c r="E55" i="219"/>
  <c r="M54" i="219"/>
  <c r="M49" i="219"/>
  <c r="H49" i="219"/>
  <c r="M48" i="219"/>
  <c r="H48" i="219"/>
  <c r="M47" i="219"/>
  <c r="H47" i="219"/>
  <c r="G92" i="219"/>
  <c r="H92" i="219"/>
  <c r="I92" i="219"/>
  <c r="J92" i="219"/>
  <c r="K92" i="219"/>
  <c r="L92" i="219"/>
  <c r="M92" i="219"/>
  <c r="N92" i="219"/>
  <c r="F91" i="219"/>
  <c r="G91" i="219"/>
  <c r="H91" i="219"/>
  <c r="I91" i="219"/>
  <c r="J91" i="219"/>
  <c r="K91" i="219"/>
  <c r="L91" i="219"/>
  <c r="N91" i="219"/>
  <c r="G90" i="219"/>
  <c r="H90" i="219"/>
  <c r="I90" i="219"/>
  <c r="J90" i="219"/>
  <c r="K90" i="219"/>
  <c r="L90" i="219"/>
  <c r="N90" i="219"/>
  <c r="G89" i="219"/>
  <c r="H89" i="219"/>
  <c r="I89" i="219"/>
  <c r="J89" i="219"/>
  <c r="K89" i="219"/>
  <c r="L89" i="219"/>
  <c r="N89" i="219"/>
  <c r="F88" i="219"/>
  <c r="G88" i="219"/>
  <c r="H88" i="219"/>
  <c r="I88" i="219"/>
  <c r="J88" i="219"/>
  <c r="K88" i="219"/>
  <c r="L88" i="219"/>
  <c r="N88" i="219"/>
  <c r="F87" i="219"/>
  <c r="G87" i="219"/>
  <c r="H87" i="219"/>
  <c r="I87" i="219"/>
  <c r="J87" i="219"/>
  <c r="K87" i="219"/>
  <c r="L87" i="219"/>
  <c r="N87" i="219"/>
  <c r="F86" i="219"/>
  <c r="G86" i="219"/>
  <c r="I86" i="219"/>
  <c r="J86" i="219"/>
  <c r="K86" i="219"/>
  <c r="L86" i="219"/>
  <c r="N86" i="219"/>
  <c r="F85" i="219"/>
  <c r="G85" i="219"/>
  <c r="H85" i="219"/>
  <c r="I85" i="219"/>
  <c r="J85" i="219"/>
  <c r="K85" i="219"/>
  <c r="L85" i="219"/>
  <c r="N85" i="219"/>
  <c r="F81" i="219"/>
  <c r="G81" i="219"/>
  <c r="H81" i="219"/>
  <c r="I81" i="219"/>
  <c r="J81" i="219"/>
  <c r="K81" i="219"/>
  <c r="L81" i="219"/>
  <c r="N81" i="219"/>
  <c r="F80" i="219"/>
  <c r="G80" i="219"/>
  <c r="H80" i="219"/>
  <c r="I80" i="219"/>
  <c r="J80" i="219"/>
  <c r="K80" i="219"/>
  <c r="L80" i="219"/>
  <c r="N80" i="219"/>
  <c r="F76" i="219"/>
  <c r="G76" i="219"/>
  <c r="I76" i="219"/>
  <c r="J76" i="219"/>
  <c r="K76" i="219"/>
  <c r="L76" i="219"/>
  <c r="F75" i="219"/>
  <c r="G75" i="219"/>
  <c r="I75" i="219"/>
  <c r="J75" i="219"/>
  <c r="K75" i="219"/>
  <c r="L75" i="219"/>
  <c r="F74" i="219"/>
  <c r="G74" i="219"/>
  <c r="H74" i="219"/>
  <c r="I74" i="219"/>
  <c r="J74" i="219"/>
  <c r="K74" i="219"/>
  <c r="L74" i="219"/>
  <c r="N74" i="219"/>
  <c r="G72" i="219"/>
  <c r="H72" i="219"/>
  <c r="I72" i="219"/>
  <c r="J72" i="219"/>
  <c r="K72" i="219"/>
  <c r="L72" i="219"/>
  <c r="M72" i="219"/>
  <c r="N72" i="219"/>
  <c r="N71" i="219"/>
  <c r="G71" i="219"/>
  <c r="H71" i="219"/>
  <c r="I71" i="219"/>
  <c r="J71" i="219"/>
  <c r="K71" i="219"/>
  <c r="L71" i="219"/>
  <c r="M71" i="219"/>
  <c r="G70" i="219"/>
  <c r="H70" i="219"/>
  <c r="I70" i="219"/>
  <c r="J70" i="219"/>
  <c r="K70" i="219"/>
  <c r="L70" i="219"/>
  <c r="M70" i="219"/>
  <c r="N70" i="219"/>
  <c r="G69" i="219"/>
  <c r="H69" i="219"/>
  <c r="I69" i="219"/>
  <c r="J69" i="219"/>
  <c r="K69" i="219"/>
  <c r="L69" i="219"/>
  <c r="M69" i="219"/>
  <c r="N69" i="219"/>
  <c r="G68" i="219"/>
  <c r="H68" i="219"/>
  <c r="I68" i="219"/>
  <c r="J68" i="219"/>
  <c r="K68" i="219"/>
  <c r="L68" i="219"/>
  <c r="M68" i="219"/>
  <c r="N68" i="219"/>
  <c r="G67" i="219"/>
  <c r="H67" i="219"/>
  <c r="I67" i="219"/>
  <c r="J67" i="219"/>
  <c r="K67" i="219"/>
  <c r="L67" i="219"/>
  <c r="M67" i="219"/>
  <c r="N67" i="219"/>
  <c r="G66" i="219"/>
  <c r="H66" i="219"/>
  <c r="I66" i="219"/>
  <c r="J66" i="219"/>
  <c r="K66" i="219"/>
  <c r="L66" i="219"/>
  <c r="M66" i="219"/>
  <c r="N66" i="219"/>
  <c r="G65" i="219"/>
  <c r="H65" i="219"/>
  <c r="I65" i="219"/>
  <c r="J65" i="219"/>
  <c r="K65" i="219"/>
  <c r="L65" i="219"/>
  <c r="M65" i="219"/>
  <c r="N65" i="219"/>
  <c r="G64" i="219"/>
  <c r="I64" i="219"/>
  <c r="J64" i="219"/>
  <c r="K64" i="219"/>
  <c r="L64" i="219"/>
  <c r="N64" i="219"/>
  <c r="G63" i="219"/>
  <c r="H63" i="219"/>
  <c r="I63" i="219"/>
  <c r="J63" i="219"/>
  <c r="K63" i="219"/>
  <c r="L63" i="219"/>
  <c r="M63" i="219"/>
  <c r="N63" i="219"/>
  <c r="G62" i="219"/>
  <c r="H62" i="219"/>
  <c r="I62" i="219"/>
  <c r="J62" i="219"/>
  <c r="K62" i="219"/>
  <c r="L62" i="219"/>
  <c r="M62" i="219"/>
  <c r="N62" i="219"/>
  <c r="G61" i="219"/>
  <c r="H61" i="219"/>
  <c r="I61" i="219"/>
  <c r="J61" i="219"/>
  <c r="K61" i="219"/>
  <c r="L61" i="219"/>
  <c r="N61" i="219"/>
  <c r="G60" i="219"/>
  <c r="H60" i="219"/>
  <c r="I60" i="219"/>
  <c r="J60" i="219"/>
  <c r="K60" i="219"/>
  <c r="L60" i="219"/>
  <c r="M60" i="219"/>
  <c r="N60" i="219"/>
  <c r="G59" i="219"/>
  <c r="H59" i="219"/>
  <c r="I59" i="219"/>
  <c r="J59" i="219"/>
  <c r="K59" i="219"/>
  <c r="L59" i="219"/>
  <c r="N59" i="219"/>
  <c r="G58" i="219"/>
  <c r="H58" i="219"/>
  <c r="I58" i="219"/>
  <c r="J58" i="219"/>
  <c r="K58" i="219"/>
  <c r="L58" i="219"/>
  <c r="N58" i="219"/>
  <c r="G57" i="219"/>
  <c r="H57" i="219"/>
  <c r="I57" i="219"/>
  <c r="J57" i="219"/>
  <c r="K57" i="219"/>
  <c r="L57" i="219"/>
  <c r="M57" i="219"/>
  <c r="N57" i="219"/>
  <c r="F56" i="219"/>
  <c r="G56" i="219"/>
  <c r="H56" i="219"/>
  <c r="I56" i="219"/>
  <c r="J56" i="219"/>
  <c r="K56" i="219"/>
  <c r="L56" i="219"/>
  <c r="N56" i="219"/>
  <c r="F55" i="219"/>
  <c r="G55" i="219"/>
  <c r="H55" i="219"/>
  <c r="I55" i="219"/>
  <c r="J55" i="219"/>
  <c r="K55" i="219"/>
  <c r="L55" i="219"/>
  <c r="N55" i="219"/>
  <c r="F54" i="219"/>
  <c r="G54" i="219"/>
  <c r="H54" i="219"/>
  <c r="I54" i="219"/>
  <c r="J54" i="219"/>
  <c r="K54" i="219"/>
  <c r="L54" i="219"/>
  <c r="N54" i="219"/>
  <c r="G53" i="219"/>
  <c r="I53" i="219"/>
  <c r="J53" i="219"/>
  <c r="K53" i="219"/>
  <c r="L53" i="219"/>
  <c r="M53" i="219"/>
  <c r="N53" i="219"/>
  <c r="G50" i="219"/>
  <c r="H50" i="219"/>
  <c r="I50" i="219"/>
  <c r="J50" i="219"/>
  <c r="K50" i="219"/>
  <c r="L50" i="219"/>
  <c r="M50" i="219"/>
  <c r="N50" i="219"/>
  <c r="F49" i="219"/>
  <c r="G49" i="219"/>
  <c r="I49" i="219"/>
  <c r="J49" i="219"/>
  <c r="K49" i="219"/>
  <c r="L49" i="219"/>
  <c r="N49" i="219"/>
  <c r="F48" i="219"/>
  <c r="G48" i="219"/>
  <c r="I48" i="219"/>
  <c r="J48" i="219"/>
  <c r="K48" i="219"/>
  <c r="L48" i="219"/>
  <c r="N48" i="219"/>
  <c r="F47" i="219"/>
  <c r="G47" i="219"/>
  <c r="I47" i="219"/>
  <c r="J47" i="219"/>
  <c r="K47" i="219"/>
  <c r="L47" i="219"/>
  <c r="N47" i="219"/>
  <c r="F44" i="219"/>
  <c r="G44" i="219"/>
  <c r="H44" i="219"/>
  <c r="I44" i="219"/>
  <c r="J44" i="219"/>
  <c r="K44" i="219"/>
  <c r="L44" i="219"/>
  <c r="M44" i="219"/>
  <c r="N44" i="219"/>
  <c r="H40" i="219"/>
  <c r="H38" i="219"/>
  <c r="H35" i="219"/>
  <c r="M33" i="219"/>
  <c r="H32" i="219"/>
  <c r="H31" i="219"/>
  <c r="H29" i="219"/>
  <c r="H28" i="219"/>
  <c r="F40" i="219"/>
  <c r="G40" i="219"/>
  <c r="I40" i="219"/>
  <c r="J40" i="219"/>
  <c r="K40" i="219"/>
  <c r="L40" i="219"/>
  <c r="M40" i="219"/>
  <c r="N40" i="219"/>
  <c r="F38" i="219"/>
  <c r="G38" i="219"/>
  <c r="I38" i="219"/>
  <c r="J38" i="219"/>
  <c r="K38" i="219"/>
  <c r="L38" i="219"/>
  <c r="M38" i="219"/>
  <c r="N38" i="219"/>
  <c r="F35" i="219"/>
  <c r="G35" i="219"/>
  <c r="I35" i="219"/>
  <c r="J35" i="219"/>
  <c r="K35" i="219"/>
  <c r="L35" i="219"/>
  <c r="M35" i="219"/>
  <c r="N35" i="219"/>
  <c r="F33" i="219"/>
  <c r="G33" i="219"/>
  <c r="H33" i="219"/>
  <c r="I33" i="219"/>
  <c r="J33" i="219"/>
  <c r="K33" i="219"/>
  <c r="L33" i="219"/>
  <c r="N33" i="219"/>
  <c r="F32" i="219"/>
  <c r="G32" i="219"/>
  <c r="I32" i="219"/>
  <c r="J32" i="219"/>
  <c r="K32" i="219"/>
  <c r="L32" i="219"/>
  <c r="M32" i="219"/>
  <c r="N32" i="219"/>
  <c r="F31" i="219"/>
  <c r="G31" i="219"/>
  <c r="I31" i="219"/>
  <c r="J31" i="219"/>
  <c r="K31" i="219"/>
  <c r="L31" i="219"/>
  <c r="M31" i="219"/>
  <c r="N31" i="219"/>
  <c r="F29" i="219"/>
  <c r="G29" i="219"/>
  <c r="I29" i="219"/>
  <c r="J29" i="219"/>
  <c r="K29" i="219"/>
  <c r="L29" i="219"/>
  <c r="M29" i="219"/>
  <c r="N29" i="219"/>
  <c r="F28" i="219"/>
  <c r="G28" i="219"/>
  <c r="I28" i="219"/>
  <c r="J28" i="219"/>
  <c r="K28" i="219"/>
  <c r="L28" i="219"/>
  <c r="M28" i="219"/>
  <c r="N28" i="219"/>
  <c r="H24" i="219"/>
  <c r="H25" i="219" s="1"/>
  <c r="F24" i="219"/>
  <c r="F25" i="219" s="1"/>
  <c r="G24" i="219"/>
  <c r="G25" i="219" s="1"/>
  <c r="I24" i="219"/>
  <c r="I25" i="219" s="1"/>
  <c r="J24" i="219"/>
  <c r="J25" i="219" s="1"/>
  <c r="K24" i="219"/>
  <c r="K25" i="219" s="1"/>
  <c r="L24" i="219"/>
  <c r="L25" i="219" s="1"/>
  <c r="M24" i="219"/>
  <c r="M25" i="219" s="1"/>
  <c r="N24" i="219"/>
  <c r="N25" i="219" s="1"/>
  <c r="E18" i="219"/>
  <c r="M4" i="223" s="1"/>
  <c r="N4" i="223" s="1"/>
  <c r="H16" i="219"/>
  <c r="F20" i="219"/>
  <c r="G20" i="219"/>
  <c r="H20" i="219"/>
  <c r="I20" i="219"/>
  <c r="J20" i="219"/>
  <c r="K20" i="219"/>
  <c r="L20" i="219"/>
  <c r="M20" i="219"/>
  <c r="N20" i="219"/>
  <c r="F18" i="219"/>
  <c r="G18" i="219"/>
  <c r="H18" i="219"/>
  <c r="I18" i="219"/>
  <c r="J18" i="219"/>
  <c r="K18" i="219"/>
  <c r="L18" i="219"/>
  <c r="M18" i="219"/>
  <c r="N18" i="219"/>
  <c r="F16" i="219"/>
  <c r="G16" i="219"/>
  <c r="I16" i="219"/>
  <c r="J16" i="219"/>
  <c r="K16" i="219"/>
  <c r="L16" i="219"/>
  <c r="M16" i="219"/>
  <c r="N16" i="219"/>
  <c r="E16" i="219"/>
  <c r="E24" i="219"/>
  <c r="E25" i="219" s="1"/>
  <c r="E28" i="219"/>
  <c r="E29" i="219"/>
  <c r="E31" i="219"/>
  <c r="E32" i="219"/>
  <c r="E33" i="219"/>
  <c r="E35" i="219"/>
  <c r="E38" i="219"/>
  <c r="E40" i="219"/>
  <c r="E47" i="219"/>
  <c r="E48" i="219"/>
  <c r="E49" i="219"/>
  <c r="E50" i="219"/>
  <c r="E54" i="219"/>
  <c r="E74" i="219"/>
  <c r="E75" i="219"/>
  <c r="E76" i="219"/>
  <c r="E80" i="219"/>
  <c r="E81" i="219"/>
  <c r="E85" i="219"/>
  <c r="E86" i="219"/>
  <c r="E87" i="219"/>
  <c r="E88" i="219"/>
  <c r="E90" i="219"/>
  <c r="E91" i="219"/>
  <c r="E96" i="219"/>
  <c r="E97" i="219"/>
  <c r="E99" i="219"/>
  <c r="E101" i="219"/>
  <c r="E102" i="219"/>
  <c r="E103" i="219"/>
  <c r="E104" i="219"/>
  <c r="E105" i="219"/>
  <c r="E106" i="219"/>
  <c r="E107" i="219"/>
  <c r="E108" i="219"/>
  <c r="E109" i="219"/>
  <c r="E110" i="219"/>
  <c r="E111" i="219"/>
  <c r="E112" i="219"/>
  <c r="E114" i="219"/>
  <c r="E115" i="219"/>
  <c r="E118" i="219"/>
  <c r="E123" i="219"/>
  <c r="E124" i="219"/>
  <c r="E125" i="219"/>
  <c r="E126" i="219"/>
  <c r="E127" i="219"/>
  <c r="E131" i="219"/>
  <c r="E134" i="219"/>
  <c r="E135" i="219"/>
  <c r="E136" i="219"/>
  <c r="E144" i="219"/>
  <c r="E145" i="219"/>
  <c r="E146" i="219"/>
  <c r="E147" i="219"/>
  <c r="E148" i="219"/>
  <c r="E155" i="219"/>
  <c r="E157" i="219"/>
  <c r="F14" i="219"/>
  <c r="G14" i="219"/>
  <c r="H14" i="219"/>
  <c r="I14" i="219"/>
  <c r="J14" i="219"/>
  <c r="K14" i="219"/>
  <c r="L14" i="219"/>
  <c r="M14" i="219"/>
  <c r="N14" i="219"/>
  <c r="J10" i="219"/>
  <c r="G8" i="219"/>
  <c r="H7" i="219"/>
  <c r="F10" i="219"/>
  <c r="G10" i="219"/>
  <c r="H10" i="219"/>
  <c r="I10" i="219"/>
  <c r="K10" i="219"/>
  <c r="L10" i="219"/>
  <c r="M10" i="219"/>
  <c r="N10" i="219"/>
  <c r="F8" i="219"/>
  <c r="H8" i="219"/>
  <c r="I8" i="219"/>
  <c r="J8" i="219"/>
  <c r="K8" i="219"/>
  <c r="L8" i="219"/>
  <c r="M8" i="219"/>
  <c r="N8" i="219"/>
  <c r="E8" i="219"/>
  <c r="E10" i="219"/>
  <c r="F7" i="219"/>
  <c r="G7" i="219"/>
  <c r="I7" i="219"/>
  <c r="J7" i="219"/>
  <c r="K7" i="219"/>
  <c r="L7" i="219"/>
  <c r="M7" i="219"/>
  <c r="N7" i="219"/>
  <c r="E7" i="219"/>
  <c r="I162" i="219"/>
  <c r="I164" i="219" s="1"/>
  <c r="O160" i="228"/>
  <c r="O157" i="228"/>
  <c r="O155" i="228"/>
  <c r="O153" i="228"/>
  <c r="O152" i="228"/>
  <c r="O150" i="228"/>
  <c r="O148" i="228"/>
  <c r="O147" i="228"/>
  <c r="O146" i="228"/>
  <c r="O145" i="228"/>
  <c r="O144" i="228"/>
  <c r="O141" i="228"/>
  <c r="O140" i="228"/>
  <c r="O139" i="228"/>
  <c r="O137" i="228"/>
  <c r="O136" i="228"/>
  <c r="O135" i="228"/>
  <c r="O134" i="228"/>
  <c r="M128" i="228"/>
  <c r="G128" i="228"/>
  <c r="O127" i="228"/>
  <c r="K128" i="228"/>
  <c r="E128" i="228"/>
  <c r="J128" i="228"/>
  <c r="O125" i="228"/>
  <c r="O124" i="228"/>
  <c r="N128" i="228"/>
  <c r="L128" i="228"/>
  <c r="I128" i="228"/>
  <c r="H128" i="228"/>
  <c r="F128" i="228"/>
  <c r="O123" i="228"/>
  <c r="O118" i="228"/>
  <c r="O115" i="228"/>
  <c r="O114" i="228"/>
  <c r="O112" i="228"/>
  <c r="O111" i="228"/>
  <c r="O110" i="228"/>
  <c r="O109" i="228"/>
  <c r="O108" i="228"/>
  <c r="O107" i="228"/>
  <c r="O106" i="228"/>
  <c r="O105" i="228"/>
  <c r="O104" i="228"/>
  <c r="O103" i="228"/>
  <c r="O102" i="228"/>
  <c r="O101" i="228"/>
  <c r="O99" i="228"/>
  <c r="O97" i="228"/>
  <c r="O96" i="228"/>
  <c r="O92" i="228"/>
  <c r="O91" i="228"/>
  <c r="O90" i="228"/>
  <c r="O89" i="228"/>
  <c r="O88" i="228"/>
  <c r="O87" i="228"/>
  <c r="O86" i="228"/>
  <c r="O85" i="228"/>
  <c r="O81" i="228"/>
  <c r="O80" i="228"/>
  <c r="O76" i="228"/>
  <c r="O75" i="228"/>
  <c r="O74" i="228"/>
  <c r="O72" i="228"/>
  <c r="O71" i="228"/>
  <c r="O70" i="228"/>
  <c r="O69" i="228"/>
  <c r="O68" i="228"/>
  <c r="O67" i="228"/>
  <c r="O66" i="228"/>
  <c r="O65" i="228"/>
  <c r="O64" i="228"/>
  <c r="O63" i="228"/>
  <c r="O62" i="228"/>
  <c r="O61" i="228"/>
  <c r="O60" i="228"/>
  <c r="O59" i="228"/>
  <c r="O58" i="228"/>
  <c r="O57" i="228"/>
  <c r="O56" i="228"/>
  <c r="O55" i="228"/>
  <c r="O54" i="228"/>
  <c r="O53" i="228"/>
  <c r="O50" i="228"/>
  <c r="L93" i="228"/>
  <c r="O49" i="228"/>
  <c r="O48" i="228"/>
  <c r="J93" i="228"/>
  <c r="O47" i="228"/>
  <c r="N93" i="228"/>
  <c r="M93" i="228"/>
  <c r="K93" i="228"/>
  <c r="I93" i="228"/>
  <c r="H93" i="228"/>
  <c r="G93" i="228"/>
  <c r="E93" i="228"/>
  <c r="O40" i="228"/>
  <c r="O38" i="228"/>
  <c r="O35" i="228"/>
  <c r="O33" i="228"/>
  <c r="O32" i="228"/>
  <c r="N41" i="228"/>
  <c r="H41" i="228"/>
  <c r="O31" i="228"/>
  <c r="O29" i="228"/>
  <c r="M41" i="228"/>
  <c r="L41" i="228"/>
  <c r="K41" i="228"/>
  <c r="J41" i="228"/>
  <c r="I41" i="228"/>
  <c r="G41" i="228"/>
  <c r="O28" i="228"/>
  <c r="E41" i="228"/>
  <c r="M25" i="228"/>
  <c r="K25" i="228"/>
  <c r="I25" i="228"/>
  <c r="G25" i="228"/>
  <c r="E25" i="228"/>
  <c r="N25" i="228"/>
  <c r="L25" i="228"/>
  <c r="J25" i="228"/>
  <c r="H25" i="228"/>
  <c r="F25" i="228"/>
  <c r="O24" i="228"/>
  <c r="O25" i="228" s="1"/>
  <c r="M21" i="228"/>
  <c r="G21" i="228"/>
  <c r="O20" i="228"/>
  <c r="O18" i="228"/>
  <c r="O16" i="228"/>
  <c r="N21" i="228"/>
  <c r="L21" i="228"/>
  <c r="K21" i="228"/>
  <c r="J21" i="228"/>
  <c r="I21" i="228"/>
  <c r="H21" i="228"/>
  <c r="F21" i="228"/>
  <c r="E21" i="228"/>
  <c r="N11" i="228"/>
  <c r="J11" i="228"/>
  <c r="H11" i="228"/>
  <c r="O10" i="228"/>
  <c r="L11" i="228"/>
  <c r="F11" i="228"/>
  <c r="O8" i="228"/>
  <c r="M11" i="228"/>
  <c r="K11" i="228"/>
  <c r="I11" i="228"/>
  <c r="G11" i="228"/>
  <c r="O7" i="228"/>
  <c r="Y7" i="135"/>
  <c r="Y9" i="135"/>
  <c r="Y10" i="135"/>
  <c r="AA10" i="135" s="1"/>
  <c r="Y11" i="135"/>
  <c r="AA11" i="135" s="1"/>
  <c r="Y21" i="135"/>
  <c r="Y24" i="135"/>
  <c r="Y27" i="135"/>
  <c r="J165" i="228" l="1"/>
  <c r="M120" i="219"/>
  <c r="G120" i="219"/>
  <c r="F120" i="219"/>
  <c r="H120" i="219"/>
  <c r="L120" i="219"/>
  <c r="K120" i="219"/>
  <c r="I120" i="219"/>
  <c r="I159" i="219"/>
  <c r="N120" i="219"/>
  <c r="J120" i="219"/>
  <c r="E120" i="219"/>
  <c r="E159" i="219"/>
  <c r="G159" i="219"/>
  <c r="H159" i="219"/>
  <c r="L27" i="135"/>
  <c r="M27" i="135" s="1"/>
  <c r="N159" i="219"/>
  <c r="M159" i="219"/>
  <c r="F159" i="219"/>
  <c r="L159" i="219"/>
  <c r="K159" i="219"/>
  <c r="J159" i="219"/>
  <c r="O120" i="228"/>
  <c r="K128" i="219"/>
  <c r="M11" i="219"/>
  <c r="K21" i="219"/>
  <c r="J128" i="219"/>
  <c r="J21" i="219"/>
  <c r="I128" i="219"/>
  <c r="I11" i="219"/>
  <c r="N41" i="219"/>
  <c r="G41" i="219"/>
  <c r="N128" i="219"/>
  <c r="F128" i="219"/>
  <c r="N21" i="219"/>
  <c r="M41" i="219"/>
  <c r="F41" i="219"/>
  <c r="M128" i="219"/>
  <c r="K11" i="219"/>
  <c r="L128" i="219"/>
  <c r="G21" i="219"/>
  <c r="L41" i="219"/>
  <c r="L11" i="219"/>
  <c r="M21" i="219"/>
  <c r="I21" i="219"/>
  <c r="N162" i="219"/>
  <c r="N164" i="219" s="1"/>
  <c r="J162" i="219"/>
  <c r="J164" i="219" s="1"/>
  <c r="F162" i="219"/>
  <c r="F164" i="219" s="1"/>
  <c r="I165" i="228"/>
  <c r="M162" i="219"/>
  <c r="M164" i="219" s="1"/>
  <c r="L162" i="219"/>
  <c r="L164" i="219" s="1"/>
  <c r="H162" i="219"/>
  <c r="H164" i="219" s="1"/>
  <c r="L21" i="219"/>
  <c r="H21" i="219"/>
  <c r="K162" i="219"/>
  <c r="K164" i="219" s="1"/>
  <c r="G162" i="219"/>
  <c r="G164" i="219" s="1"/>
  <c r="E128" i="219"/>
  <c r="G128" i="219"/>
  <c r="L93" i="219"/>
  <c r="K93" i="219"/>
  <c r="G93" i="219"/>
  <c r="N93" i="219"/>
  <c r="J93" i="219"/>
  <c r="I93" i="219"/>
  <c r="J41" i="219"/>
  <c r="K41" i="219"/>
  <c r="I41" i="219"/>
  <c r="E41" i="219"/>
  <c r="F21" i="219"/>
  <c r="F11" i="219"/>
  <c r="N11" i="219"/>
  <c r="E11" i="219"/>
  <c r="M18" i="135"/>
  <c r="M10" i="135"/>
  <c r="H11" i="219"/>
  <c r="G11" i="219"/>
  <c r="J11" i="219"/>
  <c r="H128" i="219"/>
  <c r="E21" i="219"/>
  <c r="E93" i="219"/>
  <c r="F93" i="219"/>
  <c r="H93" i="219"/>
  <c r="M93" i="219"/>
  <c r="H41" i="219"/>
  <c r="L165" i="228"/>
  <c r="L167" i="228" s="1"/>
  <c r="O11" i="228"/>
  <c r="G165" i="228"/>
  <c r="M165" i="228"/>
  <c r="N165" i="228"/>
  <c r="N167" i="228" s="1"/>
  <c r="H165" i="228"/>
  <c r="K165" i="228"/>
  <c r="O41" i="228"/>
  <c r="F41" i="228"/>
  <c r="O126" i="228"/>
  <c r="O128" i="228" s="1"/>
  <c r="O14" i="228"/>
  <c r="O21" i="228" s="1"/>
  <c r="O44" i="228"/>
  <c r="O93" i="228" s="1"/>
  <c r="F93" i="228"/>
  <c r="E11" i="228"/>
  <c r="O131" i="228"/>
  <c r="O159" i="228" s="1"/>
  <c r="O162" i="228"/>
  <c r="O164" i="228" s="1"/>
  <c r="L23" i="135" l="1"/>
  <c r="M23" i="135" s="1"/>
  <c r="F165" i="228"/>
  <c r="E165" i="228"/>
  <c r="O165" i="228"/>
  <c r="H402" i="215" l="1"/>
  <c r="J402" i="215"/>
  <c r="K402" i="215"/>
  <c r="M402" i="215"/>
  <c r="N402" i="215"/>
  <c r="O402" i="215"/>
  <c r="P402" i="215"/>
  <c r="G402" i="215"/>
  <c r="Q402" i="225"/>
  <c r="Q402" i="215" l="1"/>
  <c r="O157" i="219"/>
  <c r="O137" i="219"/>
  <c r="O53" i="219"/>
  <c r="O44" i="219" l="1"/>
  <c r="O20" i="219"/>
  <c r="O14" i="219"/>
  <c r="O162" i="219"/>
  <c r="X15" i="135" l="1"/>
  <c r="Y15" i="135" s="1"/>
  <c r="X17" i="135"/>
  <c r="Y17" i="135" s="1"/>
  <c r="X19" i="135"/>
  <c r="Y19" i="135" s="1"/>
  <c r="M167" i="228"/>
  <c r="F22" i="135" s="1"/>
  <c r="K167" i="228"/>
  <c r="F17" i="135" s="1"/>
  <c r="J167" i="228"/>
  <c r="I167" i="228"/>
  <c r="F15" i="135" s="1"/>
  <c r="H167" i="228"/>
  <c r="F5" i="135" s="1"/>
  <c r="G167" i="228"/>
  <c r="F4" i="135" s="1"/>
  <c r="F6" i="135" l="1"/>
  <c r="J6" i="135" s="1"/>
  <c r="K6" i="135" s="1"/>
  <c r="E167" i="228"/>
  <c r="X3" i="135"/>
  <c r="Y3" i="135" s="1"/>
  <c r="J4" i="135"/>
  <c r="K4" i="135" s="1"/>
  <c r="J17" i="135"/>
  <c r="K17" i="135" s="1"/>
  <c r="J15" i="135"/>
  <c r="K15" i="135" s="1"/>
  <c r="J22" i="135"/>
  <c r="J5" i="135"/>
  <c r="K5" i="135" s="1"/>
  <c r="O166" i="228"/>
  <c r="O167" i="228" s="1"/>
  <c r="F167" i="228"/>
  <c r="F14" i="135" s="1"/>
  <c r="F19" i="135" s="1"/>
  <c r="F25" i="135" s="1"/>
  <c r="F3" i="135" l="1"/>
  <c r="F7" i="135" s="1"/>
  <c r="F12" i="135" s="1"/>
  <c r="F26" i="135" s="1"/>
  <c r="F28" i="135" s="1"/>
  <c r="J14" i="135"/>
  <c r="J19" i="135" s="1"/>
  <c r="J25" i="135" s="1"/>
  <c r="K22" i="135"/>
  <c r="M576" i="215"/>
  <c r="K574" i="215"/>
  <c r="K572" i="215"/>
  <c r="K568" i="215"/>
  <c r="Z7" i="135"/>
  <c r="AA7" i="135" s="1"/>
  <c r="H577" i="215"/>
  <c r="I577" i="215"/>
  <c r="J577" i="215"/>
  <c r="K577" i="215"/>
  <c r="M577" i="215"/>
  <c r="N577" i="215"/>
  <c r="O577" i="215"/>
  <c r="P577" i="215"/>
  <c r="H576" i="215"/>
  <c r="I576" i="215"/>
  <c r="J576" i="215"/>
  <c r="K576" i="215"/>
  <c r="L576" i="215"/>
  <c r="N576" i="215"/>
  <c r="O576" i="215"/>
  <c r="P576" i="215"/>
  <c r="H574" i="215"/>
  <c r="I574" i="215"/>
  <c r="J574" i="215"/>
  <c r="L574" i="215"/>
  <c r="M574" i="215"/>
  <c r="N574" i="215"/>
  <c r="O574" i="215"/>
  <c r="P574" i="215"/>
  <c r="H573" i="215"/>
  <c r="I573" i="215"/>
  <c r="J573" i="215"/>
  <c r="L573" i="215"/>
  <c r="M573" i="215"/>
  <c r="N573" i="215"/>
  <c r="O573" i="215"/>
  <c r="P573" i="215"/>
  <c r="H572" i="215"/>
  <c r="I572" i="215"/>
  <c r="J572" i="215"/>
  <c r="L572" i="215"/>
  <c r="M572" i="215"/>
  <c r="N572" i="215"/>
  <c r="O572" i="215"/>
  <c r="P572" i="215"/>
  <c r="H571" i="215"/>
  <c r="I571" i="215"/>
  <c r="J571" i="215"/>
  <c r="L571" i="215"/>
  <c r="M571" i="215"/>
  <c r="N571" i="215"/>
  <c r="O571" i="215"/>
  <c r="P571" i="215"/>
  <c r="H570" i="215"/>
  <c r="I570" i="215"/>
  <c r="J570" i="215"/>
  <c r="L570" i="215"/>
  <c r="M570" i="215"/>
  <c r="N570" i="215"/>
  <c r="O570" i="215"/>
  <c r="P570" i="215"/>
  <c r="H569" i="215"/>
  <c r="I569" i="215"/>
  <c r="J569" i="215"/>
  <c r="L569" i="215"/>
  <c r="M569" i="215"/>
  <c r="N569" i="215"/>
  <c r="O569" i="215"/>
  <c r="P569" i="215"/>
  <c r="H568" i="215"/>
  <c r="I568" i="215"/>
  <c r="J568" i="215"/>
  <c r="L568" i="215"/>
  <c r="M568" i="215"/>
  <c r="N568" i="215"/>
  <c r="O568" i="215"/>
  <c r="P568" i="215"/>
  <c r="G568" i="215"/>
  <c r="G569" i="215"/>
  <c r="G570" i="215"/>
  <c r="G571" i="215"/>
  <c r="G572" i="215"/>
  <c r="G573" i="215"/>
  <c r="G574" i="215"/>
  <c r="G576" i="215"/>
  <c r="G577" i="215"/>
  <c r="H566" i="215"/>
  <c r="I566" i="215"/>
  <c r="J566" i="215"/>
  <c r="L566" i="215"/>
  <c r="M566" i="215"/>
  <c r="N566" i="215"/>
  <c r="O566" i="215"/>
  <c r="P566" i="215"/>
  <c r="G566" i="215"/>
  <c r="L563" i="215"/>
  <c r="L562" i="215"/>
  <c r="H563" i="215"/>
  <c r="I563" i="215"/>
  <c r="J563" i="215"/>
  <c r="K563" i="215"/>
  <c r="M563" i="215"/>
  <c r="N563" i="215"/>
  <c r="O563" i="215"/>
  <c r="P563" i="215"/>
  <c r="G563" i="215"/>
  <c r="H562" i="215"/>
  <c r="I562" i="215"/>
  <c r="J562" i="215"/>
  <c r="K562" i="215"/>
  <c r="M562" i="215"/>
  <c r="N562" i="215"/>
  <c r="O562" i="215"/>
  <c r="P562" i="215"/>
  <c r="G562" i="215"/>
  <c r="K558" i="215"/>
  <c r="I558" i="215"/>
  <c r="H558" i="215"/>
  <c r="G558" i="215"/>
  <c r="I555" i="215"/>
  <c r="K553" i="215"/>
  <c r="K551" i="215"/>
  <c r="I550" i="215"/>
  <c r="K549" i="215"/>
  <c r="K546" i="215"/>
  <c r="I541" i="215"/>
  <c r="K538" i="215"/>
  <c r="I537" i="215"/>
  <c r="K536" i="215"/>
  <c r="I536" i="215"/>
  <c r="H536" i="215"/>
  <c r="G536" i="215"/>
  <c r="I535" i="215"/>
  <c r="H535" i="215"/>
  <c r="G535" i="215"/>
  <c r="K534" i="215"/>
  <c r="K533" i="215"/>
  <c r="K532" i="215"/>
  <c r="I532" i="215"/>
  <c r="H532" i="215"/>
  <c r="G532" i="215"/>
  <c r="I530" i="215"/>
  <c r="K529" i="215"/>
  <c r="K528" i="215"/>
  <c r="I528" i="215"/>
  <c r="K527" i="215"/>
  <c r="I527" i="215"/>
  <c r="H527" i="215"/>
  <c r="G527" i="215"/>
  <c r="J558" i="215"/>
  <c r="L558" i="215"/>
  <c r="M558" i="215"/>
  <c r="N558" i="215"/>
  <c r="O558" i="215"/>
  <c r="P558" i="215"/>
  <c r="H557" i="215"/>
  <c r="J557" i="215"/>
  <c r="K557" i="215"/>
  <c r="L557" i="215"/>
  <c r="M557" i="215"/>
  <c r="N557" i="215"/>
  <c r="O557" i="215"/>
  <c r="P557" i="215"/>
  <c r="H556" i="215"/>
  <c r="I556" i="215"/>
  <c r="J556" i="215"/>
  <c r="L556" i="215"/>
  <c r="M556" i="215"/>
  <c r="N556" i="215"/>
  <c r="O556" i="215"/>
  <c r="P556" i="215"/>
  <c r="H555" i="215"/>
  <c r="J555" i="215"/>
  <c r="K555" i="215"/>
  <c r="L555" i="215"/>
  <c r="M555" i="215"/>
  <c r="N555" i="215"/>
  <c r="O555" i="215"/>
  <c r="P555" i="215"/>
  <c r="H553" i="215"/>
  <c r="I553" i="215"/>
  <c r="J553" i="215"/>
  <c r="L553" i="215"/>
  <c r="M553" i="215"/>
  <c r="N553" i="215"/>
  <c r="O553" i="215"/>
  <c r="P553" i="215"/>
  <c r="H551" i="215"/>
  <c r="I551" i="215"/>
  <c r="J551" i="215"/>
  <c r="L551" i="215"/>
  <c r="M551" i="215"/>
  <c r="N551" i="215"/>
  <c r="O551" i="215"/>
  <c r="P551" i="215"/>
  <c r="H550" i="215"/>
  <c r="J550" i="215"/>
  <c r="K550" i="215"/>
  <c r="L550" i="215"/>
  <c r="M550" i="215"/>
  <c r="N550" i="215"/>
  <c r="O550" i="215"/>
  <c r="P550" i="215"/>
  <c r="H549" i="215"/>
  <c r="I549" i="215"/>
  <c r="J549" i="215"/>
  <c r="L549" i="215"/>
  <c r="M549" i="215"/>
  <c r="N549" i="215"/>
  <c r="O549" i="215"/>
  <c r="P549" i="215"/>
  <c r="H546" i="215"/>
  <c r="I546" i="215"/>
  <c r="J546" i="215"/>
  <c r="L546" i="215"/>
  <c r="M546" i="215"/>
  <c r="N546" i="215"/>
  <c r="O546" i="215"/>
  <c r="P546" i="215"/>
  <c r="H545" i="215"/>
  <c r="J545" i="215"/>
  <c r="L545" i="215"/>
  <c r="M545" i="215"/>
  <c r="N545" i="215"/>
  <c r="O545" i="215"/>
  <c r="P545" i="215"/>
  <c r="J544" i="215"/>
  <c r="M544" i="215"/>
  <c r="N544" i="215"/>
  <c r="O544" i="215"/>
  <c r="P544" i="215"/>
  <c r="H543" i="215"/>
  <c r="I543" i="215"/>
  <c r="J543" i="215"/>
  <c r="L543" i="215"/>
  <c r="M543" i="215"/>
  <c r="N543" i="215"/>
  <c r="O543" i="215"/>
  <c r="P543" i="215"/>
  <c r="H541" i="215"/>
  <c r="J541" i="215"/>
  <c r="K541" i="215"/>
  <c r="L541" i="215"/>
  <c r="M541" i="215"/>
  <c r="N541" i="215"/>
  <c r="O541" i="215"/>
  <c r="P541" i="215"/>
  <c r="H540" i="215"/>
  <c r="I540" i="215"/>
  <c r="J540" i="215"/>
  <c r="L540" i="215"/>
  <c r="M540" i="215"/>
  <c r="N540" i="215"/>
  <c r="O540" i="215"/>
  <c r="P540" i="215"/>
  <c r="H538" i="215"/>
  <c r="I538" i="215"/>
  <c r="J538" i="215"/>
  <c r="L538" i="215"/>
  <c r="M538" i="215"/>
  <c r="N538" i="215"/>
  <c r="O538" i="215"/>
  <c r="P538" i="215"/>
  <c r="H537" i="215"/>
  <c r="J537" i="215"/>
  <c r="K537" i="215"/>
  <c r="L537" i="215"/>
  <c r="M537" i="215"/>
  <c r="N537" i="215"/>
  <c r="O537" i="215"/>
  <c r="P537" i="215"/>
  <c r="J536" i="215"/>
  <c r="L536" i="215"/>
  <c r="M536" i="215"/>
  <c r="N536" i="215"/>
  <c r="O536" i="215"/>
  <c r="P536" i="215"/>
  <c r="J535" i="215"/>
  <c r="K535" i="215"/>
  <c r="L535" i="215"/>
  <c r="M535" i="215"/>
  <c r="N535" i="215"/>
  <c r="O535" i="215"/>
  <c r="P535" i="215"/>
  <c r="H534" i="215"/>
  <c r="I534" i="215"/>
  <c r="J534" i="215"/>
  <c r="L534" i="215"/>
  <c r="M534" i="215"/>
  <c r="N534" i="215"/>
  <c r="O534" i="215"/>
  <c r="P534" i="215"/>
  <c r="H533" i="215"/>
  <c r="I533" i="215"/>
  <c r="J533" i="215"/>
  <c r="L533" i="215"/>
  <c r="M533" i="215"/>
  <c r="N533" i="215"/>
  <c r="O533" i="215"/>
  <c r="P533" i="215"/>
  <c r="J532" i="215"/>
  <c r="L532" i="215"/>
  <c r="M532" i="215"/>
  <c r="N532" i="215"/>
  <c r="O532" i="215"/>
  <c r="P532" i="215"/>
  <c r="H531" i="215"/>
  <c r="J531" i="215"/>
  <c r="K531" i="215"/>
  <c r="L531" i="215"/>
  <c r="M531" i="215"/>
  <c r="N531" i="215"/>
  <c r="O531" i="215"/>
  <c r="P531" i="215"/>
  <c r="H530" i="215"/>
  <c r="J530" i="215"/>
  <c r="K530" i="215"/>
  <c r="L530" i="215"/>
  <c r="M530" i="215"/>
  <c r="N530" i="215"/>
  <c r="O530" i="215"/>
  <c r="P530" i="215"/>
  <c r="H529" i="215"/>
  <c r="I529" i="215"/>
  <c r="J529" i="215"/>
  <c r="L529" i="215"/>
  <c r="M529" i="215"/>
  <c r="N529" i="215"/>
  <c r="O529" i="215"/>
  <c r="P529" i="215"/>
  <c r="H528" i="215"/>
  <c r="J528" i="215"/>
  <c r="L528" i="215"/>
  <c r="M528" i="215"/>
  <c r="N528" i="215"/>
  <c r="O528" i="215"/>
  <c r="P528" i="215"/>
  <c r="G528" i="215"/>
  <c r="G529" i="215"/>
  <c r="G530" i="215"/>
  <c r="G531" i="215"/>
  <c r="G533" i="215"/>
  <c r="G534" i="215"/>
  <c r="G537" i="215"/>
  <c r="G538" i="215"/>
  <c r="G540" i="215"/>
  <c r="G541" i="215"/>
  <c r="G543" i="215"/>
  <c r="G545" i="215"/>
  <c r="G546" i="215"/>
  <c r="G549" i="215"/>
  <c r="G550" i="215"/>
  <c r="G551" i="215"/>
  <c r="G553" i="215"/>
  <c r="G555" i="215"/>
  <c r="G556" i="215"/>
  <c r="G557" i="215"/>
  <c r="J527" i="215"/>
  <c r="L527" i="215"/>
  <c r="M527" i="215"/>
  <c r="N527" i="215"/>
  <c r="O527" i="215"/>
  <c r="P527" i="215"/>
  <c r="N523" i="215"/>
  <c r="H523" i="215"/>
  <c r="I523" i="215"/>
  <c r="J523" i="215"/>
  <c r="K523" i="215"/>
  <c r="L523" i="215"/>
  <c r="M523" i="215"/>
  <c r="O523" i="215"/>
  <c r="P523" i="215"/>
  <c r="G523" i="215"/>
  <c r="K520" i="215"/>
  <c r="P518" i="215"/>
  <c r="Z27" i="135" s="1"/>
  <c r="AA27" i="135" s="1"/>
  <c r="O516" i="215"/>
  <c r="I516" i="215"/>
  <c r="Z21" i="135" s="1"/>
  <c r="AA21" i="135" s="1"/>
  <c r="I514" i="215"/>
  <c r="K511" i="215"/>
  <c r="K510" i="215"/>
  <c r="I507" i="215"/>
  <c r="N505" i="215"/>
  <c r="I505" i="215"/>
  <c r="I503" i="215"/>
  <c r="K500" i="215"/>
  <c r="P499" i="215"/>
  <c r="Z9" i="135" s="1"/>
  <c r="AA9" i="135" s="1"/>
  <c r="K498" i="215"/>
  <c r="H520" i="215"/>
  <c r="I520" i="215"/>
  <c r="J520" i="215"/>
  <c r="L520" i="215"/>
  <c r="M520" i="215"/>
  <c r="N520" i="215"/>
  <c r="O520" i="215"/>
  <c r="P520" i="215"/>
  <c r="H518" i="215"/>
  <c r="J518" i="215"/>
  <c r="K518" i="215"/>
  <c r="L518" i="215"/>
  <c r="M518" i="215"/>
  <c r="N518" i="215"/>
  <c r="O518" i="215"/>
  <c r="H516" i="215"/>
  <c r="J516" i="215"/>
  <c r="K516" i="215"/>
  <c r="L516" i="215"/>
  <c r="M516" i="215"/>
  <c r="N516" i="215"/>
  <c r="P516" i="215"/>
  <c r="H514" i="215"/>
  <c r="J514" i="215"/>
  <c r="K514" i="215"/>
  <c r="L514" i="215"/>
  <c r="M514" i="215"/>
  <c r="N514" i="215"/>
  <c r="O514" i="215"/>
  <c r="P514" i="215"/>
  <c r="H513" i="215"/>
  <c r="I513" i="215"/>
  <c r="J513" i="215"/>
  <c r="L513" i="215"/>
  <c r="M513" i="215"/>
  <c r="N513" i="215"/>
  <c r="O513" i="215"/>
  <c r="P513" i="215"/>
  <c r="H511" i="215"/>
  <c r="I511" i="215"/>
  <c r="J511" i="215"/>
  <c r="L511" i="215"/>
  <c r="M511" i="215"/>
  <c r="N511" i="215"/>
  <c r="O511" i="215"/>
  <c r="P511" i="215"/>
  <c r="H510" i="215"/>
  <c r="I510" i="215"/>
  <c r="J510" i="215"/>
  <c r="L510" i="215"/>
  <c r="M510" i="215"/>
  <c r="N510" i="215"/>
  <c r="O510" i="215"/>
  <c r="P510" i="215"/>
  <c r="J508" i="215"/>
  <c r="K508" i="215"/>
  <c r="L508" i="215"/>
  <c r="M508" i="215"/>
  <c r="N508" i="215"/>
  <c r="O508" i="215"/>
  <c r="P508" i="215"/>
  <c r="H507" i="215"/>
  <c r="J507" i="215"/>
  <c r="K507" i="215"/>
  <c r="L507" i="215"/>
  <c r="M507" i="215"/>
  <c r="N507" i="215"/>
  <c r="O507" i="215"/>
  <c r="P507" i="215"/>
  <c r="H505" i="215"/>
  <c r="J505" i="215"/>
  <c r="K505" i="215"/>
  <c r="L505" i="215"/>
  <c r="M505" i="215"/>
  <c r="O505" i="215"/>
  <c r="P505" i="215"/>
  <c r="H504" i="215"/>
  <c r="J504" i="215"/>
  <c r="K504" i="215"/>
  <c r="L504" i="215"/>
  <c r="M504" i="215"/>
  <c r="N504" i="215"/>
  <c r="O504" i="215"/>
  <c r="P504" i="215"/>
  <c r="H503" i="215"/>
  <c r="J503" i="215"/>
  <c r="K503" i="215"/>
  <c r="L503" i="215"/>
  <c r="M503" i="215"/>
  <c r="N503" i="215"/>
  <c r="O503" i="215"/>
  <c r="P503" i="215"/>
  <c r="H502" i="215"/>
  <c r="J502" i="215"/>
  <c r="K502" i="215"/>
  <c r="L502" i="215"/>
  <c r="M502" i="215"/>
  <c r="O502" i="215"/>
  <c r="P502" i="215"/>
  <c r="H500" i="215"/>
  <c r="I500" i="215"/>
  <c r="J500" i="215"/>
  <c r="L500" i="215"/>
  <c r="M500" i="215"/>
  <c r="N500" i="215"/>
  <c r="O500" i="215"/>
  <c r="P500" i="215"/>
  <c r="H499" i="215"/>
  <c r="I499" i="215"/>
  <c r="J499" i="215"/>
  <c r="K499" i="215"/>
  <c r="L499" i="215"/>
  <c r="M499" i="215"/>
  <c r="N499" i="215"/>
  <c r="O499" i="215"/>
  <c r="G499" i="215"/>
  <c r="G500" i="215"/>
  <c r="G502" i="215"/>
  <c r="G503" i="215"/>
  <c r="G504" i="215"/>
  <c r="G505" i="215"/>
  <c r="G507" i="215"/>
  <c r="G510" i="215"/>
  <c r="G511" i="215"/>
  <c r="G513" i="215"/>
  <c r="G514" i="215"/>
  <c r="G516" i="215"/>
  <c r="G518" i="215"/>
  <c r="G520" i="215"/>
  <c r="H498" i="215"/>
  <c r="I498" i="215"/>
  <c r="J498" i="215"/>
  <c r="L498" i="215"/>
  <c r="M498" i="215"/>
  <c r="N498" i="215"/>
  <c r="O498" i="215"/>
  <c r="P498" i="215"/>
  <c r="G498" i="215"/>
  <c r="L494" i="215"/>
  <c r="M493" i="215"/>
  <c r="H494" i="215"/>
  <c r="I494" i="215"/>
  <c r="J494" i="215"/>
  <c r="K494" i="215"/>
  <c r="M494" i="215"/>
  <c r="N494" i="215"/>
  <c r="O494" i="215"/>
  <c r="P494" i="215"/>
  <c r="G494" i="215"/>
  <c r="H493" i="215"/>
  <c r="I493" i="215"/>
  <c r="J493" i="215"/>
  <c r="K493" i="215"/>
  <c r="L493" i="215"/>
  <c r="N493" i="215"/>
  <c r="O493" i="215"/>
  <c r="P493" i="215"/>
  <c r="G493" i="215"/>
  <c r="I489" i="215"/>
  <c r="I488" i="215"/>
  <c r="K486" i="215"/>
  <c r="K485" i="215"/>
  <c r="K484" i="215"/>
  <c r="I483" i="215"/>
  <c r="K482" i="215"/>
  <c r="I480" i="215"/>
  <c r="I479" i="215"/>
  <c r="I478" i="215"/>
  <c r="I477" i="215"/>
  <c r="I475" i="215"/>
  <c r="I474" i="215"/>
  <c r="I473" i="215"/>
  <c r="I472" i="215"/>
  <c r="H489" i="215"/>
  <c r="J489" i="215"/>
  <c r="K489" i="215"/>
  <c r="L489" i="215"/>
  <c r="M489" i="215"/>
  <c r="N489" i="215"/>
  <c r="O489" i="215"/>
  <c r="P489" i="215"/>
  <c r="H488" i="215"/>
  <c r="J488" i="215"/>
  <c r="K488" i="215"/>
  <c r="L488" i="215"/>
  <c r="M488" i="215"/>
  <c r="N488" i="215"/>
  <c r="O488" i="215"/>
  <c r="P488" i="215"/>
  <c r="H486" i="215"/>
  <c r="I486" i="215"/>
  <c r="J486" i="215"/>
  <c r="L486" i="215"/>
  <c r="M486" i="215"/>
  <c r="N486" i="215"/>
  <c r="O486" i="215"/>
  <c r="P486" i="215"/>
  <c r="H485" i="215"/>
  <c r="I485" i="215"/>
  <c r="J485" i="215"/>
  <c r="L485" i="215"/>
  <c r="M485" i="215"/>
  <c r="N485" i="215"/>
  <c r="O485" i="215"/>
  <c r="P485" i="215"/>
  <c r="H484" i="215"/>
  <c r="I484" i="215"/>
  <c r="J484" i="215"/>
  <c r="L484" i="215"/>
  <c r="M484" i="215"/>
  <c r="N484" i="215"/>
  <c r="O484" i="215"/>
  <c r="P484" i="215"/>
  <c r="H483" i="215"/>
  <c r="J483" i="215"/>
  <c r="K483" i="215"/>
  <c r="L483" i="215"/>
  <c r="M483" i="215"/>
  <c r="N483" i="215"/>
  <c r="O483" i="215"/>
  <c r="P483" i="215"/>
  <c r="H482" i="215"/>
  <c r="I482" i="215"/>
  <c r="J482" i="215"/>
  <c r="L482" i="215"/>
  <c r="M482" i="215"/>
  <c r="N482" i="215"/>
  <c r="O482" i="215"/>
  <c r="P482" i="215"/>
  <c r="H480" i="215"/>
  <c r="J480" i="215"/>
  <c r="K480" i="215"/>
  <c r="L480" i="215"/>
  <c r="M480" i="215"/>
  <c r="N480" i="215"/>
  <c r="O480" i="215"/>
  <c r="P480" i="215"/>
  <c r="H479" i="215"/>
  <c r="J479" i="215"/>
  <c r="K479" i="215"/>
  <c r="L479" i="215"/>
  <c r="M479" i="215"/>
  <c r="N479" i="215"/>
  <c r="O479" i="215"/>
  <c r="P479" i="215"/>
  <c r="H478" i="215"/>
  <c r="J478" i="215"/>
  <c r="K478" i="215"/>
  <c r="L478" i="215"/>
  <c r="M478" i="215"/>
  <c r="N478" i="215"/>
  <c r="O478" i="215"/>
  <c r="P478" i="215"/>
  <c r="J477" i="215"/>
  <c r="K477" i="215"/>
  <c r="L477" i="215"/>
  <c r="M477" i="215"/>
  <c r="N477" i="215"/>
  <c r="O477" i="215"/>
  <c r="P477" i="215"/>
  <c r="H475" i="215"/>
  <c r="J475" i="215"/>
  <c r="K475" i="215"/>
  <c r="L475" i="215"/>
  <c r="M475" i="215"/>
  <c r="N475" i="215"/>
  <c r="O475" i="215"/>
  <c r="P475" i="215"/>
  <c r="H474" i="215"/>
  <c r="J474" i="215"/>
  <c r="K474" i="215"/>
  <c r="L474" i="215"/>
  <c r="M474" i="215"/>
  <c r="N474" i="215"/>
  <c r="O474" i="215"/>
  <c r="P474" i="215"/>
  <c r="H473" i="215"/>
  <c r="J473" i="215"/>
  <c r="K473" i="215"/>
  <c r="L473" i="215"/>
  <c r="M473" i="215"/>
  <c r="N473" i="215"/>
  <c r="O473" i="215"/>
  <c r="P473" i="215"/>
  <c r="G473" i="215"/>
  <c r="G474" i="215"/>
  <c r="G475" i="215"/>
  <c r="G478" i="215"/>
  <c r="G479" i="215"/>
  <c r="G480" i="215"/>
  <c r="G482" i="215"/>
  <c r="G483" i="215"/>
  <c r="G484" i="215"/>
  <c r="G485" i="215"/>
  <c r="G486" i="215"/>
  <c r="G488" i="215"/>
  <c r="G489" i="215"/>
  <c r="H472" i="215"/>
  <c r="J472" i="215"/>
  <c r="K472" i="215"/>
  <c r="L472" i="215"/>
  <c r="M472" i="215"/>
  <c r="N472" i="215"/>
  <c r="O472" i="215"/>
  <c r="P472" i="215"/>
  <c r="G472" i="215"/>
  <c r="N467" i="215"/>
  <c r="H468" i="215"/>
  <c r="J468" i="215"/>
  <c r="K468" i="215"/>
  <c r="M468" i="215"/>
  <c r="N468" i="215"/>
  <c r="O468" i="215"/>
  <c r="P468" i="215"/>
  <c r="G468" i="215"/>
  <c r="H467" i="215"/>
  <c r="I467" i="215"/>
  <c r="J467" i="215"/>
  <c r="K467" i="215"/>
  <c r="L467" i="215"/>
  <c r="M467" i="215"/>
  <c r="O467" i="215"/>
  <c r="P467" i="215"/>
  <c r="G467" i="215"/>
  <c r="L462" i="215"/>
  <c r="I461" i="215"/>
  <c r="I460" i="215"/>
  <c r="I458" i="215"/>
  <c r="I455" i="215"/>
  <c r="M454" i="215"/>
  <c r="H464" i="215"/>
  <c r="J464" i="215"/>
  <c r="K464" i="215"/>
  <c r="L464" i="215"/>
  <c r="M464" i="215"/>
  <c r="N464" i="215"/>
  <c r="O464" i="215"/>
  <c r="P464" i="215"/>
  <c r="H462" i="215"/>
  <c r="I462" i="215"/>
  <c r="J462" i="215"/>
  <c r="K462" i="215"/>
  <c r="M462" i="215"/>
  <c r="N462" i="215"/>
  <c r="O462" i="215"/>
  <c r="P462" i="215"/>
  <c r="H461" i="215"/>
  <c r="J461" i="215"/>
  <c r="K461" i="215"/>
  <c r="L461" i="215"/>
  <c r="M461" i="215"/>
  <c r="N461" i="215"/>
  <c r="O461" i="215"/>
  <c r="P461" i="215"/>
  <c r="H460" i="215"/>
  <c r="J460" i="215"/>
  <c r="K460" i="215"/>
  <c r="L460" i="215"/>
  <c r="M460" i="215"/>
  <c r="N460" i="215"/>
  <c r="O460" i="215"/>
  <c r="P460" i="215"/>
  <c r="H459" i="215"/>
  <c r="J459" i="215"/>
  <c r="K459" i="215"/>
  <c r="L459" i="215"/>
  <c r="M459" i="215"/>
  <c r="N459" i="215"/>
  <c r="O459" i="215"/>
  <c r="P459" i="215"/>
  <c r="H458" i="215"/>
  <c r="J458" i="215"/>
  <c r="K458" i="215"/>
  <c r="L458" i="215"/>
  <c r="M458" i="215"/>
  <c r="N458" i="215"/>
  <c r="O458" i="215"/>
  <c r="P458" i="215"/>
  <c r="H457" i="215"/>
  <c r="J457" i="215"/>
  <c r="K457" i="215"/>
  <c r="L457" i="215"/>
  <c r="M457" i="215"/>
  <c r="N457" i="215"/>
  <c r="O457" i="215"/>
  <c r="P457" i="215"/>
  <c r="H456" i="215"/>
  <c r="J456" i="215"/>
  <c r="K456" i="215"/>
  <c r="L456" i="215"/>
  <c r="M456" i="215"/>
  <c r="N456" i="215"/>
  <c r="O456" i="215"/>
  <c r="P456" i="215"/>
  <c r="H455" i="215"/>
  <c r="J455" i="215"/>
  <c r="K455" i="215"/>
  <c r="L455" i="215"/>
  <c r="M455" i="215"/>
  <c r="N455" i="215"/>
  <c r="O455" i="215"/>
  <c r="P455" i="215"/>
  <c r="G455" i="215"/>
  <c r="G456" i="215"/>
  <c r="G457" i="215"/>
  <c r="G458" i="215"/>
  <c r="G459" i="215"/>
  <c r="G460" i="215"/>
  <c r="G461" i="215"/>
  <c r="G462" i="215"/>
  <c r="G464" i="215"/>
  <c r="H454" i="215"/>
  <c r="J454" i="215"/>
  <c r="K454" i="215"/>
  <c r="L454" i="215"/>
  <c r="N454" i="215"/>
  <c r="O454" i="215"/>
  <c r="P454" i="215"/>
  <c r="G454" i="215"/>
  <c r="M448" i="215"/>
  <c r="I448" i="215"/>
  <c r="L446" i="215"/>
  <c r="I446" i="215"/>
  <c r="L444" i="215"/>
  <c r="H444" i="215"/>
  <c r="G444" i="215"/>
  <c r="M443" i="215"/>
  <c r="I443" i="215"/>
  <c r="L442" i="215"/>
  <c r="I442" i="215"/>
  <c r="H442" i="215"/>
  <c r="G442" i="215"/>
  <c r="L439" i="215"/>
  <c r="I439" i="215"/>
  <c r="M433" i="215"/>
  <c r="M432" i="215"/>
  <c r="L427" i="215"/>
  <c r="L426" i="215"/>
  <c r="H426" i="215"/>
  <c r="G426" i="215"/>
  <c r="L422" i="215"/>
  <c r="I422" i="215"/>
  <c r="M420" i="215"/>
  <c r="I420" i="215"/>
  <c r="H420" i="215"/>
  <c r="G420" i="215"/>
  <c r="L419" i="215"/>
  <c r="I419" i="215"/>
  <c r="H419" i="215"/>
  <c r="G419" i="215"/>
  <c r="L418" i="215"/>
  <c r="I418" i="215"/>
  <c r="G417" i="215"/>
  <c r="M416" i="215"/>
  <c r="L416" i="215"/>
  <c r="I416" i="215"/>
  <c r="H416" i="215"/>
  <c r="G416" i="215"/>
  <c r="H415" i="215"/>
  <c r="I415" i="215"/>
  <c r="G415" i="215"/>
  <c r="L414" i="215"/>
  <c r="I414" i="215"/>
  <c r="H414" i="215"/>
  <c r="G414" i="215"/>
  <c r="I413" i="215"/>
  <c r="G413" i="215"/>
  <c r="L412" i="215"/>
  <c r="I412" i="215"/>
  <c r="H412" i="215"/>
  <c r="G412" i="215"/>
  <c r="L411" i="215"/>
  <c r="I411" i="215"/>
  <c r="H411" i="215"/>
  <c r="G411" i="215"/>
  <c r="M410" i="215"/>
  <c r="L410" i="215"/>
  <c r="I410" i="215"/>
  <c r="H410" i="215"/>
  <c r="G410" i="215"/>
  <c r="L409" i="215"/>
  <c r="H409" i="215"/>
  <c r="G409" i="215"/>
  <c r="L408" i="215"/>
  <c r="I408" i="215"/>
  <c r="H408" i="215"/>
  <c r="G408" i="215"/>
  <c r="L407" i="215"/>
  <c r="I407" i="215"/>
  <c r="G407" i="215"/>
  <c r="L406" i="215"/>
  <c r="I406" i="215"/>
  <c r="I405" i="215"/>
  <c r="I404" i="215"/>
  <c r="I399" i="215"/>
  <c r="L398" i="215"/>
  <c r="I398" i="215"/>
  <c r="L397" i="215"/>
  <c r="M394" i="215"/>
  <c r="L391" i="215"/>
  <c r="M390" i="215"/>
  <c r="M389" i="215"/>
  <c r="N387" i="215"/>
  <c r="L387" i="215"/>
  <c r="I387" i="215"/>
  <c r="M386" i="215"/>
  <c r="I385" i="215"/>
  <c r="L383" i="215"/>
  <c r="I370" i="215"/>
  <c r="L369" i="215"/>
  <c r="M368" i="215"/>
  <c r="L368" i="215"/>
  <c r="M367" i="215"/>
  <c r="L362" i="215"/>
  <c r="L359" i="215"/>
  <c r="I358" i="215"/>
  <c r="L353" i="215"/>
  <c r="L350" i="215"/>
  <c r="L346" i="215"/>
  <c r="I346" i="215"/>
  <c r="L344" i="215"/>
  <c r="I344" i="215"/>
  <c r="I342" i="215"/>
  <c r="M340" i="215"/>
  <c r="L339" i="215"/>
  <c r="I339" i="215"/>
  <c r="H450" i="215"/>
  <c r="J450" i="215"/>
  <c r="K450" i="215"/>
  <c r="M450" i="215"/>
  <c r="N450" i="215"/>
  <c r="O450" i="215"/>
  <c r="P450" i="215"/>
  <c r="H449" i="215"/>
  <c r="J449" i="215"/>
  <c r="K449" i="215"/>
  <c r="M449" i="215"/>
  <c r="N449" i="215"/>
  <c r="O449" i="215"/>
  <c r="P449" i="215"/>
  <c r="H448" i="215"/>
  <c r="J448" i="215"/>
  <c r="K448" i="215"/>
  <c r="L448" i="215"/>
  <c r="N448" i="215"/>
  <c r="O448" i="215"/>
  <c r="P448" i="215"/>
  <c r="H446" i="215"/>
  <c r="J446" i="215"/>
  <c r="K446" i="215"/>
  <c r="M446" i="215"/>
  <c r="N446" i="215"/>
  <c r="O446" i="215"/>
  <c r="P446" i="215"/>
  <c r="J444" i="215"/>
  <c r="K444" i="215"/>
  <c r="M444" i="215"/>
  <c r="N444" i="215"/>
  <c r="O444" i="215"/>
  <c r="P444" i="215"/>
  <c r="H443" i="215"/>
  <c r="J443" i="215"/>
  <c r="K443" i="215"/>
  <c r="L443" i="215"/>
  <c r="N443" i="215"/>
  <c r="O443" i="215"/>
  <c r="P443" i="215"/>
  <c r="J442" i="215"/>
  <c r="K442" i="215"/>
  <c r="M442" i="215"/>
  <c r="N442" i="215"/>
  <c r="O442" i="215"/>
  <c r="P442" i="215"/>
  <c r="H441" i="215"/>
  <c r="J441" i="215"/>
  <c r="K441" i="215"/>
  <c r="M441" i="215"/>
  <c r="N441" i="215"/>
  <c r="O441" i="215"/>
  <c r="P441" i="215"/>
  <c r="H440" i="215"/>
  <c r="J440" i="215"/>
  <c r="K440" i="215"/>
  <c r="M440" i="215"/>
  <c r="N440" i="215"/>
  <c r="O440" i="215"/>
  <c r="P440" i="215"/>
  <c r="H439" i="215"/>
  <c r="J439" i="215"/>
  <c r="K439" i="215"/>
  <c r="M439" i="215"/>
  <c r="N439" i="215"/>
  <c r="O439" i="215"/>
  <c r="P439" i="215"/>
  <c r="H438" i="215"/>
  <c r="J438" i="215"/>
  <c r="K438" i="215"/>
  <c r="L438" i="215"/>
  <c r="M438" i="215"/>
  <c r="N438" i="215"/>
  <c r="O438" i="215"/>
  <c r="P438" i="215"/>
  <c r="H433" i="215"/>
  <c r="I433" i="215"/>
  <c r="J433" i="215"/>
  <c r="K433" i="215"/>
  <c r="L433" i="215"/>
  <c r="N433" i="215"/>
  <c r="O433" i="215"/>
  <c r="P433" i="215"/>
  <c r="H432" i="215"/>
  <c r="I432" i="215"/>
  <c r="J432" i="215"/>
  <c r="K432" i="215"/>
  <c r="L432" i="215"/>
  <c r="N432" i="215"/>
  <c r="O432" i="215"/>
  <c r="P432" i="215"/>
  <c r="H427" i="215"/>
  <c r="J427" i="215"/>
  <c r="K427" i="215"/>
  <c r="N427" i="215"/>
  <c r="O427" i="215"/>
  <c r="P427" i="215"/>
  <c r="J426" i="215"/>
  <c r="K426" i="215"/>
  <c r="N426" i="215"/>
  <c r="O426" i="215"/>
  <c r="P426" i="215"/>
  <c r="H425" i="215"/>
  <c r="J425" i="215"/>
  <c r="K425" i="215"/>
  <c r="L425" i="215"/>
  <c r="M425" i="215"/>
  <c r="O425" i="215"/>
  <c r="P425" i="215"/>
  <c r="H422" i="215"/>
  <c r="J422" i="215"/>
  <c r="K422" i="215"/>
  <c r="M422" i="215"/>
  <c r="N422" i="215"/>
  <c r="O422" i="215"/>
  <c r="P422" i="215"/>
  <c r="H421" i="215"/>
  <c r="J421" i="215"/>
  <c r="K421" i="215"/>
  <c r="M421" i="215"/>
  <c r="N421" i="215"/>
  <c r="O421" i="215"/>
  <c r="P421" i="215"/>
  <c r="J420" i="215"/>
  <c r="K420" i="215"/>
  <c r="L420" i="215"/>
  <c r="N420" i="215"/>
  <c r="O420" i="215"/>
  <c r="P420" i="215"/>
  <c r="J419" i="215"/>
  <c r="K419" i="215"/>
  <c r="M419" i="215"/>
  <c r="N419" i="215"/>
  <c r="O419" i="215"/>
  <c r="P419" i="215"/>
  <c r="H418" i="215"/>
  <c r="J418" i="215"/>
  <c r="K418" i="215"/>
  <c r="M418" i="215"/>
  <c r="N418" i="215"/>
  <c r="O418" i="215"/>
  <c r="P418" i="215"/>
  <c r="H417" i="215"/>
  <c r="J417" i="215"/>
  <c r="K417" i="215"/>
  <c r="M417" i="215"/>
  <c r="N417" i="215"/>
  <c r="O417" i="215"/>
  <c r="P417" i="215"/>
  <c r="J416" i="215"/>
  <c r="K416" i="215"/>
  <c r="N416" i="215"/>
  <c r="O416" i="215"/>
  <c r="P416" i="215"/>
  <c r="J415" i="215"/>
  <c r="K415" i="215"/>
  <c r="L415" i="215"/>
  <c r="N415" i="215"/>
  <c r="O415" i="215"/>
  <c r="P415" i="215"/>
  <c r="J414" i="215"/>
  <c r="K414" i="215"/>
  <c r="M414" i="215"/>
  <c r="N414" i="215"/>
  <c r="O414" i="215"/>
  <c r="P414" i="215"/>
  <c r="H413" i="215"/>
  <c r="J413" i="215"/>
  <c r="K413" i="215"/>
  <c r="N413" i="215"/>
  <c r="O413" i="215"/>
  <c r="P413" i="215"/>
  <c r="J412" i="215"/>
  <c r="K412" i="215"/>
  <c r="M412" i="215"/>
  <c r="N412" i="215"/>
  <c r="O412" i="215"/>
  <c r="P412" i="215"/>
  <c r="J411" i="215"/>
  <c r="K411" i="215"/>
  <c r="M411" i="215"/>
  <c r="N411" i="215"/>
  <c r="O411" i="215"/>
  <c r="P411" i="215"/>
  <c r="J410" i="215"/>
  <c r="K410" i="215"/>
  <c r="N410" i="215"/>
  <c r="O410" i="215"/>
  <c r="P410" i="215"/>
  <c r="J409" i="215"/>
  <c r="K409" i="215"/>
  <c r="N409" i="215"/>
  <c r="O409" i="215"/>
  <c r="P409" i="215"/>
  <c r="J408" i="215"/>
  <c r="K408" i="215"/>
  <c r="M408" i="215"/>
  <c r="N408" i="215"/>
  <c r="O408" i="215"/>
  <c r="P408" i="215"/>
  <c r="H407" i="215"/>
  <c r="J407" i="215"/>
  <c r="K407" i="215"/>
  <c r="M407" i="215"/>
  <c r="N407" i="215"/>
  <c r="O407" i="215"/>
  <c r="P407" i="215"/>
  <c r="J406" i="215"/>
  <c r="K406" i="215"/>
  <c r="M406" i="215"/>
  <c r="N406" i="215"/>
  <c r="O406" i="215"/>
  <c r="P406" i="215"/>
  <c r="H405" i="215"/>
  <c r="J405" i="215"/>
  <c r="K405" i="215"/>
  <c r="L405" i="215"/>
  <c r="M405" i="215"/>
  <c r="N405" i="215"/>
  <c r="O405" i="215"/>
  <c r="P405" i="215"/>
  <c r="H404" i="215"/>
  <c r="J404" i="215"/>
  <c r="K404" i="215"/>
  <c r="L404" i="215"/>
  <c r="M404" i="215"/>
  <c r="N404" i="215"/>
  <c r="O404" i="215"/>
  <c r="P404" i="215"/>
  <c r="H399" i="215"/>
  <c r="J399" i="215"/>
  <c r="K399" i="215"/>
  <c r="L399" i="215"/>
  <c r="N399" i="215"/>
  <c r="O399" i="215"/>
  <c r="P399" i="215"/>
  <c r="H398" i="215"/>
  <c r="J398" i="215"/>
  <c r="K398" i="215"/>
  <c r="M398" i="215"/>
  <c r="N398" i="215"/>
  <c r="O398" i="215"/>
  <c r="P398" i="215"/>
  <c r="H397" i="215"/>
  <c r="I397" i="215"/>
  <c r="J397" i="215"/>
  <c r="K397" i="215"/>
  <c r="M397" i="215"/>
  <c r="N397" i="215"/>
  <c r="O397" i="215"/>
  <c r="P397" i="215"/>
  <c r="H396" i="215"/>
  <c r="J396" i="215"/>
  <c r="K396" i="215"/>
  <c r="N396" i="215"/>
  <c r="O396" i="215"/>
  <c r="P396" i="215"/>
  <c r="H395" i="215"/>
  <c r="I395" i="215"/>
  <c r="J395" i="215"/>
  <c r="K395" i="215"/>
  <c r="L395" i="215"/>
  <c r="N395" i="215"/>
  <c r="O395" i="215"/>
  <c r="P395" i="215"/>
  <c r="H394" i="215"/>
  <c r="I394" i="215"/>
  <c r="J394" i="215"/>
  <c r="K394" i="215"/>
  <c r="L394" i="215"/>
  <c r="N394" i="215"/>
  <c r="O394" i="215"/>
  <c r="P394" i="215"/>
  <c r="H393" i="215"/>
  <c r="I393" i="215"/>
  <c r="J393" i="215"/>
  <c r="K393" i="215"/>
  <c r="M393" i="215"/>
  <c r="N393" i="215"/>
  <c r="O393" i="215"/>
  <c r="P393" i="215"/>
  <c r="H392" i="215"/>
  <c r="I392" i="215"/>
  <c r="J392" i="215"/>
  <c r="K392" i="215"/>
  <c r="N392" i="215"/>
  <c r="O392" i="215"/>
  <c r="P392" i="215"/>
  <c r="H391" i="215"/>
  <c r="I391" i="215"/>
  <c r="J391" i="215"/>
  <c r="K391" i="215"/>
  <c r="M391" i="215"/>
  <c r="N391" i="215"/>
  <c r="O391" i="215"/>
  <c r="P391" i="215"/>
  <c r="H390" i="215"/>
  <c r="I390" i="215"/>
  <c r="J390" i="215"/>
  <c r="K390" i="215"/>
  <c r="L390" i="215"/>
  <c r="N390" i="215"/>
  <c r="O390" i="215"/>
  <c r="P390" i="215"/>
  <c r="H389" i="215"/>
  <c r="I389" i="215"/>
  <c r="J389" i="215"/>
  <c r="K389" i="215"/>
  <c r="L389" i="215"/>
  <c r="N389" i="215"/>
  <c r="O389" i="215"/>
  <c r="P389" i="215"/>
  <c r="H388" i="215"/>
  <c r="I388" i="215"/>
  <c r="J388" i="215"/>
  <c r="K388" i="215"/>
  <c r="M388" i="215"/>
  <c r="N388" i="215"/>
  <c r="O388" i="215"/>
  <c r="P388" i="215"/>
  <c r="H387" i="215"/>
  <c r="J387" i="215"/>
  <c r="K387" i="215"/>
  <c r="M387" i="215"/>
  <c r="O387" i="215"/>
  <c r="P387" i="215"/>
  <c r="H386" i="215"/>
  <c r="I386" i="215"/>
  <c r="J386" i="215"/>
  <c r="K386" i="215"/>
  <c r="L386" i="215"/>
  <c r="N386" i="215"/>
  <c r="O386" i="215"/>
  <c r="P386" i="215"/>
  <c r="H385" i="215"/>
  <c r="J385" i="215"/>
  <c r="K385" i="215"/>
  <c r="L385" i="215"/>
  <c r="M385" i="215"/>
  <c r="N385" i="215"/>
  <c r="O385" i="215"/>
  <c r="P385" i="215"/>
  <c r="H384" i="215"/>
  <c r="I384" i="215"/>
  <c r="J384" i="215"/>
  <c r="K384" i="215"/>
  <c r="L384" i="215"/>
  <c r="N384" i="215"/>
  <c r="O384" i="215"/>
  <c r="P384" i="215"/>
  <c r="H383" i="215"/>
  <c r="I383" i="215"/>
  <c r="J383" i="215"/>
  <c r="K383" i="215"/>
  <c r="M383" i="215"/>
  <c r="N383" i="215"/>
  <c r="O383" i="215"/>
  <c r="P383" i="215"/>
  <c r="H382" i="215"/>
  <c r="I382" i="215"/>
  <c r="J382" i="215"/>
  <c r="K382" i="215"/>
  <c r="L382" i="215"/>
  <c r="N382" i="215"/>
  <c r="O382" i="215"/>
  <c r="P382" i="215"/>
  <c r="H381" i="215"/>
  <c r="I381" i="215"/>
  <c r="J381" i="215"/>
  <c r="K381" i="215"/>
  <c r="L381" i="215"/>
  <c r="N381" i="215"/>
  <c r="O381" i="215"/>
  <c r="P381" i="215"/>
  <c r="H376" i="215"/>
  <c r="I376" i="215"/>
  <c r="J376" i="215"/>
  <c r="K376" i="215"/>
  <c r="L376" i="215"/>
  <c r="N376" i="215"/>
  <c r="O376" i="215"/>
  <c r="P376" i="215"/>
  <c r="H375" i="215"/>
  <c r="J375" i="215"/>
  <c r="K375" i="215"/>
  <c r="M375" i="215"/>
  <c r="N375" i="215"/>
  <c r="O375" i="215"/>
  <c r="P375" i="215"/>
  <c r="H374" i="215"/>
  <c r="J374" i="215"/>
  <c r="K374" i="215"/>
  <c r="M374" i="215"/>
  <c r="N374" i="215"/>
  <c r="O374" i="215"/>
  <c r="P374" i="215"/>
  <c r="H370" i="215"/>
  <c r="J370" i="215"/>
  <c r="K370" i="215"/>
  <c r="N370" i="215"/>
  <c r="O370" i="215"/>
  <c r="P370" i="215"/>
  <c r="H369" i="215"/>
  <c r="I369" i="215"/>
  <c r="J369" i="215"/>
  <c r="K369" i="215"/>
  <c r="M369" i="215"/>
  <c r="N369" i="215"/>
  <c r="O369" i="215"/>
  <c r="P369" i="215"/>
  <c r="H368" i="215"/>
  <c r="I368" i="215"/>
  <c r="J368" i="215"/>
  <c r="K368" i="215"/>
  <c r="N368" i="215"/>
  <c r="O368" i="215"/>
  <c r="P368" i="215"/>
  <c r="H367" i="215"/>
  <c r="I367" i="215"/>
  <c r="J367" i="215"/>
  <c r="K367" i="215"/>
  <c r="L367" i="215"/>
  <c r="N367" i="215"/>
  <c r="O367" i="215"/>
  <c r="P367" i="215"/>
  <c r="H363" i="215"/>
  <c r="J363" i="215"/>
  <c r="K363" i="215"/>
  <c r="L363" i="215"/>
  <c r="N363" i="215"/>
  <c r="O363" i="215"/>
  <c r="P363" i="215"/>
  <c r="H362" i="215"/>
  <c r="I362" i="215"/>
  <c r="J362" i="215"/>
  <c r="K362" i="215"/>
  <c r="M362" i="215"/>
  <c r="N362" i="215"/>
  <c r="O362" i="215"/>
  <c r="P362" i="215"/>
  <c r="H361" i="215"/>
  <c r="I361" i="215"/>
  <c r="J361" i="215"/>
  <c r="K361" i="215"/>
  <c r="L361" i="215"/>
  <c r="N361" i="215"/>
  <c r="O361" i="215"/>
  <c r="P361" i="215"/>
  <c r="H360" i="215"/>
  <c r="I360" i="215"/>
  <c r="J360" i="215"/>
  <c r="K360" i="215"/>
  <c r="L360" i="215"/>
  <c r="N360" i="215"/>
  <c r="O360" i="215"/>
  <c r="P360" i="215"/>
  <c r="H359" i="215"/>
  <c r="I359" i="215"/>
  <c r="J359" i="215"/>
  <c r="K359" i="215"/>
  <c r="M359" i="215"/>
  <c r="N359" i="215"/>
  <c r="O359" i="215"/>
  <c r="P359" i="215"/>
  <c r="H358" i="215"/>
  <c r="J358" i="215"/>
  <c r="K358" i="215"/>
  <c r="L358" i="215"/>
  <c r="M358" i="215"/>
  <c r="N358" i="215"/>
  <c r="O358" i="215"/>
  <c r="P358" i="215"/>
  <c r="H356" i="215"/>
  <c r="I356" i="215"/>
  <c r="J356" i="215"/>
  <c r="K356" i="215"/>
  <c r="M356" i="215"/>
  <c r="N356" i="215"/>
  <c r="O356" i="215"/>
  <c r="P356" i="215"/>
  <c r="H355" i="215"/>
  <c r="I355" i="215"/>
  <c r="J355" i="215"/>
  <c r="K355" i="215"/>
  <c r="L355" i="215"/>
  <c r="N355" i="215"/>
  <c r="O355" i="215"/>
  <c r="P355" i="215"/>
  <c r="H354" i="215"/>
  <c r="I354" i="215"/>
  <c r="J354" i="215"/>
  <c r="K354" i="215"/>
  <c r="M354" i="215"/>
  <c r="N354" i="215"/>
  <c r="O354" i="215"/>
  <c r="P354" i="215"/>
  <c r="H353" i="215"/>
  <c r="I353" i="215"/>
  <c r="J353" i="215"/>
  <c r="K353" i="215"/>
  <c r="M353" i="215"/>
  <c r="N353" i="215"/>
  <c r="O353" i="215"/>
  <c r="P353" i="215"/>
  <c r="H352" i="215"/>
  <c r="I352" i="215"/>
  <c r="J352" i="215"/>
  <c r="K352" i="215"/>
  <c r="M352" i="215"/>
  <c r="N352" i="215"/>
  <c r="O352" i="215"/>
  <c r="P352" i="215"/>
  <c r="H351" i="215"/>
  <c r="I351" i="215"/>
  <c r="J351" i="215"/>
  <c r="K351" i="215"/>
  <c r="N351" i="215"/>
  <c r="O351" i="215"/>
  <c r="P351" i="215"/>
  <c r="H350" i="215"/>
  <c r="I350" i="215"/>
  <c r="J350" i="215"/>
  <c r="K350" i="215"/>
  <c r="M350" i="215"/>
  <c r="N350" i="215"/>
  <c r="O350" i="215"/>
  <c r="P350" i="215"/>
  <c r="H346" i="215"/>
  <c r="J346" i="215"/>
  <c r="K346" i="215"/>
  <c r="M346" i="215"/>
  <c r="N346" i="215"/>
  <c r="O346" i="215"/>
  <c r="P346" i="215"/>
  <c r="H344" i="215"/>
  <c r="J344" i="215"/>
  <c r="K344" i="215"/>
  <c r="N344" i="215"/>
  <c r="O344" i="215"/>
  <c r="P344" i="215"/>
  <c r="H342" i="215"/>
  <c r="J342" i="215"/>
  <c r="K342" i="215"/>
  <c r="N342" i="215"/>
  <c r="O342" i="215"/>
  <c r="P342" i="215"/>
  <c r="H340" i="215"/>
  <c r="I340" i="215"/>
  <c r="J340" i="215"/>
  <c r="K340" i="215"/>
  <c r="L340" i="215"/>
  <c r="N340" i="215"/>
  <c r="O340" i="215"/>
  <c r="P340" i="215"/>
  <c r="G340" i="215"/>
  <c r="G342" i="215"/>
  <c r="G344" i="215"/>
  <c r="G346" i="215"/>
  <c r="G350" i="215"/>
  <c r="G351" i="215"/>
  <c r="G352" i="215"/>
  <c r="G353" i="215"/>
  <c r="G354" i="215"/>
  <c r="G355" i="215"/>
  <c r="G356" i="215"/>
  <c r="G358" i="215"/>
  <c r="G359" i="215"/>
  <c r="G360" i="215"/>
  <c r="G361" i="215"/>
  <c r="G362" i="215"/>
  <c r="G363" i="215"/>
  <c r="G367" i="215"/>
  <c r="G368" i="215"/>
  <c r="G369" i="215"/>
  <c r="G370" i="215"/>
  <c r="G374" i="215"/>
  <c r="G375" i="215"/>
  <c r="G376" i="215"/>
  <c r="G381" i="215"/>
  <c r="G382" i="215"/>
  <c r="G383" i="215"/>
  <c r="G384" i="215"/>
  <c r="G385" i="215"/>
  <c r="G386" i="215"/>
  <c r="G387" i="215"/>
  <c r="G388" i="215"/>
  <c r="G389" i="215"/>
  <c r="G390" i="215"/>
  <c r="G391" i="215"/>
  <c r="G392" i="215"/>
  <c r="G393" i="215"/>
  <c r="G394" i="215"/>
  <c r="G395" i="215"/>
  <c r="G396" i="215"/>
  <c r="G397" i="215"/>
  <c r="G398" i="215"/>
  <c r="G399" i="215"/>
  <c r="G404" i="215"/>
  <c r="G405" i="215"/>
  <c r="G418" i="215"/>
  <c r="G421" i="215"/>
  <c r="G422" i="215"/>
  <c r="G425" i="215"/>
  <c r="G427" i="215"/>
  <c r="G432" i="215"/>
  <c r="G433" i="215"/>
  <c r="G438" i="215"/>
  <c r="G439" i="215"/>
  <c r="G440" i="215"/>
  <c r="G441" i="215"/>
  <c r="G443" i="215"/>
  <c r="G446" i="215"/>
  <c r="G448" i="215"/>
  <c r="G449" i="215"/>
  <c r="G450" i="215"/>
  <c r="H339" i="215"/>
  <c r="J339" i="215"/>
  <c r="K339" i="215"/>
  <c r="N339" i="215"/>
  <c r="O339" i="215"/>
  <c r="P339" i="215"/>
  <c r="G339" i="215"/>
  <c r="I335" i="215"/>
  <c r="H331" i="215"/>
  <c r="K329" i="215"/>
  <c r="L328" i="215"/>
  <c r="H335" i="215"/>
  <c r="J335" i="215"/>
  <c r="K335" i="215"/>
  <c r="L335" i="215"/>
  <c r="M335" i="215"/>
  <c r="N335" i="215"/>
  <c r="O335" i="215"/>
  <c r="P335" i="215"/>
  <c r="H333" i="215"/>
  <c r="I333" i="215"/>
  <c r="J333" i="215"/>
  <c r="L333" i="215"/>
  <c r="M333" i="215"/>
  <c r="N333" i="215"/>
  <c r="O333" i="215"/>
  <c r="P333" i="215"/>
  <c r="J331" i="215"/>
  <c r="K331" i="215"/>
  <c r="L331" i="215"/>
  <c r="N331" i="215"/>
  <c r="O331" i="215"/>
  <c r="P331" i="215"/>
  <c r="H330" i="215"/>
  <c r="J330" i="215"/>
  <c r="K330" i="215"/>
  <c r="N330" i="215"/>
  <c r="O330" i="215"/>
  <c r="P330" i="215"/>
  <c r="H329" i="215"/>
  <c r="J329" i="215"/>
  <c r="L329" i="215"/>
  <c r="N329" i="215"/>
  <c r="O329" i="215"/>
  <c r="P329" i="215"/>
  <c r="G329" i="215"/>
  <c r="G330" i="215"/>
  <c r="G331" i="215"/>
  <c r="G333" i="215"/>
  <c r="G335" i="215"/>
  <c r="H328" i="215"/>
  <c r="J328" i="215"/>
  <c r="K328" i="215"/>
  <c r="N328" i="215"/>
  <c r="O328" i="215"/>
  <c r="P328" i="215"/>
  <c r="G328" i="215"/>
  <c r="L324" i="215"/>
  <c r="L323" i="215"/>
  <c r="M322" i="215"/>
  <c r="I321" i="215"/>
  <c r="L318" i="215"/>
  <c r="M315" i="215"/>
  <c r="L315" i="215"/>
  <c r="I315" i="215"/>
  <c r="M311" i="215"/>
  <c r="M308" i="215"/>
  <c r="M307" i="215"/>
  <c r="M306" i="215"/>
  <c r="M305" i="215"/>
  <c r="I304" i="215"/>
  <c r="L303" i="215"/>
  <c r="L302" i="215"/>
  <c r="M299" i="215"/>
  <c r="H324" i="215"/>
  <c r="I324" i="215"/>
  <c r="J324" i="215"/>
  <c r="K324" i="215"/>
  <c r="M324" i="215"/>
  <c r="N324" i="215"/>
  <c r="O324" i="215"/>
  <c r="P324" i="215"/>
  <c r="H323" i="215"/>
  <c r="I323" i="215"/>
  <c r="J323" i="215"/>
  <c r="K323" i="215"/>
  <c r="M323" i="215"/>
  <c r="N323" i="215"/>
  <c r="O323" i="215"/>
  <c r="P323" i="215"/>
  <c r="H322" i="215"/>
  <c r="I322" i="215"/>
  <c r="J322" i="215"/>
  <c r="K322" i="215"/>
  <c r="L322" i="215"/>
  <c r="N322" i="215"/>
  <c r="O322" i="215"/>
  <c r="P322" i="215"/>
  <c r="H321" i="215"/>
  <c r="J321" i="215"/>
  <c r="K321" i="215"/>
  <c r="L321" i="215"/>
  <c r="M321" i="215"/>
  <c r="N321" i="215"/>
  <c r="O321" i="215"/>
  <c r="P321" i="215"/>
  <c r="H318" i="215"/>
  <c r="J318" i="215"/>
  <c r="K318" i="215"/>
  <c r="N318" i="215"/>
  <c r="O318" i="215"/>
  <c r="P318" i="215"/>
  <c r="H315" i="215"/>
  <c r="J315" i="215"/>
  <c r="K315" i="215"/>
  <c r="N315" i="215"/>
  <c r="O315" i="215"/>
  <c r="P315" i="215"/>
  <c r="H314" i="215"/>
  <c r="I314" i="215"/>
  <c r="J314" i="215"/>
  <c r="K314" i="215"/>
  <c r="N314" i="215"/>
  <c r="O314" i="215"/>
  <c r="P314" i="215"/>
  <c r="H311" i="215"/>
  <c r="I311" i="215"/>
  <c r="J311" i="215"/>
  <c r="K311" i="215"/>
  <c r="L311" i="215"/>
  <c r="N311" i="215"/>
  <c r="O311" i="215"/>
  <c r="P311" i="215"/>
  <c r="H310" i="215"/>
  <c r="J310" i="215"/>
  <c r="K310" i="215"/>
  <c r="M310" i="215"/>
  <c r="N310" i="215"/>
  <c r="O310" i="215"/>
  <c r="P310" i="215"/>
  <c r="H309" i="215"/>
  <c r="I309" i="215"/>
  <c r="J309" i="215"/>
  <c r="K309" i="215"/>
  <c r="L309" i="215"/>
  <c r="N309" i="215"/>
  <c r="O309" i="215"/>
  <c r="P309" i="215"/>
  <c r="H308" i="215"/>
  <c r="I308" i="215"/>
  <c r="J308" i="215"/>
  <c r="K308" i="215"/>
  <c r="L308" i="215"/>
  <c r="N308" i="215"/>
  <c r="O308" i="215"/>
  <c r="P308" i="215"/>
  <c r="H307" i="215"/>
  <c r="I307" i="215"/>
  <c r="J307" i="215"/>
  <c r="K307" i="215"/>
  <c r="L307" i="215"/>
  <c r="N307" i="215"/>
  <c r="O307" i="215"/>
  <c r="P307" i="215"/>
  <c r="H306" i="215"/>
  <c r="I306" i="215"/>
  <c r="J306" i="215"/>
  <c r="K306" i="215"/>
  <c r="L306" i="215"/>
  <c r="N306" i="215"/>
  <c r="O306" i="215"/>
  <c r="P306" i="215"/>
  <c r="H305" i="215"/>
  <c r="I305" i="215"/>
  <c r="J305" i="215"/>
  <c r="K305" i="215"/>
  <c r="L305" i="215"/>
  <c r="N305" i="215"/>
  <c r="O305" i="215"/>
  <c r="P305" i="215"/>
  <c r="H304" i="215"/>
  <c r="J304" i="215"/>
  <c r="K304" i="215"/>
  <c r="L304" i="215"/>
  <c r="M304" i="215"/>
  <c r="N304" i="215"/>
  <c r="O304" i="215"/>
  <c r="P304" i="215"/>
  <c r="H303" i="215"/>
  <c r="I303" i="215"/>
  <c r="J303" i="215"/>
  <c r="K303" i="215"/>
  <c r="M303" i="215"/>
  <c r="N303" i="215"/>
  <c r="O303" i="215"/>
  <c r="P303" i="215"/>
  <c r="H302" i="215"/>
  <c r="I302" i="215"/>
  <c r="J302" i="215"/>
  <c r="K302" i="215"/>
  <c r="M302" i="215"/>
  <c r="N302" i="215"/>
  <c r="O302" i="215"/>
  <c r="P302" i="215"/>
  <c r="H299" i="215"/>
  <c r="I299" i="215"/>
  <c r="J299" i="215"/>
  <c r="K299" i="215"/>
  <c r="L299" i="215"/>
  <c r="N299" i="215"/>
  <c r="O299" i="215"/>
  <c r="P299" i="215"/>
  <c r="H298" i="215"/>
  <c r="I298" i="215"/>
  <c r="J298" i="215"/>
  <c r="K298" i="215"/>
  <c r="N298" i="215"/>
  <c r="O298" i="215"/>
  <c r="P298" i="215"/>
  <c r="G298" i="215"/>
  <c r="G299" i="215"/>
  <c r="G302" i="215"/>
  <c r="G303" i="215"/>
  <c r="G304" i="215"/>
  <c r="G305" i="215"/>
  <c r="G306" i="215"/>
  <c r="G307" i="215"/>
  <c r="G308" i="215"/>
  <c r="G309" i="215"/>
  <c r="G310" i="215"/>
  <c r="G311" i="215"/>
  <c r="G314" i="215"/>
  <c r="G315" i="215"/>
  <c r="G318" i="215"/>
  <c r="G321" i="215"/>
  <c r="G322" i="215"/>
  <c r="G323" i="215"/>
  <c r="G324" i="215"/>
  <c r="H294" i="215"/>
  <c r="I294" i="215"/>
  <c r="J294" i="215"/>
  <c r="K294" i="215"/>
  <c r="L294" i="215"/>
  <c r="N294" i="215"/>
  <c r="O294" i="215"/>
  <c r="P294" i="215"/>
  <c r="G294" i="215"/>
  <c r="J3" i="135" l="1"/>
  <c r="Z24" i="135"/>
  <c r="AA24" i="135" s="1"/>
  <c r="K14" i="135"/>
  <c r="K19" i="135" s="1"/>
  <c r="K25" i="135" s="1"/>
  <c r="Z6" i="135"/>
  <c r="K289" i="215"/>
  <c r="I283" i="215"/>
  <c r="I281" i="215"/>
  <c r="K278" i="215"/>
  <c r="I278" i="215"/>
  <c r="H278" i="215"/>
  <c r="G278" i="215"/>
  <c r="I276" i="215"/>
  <c r="I275" i="215"/>
  <c r="I274" i="215"/>
  <c r="I272" i="215"/>
  <c r="K269" i="215"/>
  <c r="I269" i="215"/>
  <c r="I267" i="215"/>
  <c r="I266" i="215"/>
  <c r="I262" i="215"/>
  <c r="I259" i="215"/>
  <c r="L257" i="215"/>
  <c r="I256" i="215"/>
  <c r="I253" i="215"/>
  <c r="L251" i="215"/>
  <c r="K249" i="215"/>
  <c r="I248" i="215"/>
  <c r="I247" i="215"/>
  <c r="I246" i="215"/>
  <c r="I245" i="215"/>
  <c r="I244" i="215"/>
  <c r="I243" i="215"/>
  <c r="I242" i="215"/>
  <c r="I241" i="215"/>
  <c r="I240" i="215"/>
  <c r="I239" i="215"/>
  <c r="I238" i="215"/>
  <c r="I236" i="215"/>
  <c r="K3" i="135" l="1"/>
  <c r="K7" i="135" s="1"/>
  <c r="J7" i="135"/>
  <c r="J12" i="135" s="1"/>
  <c r="J26" i="135" s="1"/>
  <c r="J28" i="135" s="1"/>
  <c r="O34" i="135"/>
  <c r="I235" i="215"/>
  <c r="I234" i="215"/>
  <c r="I229" i="215"/>
  <c r="M228" i="215"/>
  <c r="I228" i="215"/>
  <c r="I226" i="215"/>
  <c r="M225" i="215"/>
  <c r="I225" i="215"/>
  <c r="I224" i="215"/>
  <c r="L221" i="215"/>
  <c r="I221" i="215"/>
  <c r="I216" i="215"/>
  <c r="I215" i="215"/>
  <c r="I214" i="215"/>
  <c r="I213" i="215"/>
  <c r="I212" i="215"/>
  <c r="I211" i="215"/>
  <c r="I210" i="215"/>
  <c r="I209" i="215"/>
  <c r="I208" i="215"/>
  <c r="I207" i="215"/>
  <c r="I205" i="215"/>
  <c r="I203" i="215"/>
  <c r="I201" i="215"/>
  <c r="H289" i="215"/>
  <c r="I289" i="215"/>
  <c r="J289" i="215"/>
  <c r="L289" i="215"/>
  <c r="M289" i="215"/>
  <c r="N289" i="215"/>
  <c r="O289" i="215"/>
  <c r="P289" i="215"/>
  <c r="H285" i="215"/>
  <c r="J285" i="215"/>
  <c r="K285" i="215"/>
  <c r="L285" i="215"/>
  <c r="N285" i="215"/>
  <c r="O285" i="215"/>
  <c r="P285" i="215"/>
  <c r="H283" i="215"/>
  <c r="J283" i="215"/>
  <c r="K283" i="215"/>
  <c r="L283" i="215"/>
  <c r="M283" i="215"/>
  <c r="N283" i="215"/>
  <c r="O283" i="215"/>
  <c r="P283" i="215"/>
  <c r="H281" i="215"/>
  <c r="J281" i="215"/>
  <c r="K281" i="215"/>
  <c r="L281" i="215"/>
  <c r="M281" i="215"/>
  <c r="N281" i="215"/>
  <c r="O281" i="215"/>
  <c r="P281" i="215"/>
  <c r="J278" i="215"/>
  <c r="L278" i="215"/>
  <c r="M278" i="215"/>
  <c r="N278" i="215"/>
  <c r="O278" i="215"/>
  <c r="P278" i="215"/>
  <c r="H276" i="215"/>
  <c r="J276" i="215"/>
  <c r="K276" i="215"/>
  <c r="L276" i="215"/>
  <c r="M276" i="215"/>
  <c r="N276" i="215"/>
  <c r="O276" i="215"/>
  <c r="P276" i="215"/>
  <c r="H275" i="215"/>
  <c r="J275" i="215"/>
  <c r="K275" i="215"/>
  <c r="L275" i="215"/>
  <c r="M275" i="215"/>
  <c r="N275" i="215"/>
  <c r="O275" i="215"/>
  <c r="P275" i="215"/>
  <c r="H274" i="215"/>
  <c r="J274" i="215"/>
  <c r="K274" i="215"/>
  <c r="L274" i="215"/>
  <c r="M274" i="215"/>
  <c r="N274" i="215"/>
  <c r="O274" i="215"/>
  <c r="P274" i="215"/>
  <c r="H273" i="215"/>
  <c r="J273" i="215"/>
  <c r="K273" i="215"/>
  <c r="L273" i="215"/>
  <c r="M273" i="215"/>
  <c r="N273" i="215"/>
  <c r="O273" i="215"/>
  <c r="P273" i="215"/>
  <c r="H272" i="215"/>
  <c r="J272" i="215"/>
  <c r="K272" i="215"/>
  <c r="L272" i="215"/>
  <c r="M272" i="215"/>
  <c r="N272" i="215"/>
  <c r="O272" i="215"/>
  <c r="P272" i="215"/>
  <c r="H271" i="215"/>
  <c r="J271" i="215"/>
  <c r="K271" i="215"/>
  <c r="L271" i="215"/>
  <c r="M271" i="215"/>
  <c r="N271" i="215"/>
  <c r="O271" i="215"/>
  <c r="P271" i="215"/>
  <c r="H269" i="215"/>
  <c r="J269" i="215"/>
  <c r="L269" i="215"/>
  <c r="M269" i="215"/>
  <c r="N269" i="215"/>
  <c r="O269" i="215"/>
  <c r="P269" i="215"/>
  <c r="H267" i="215"/>
  <c r="J267" i="215"/>
  <c r="K267" i="215"/>
  <c r="L267" i="215"/>
  <c r="M267" i="215"/>
  <c r="N267" i="215"/>
  <c r="O267" i="215"/>
  <c r="P267" i="215"/>
  <c r="H266" i="215"/>
  <c r="J266" i="215"/>
  <c r="K266" i="215"/>
  <c r="L266" i="215"/>
  <c r="M266" i="215"/>
  <c r="N266" i="215"/>
  <c r="O266" i="215"/>
  <c r="P266" i="215"/>
  <c r="H264" i="215"/>
  <c r="J264" i="215"/>
  <c r="K264" i="215"/>
  <c r="L264" i="215"/>
  <c r="M264" i="215"/>
  <c r="N264" i="215"/>
  <c r="O264" i="215"/>
  <c r="P264" i="215"/>
  <c r="H262" i="215"/>
  <c r="J262" i="215"/>
  <c r="K262" i="215"/>
  <c r="L262" i="215"/>
  <c r="M262" i="215"/>
  <c r="N262" i="215"/>
  <c r="O262" i="215"/>
  <c r="P262" i="215"/>
  <c r="H261" i="215"/>
  <c r="J261" i="215"/>
  <c r="K261" i="215"/>
  <c r="L261" i="215"/>
  <c r="M261" i="215"/>
  <c r="N261" i="215"/>
  <c r="O261" i="215"/>
  <c r="P261" i="215"/>
  <c r="H260" i="215"/>
  <c r="J260" i="215"/>
  <c r="K260" i="215"/>
  <c r="L260" i="215"/>
  <c r="M260" i="215"/>
  <c r="N260" i="215"/>
  <c r="O260" i="215"/>
  <c r="P260" i="215"/>
  <c r="H259" i="215"/>
  <c r="J259" i="215"/>
  <c r="K259" i="215"/>
  <c r="L259" i="215"/>
  <c r="M259" i="215"/>
  <c r="N259" i="215"/>
  <c r="O259" i="215"/>
  <c r="P259" i="215"/>
  <c r="H258" i="215"/>
  <c r="J258" i="215"/>
  <c r="K258" i="215"/>
  <c r="M258" i="215"/>
  <c r="N258" i="215"/>
  <c r="O258" i="215"/>
  <c r="P258" i="215"/>
  <c r="H257" i="215"/>
  <c r="J257" i="215"/>
  <c r="K257" i="215"/>
  <c r="N257" i="215"/>
  <c r="O257" i="215"/>
  <c r="P257" i="215"/>
  <c r="H256" i="215"/>
  <c r="J256" i="215"/>
  <c r="K256" i="215"/>
  <c r="L256" i="215"/>
  <c r="M256" i="215"/>
  <c r="N256" i="215"/>
  <c r="O256" i="215"/>
  <c r="P256" i="215"/>
  <c r="H255" i="215"/>
  <c r="J255" i="215"/>
  <c r="K255" i="215"/>
  <c r="L255" i="215"/>
  <c r="M255" i="215"/>
  <c r="N255" i="215"/>
  <c r="O255" i="215"/>
  <c r="P255" i="215"/>
  <c r="H254" i="215"/>
  <c r="J254" i="215"/>
  <c r="K254" i="215"/>
  <c r="L254" i="215"/>
  <c r="N254" i="215"/>
  <c r="O254" i="215"/>
  <c r="P254" i="215"/>
  <c r="H253" i="215"/>
  <c r="J253" i="215"/>
  <c r="K253" i="215"/>
  <c r="L253" i="215"/>
  <c r="M253" i="215"/>
  <c r="N253" i="215"/>
  <c r="O253" i="215"/>
  <c r="P253" i="215"/>
  <c r="H251" i="215"/>
  <c r="J251" i="215"/>
  <c r="K251" i="215"/>
  <c r="M251" i="215"/>
  <c r="N251" i="215"/>
  <c r="O251" i="215"/>
  <c r="P251" i="215"/>
  <c r="H249" i="215"/>
  <c r="I249" i="215"/>
  <c r="J249" i="215"/>
  <c r="L249" i="215"/>
  <c r="M249" i="215"/>
  <c r="N249" i="215"/>
  <c r="O249" i="215"/>
  <c r="P249" i="215"/>
  <c r="H248" i="215"/>
  <c r="J248" i="215"/>
  <c r="K248" i="215"/>
  <c r="L248" i="215"/>
  <c r="M248" i="215"/>
  <c r="N248" i="215"/>
  <c r="O248" i="215"/>
  <c r="P248" i="215"/>
  <c r="H247" i="215"/>
  <c r="J247" i="215"/>
  <c r="K247" i="215"/>
  <c r="L247" i="215"/>
  <c r="M247" i="215"/>
  <c r="N247" i="215"/>
  <c r="O247" i="215"/>
  <c r="P247" i="215"/>
  <c r="H246" i="215"/>
  <c r="J246" i="215"/>
  <c r="K246" i="215"/>
  <c r="L246" i="215"/>
  <c r="M246" i="215"/>
  <c r="N246" i="215"/>
  <c r="O246" i="215"/>
  <c r="P246" i="215"/>
  <c r="H245" i="215"/>
  <c r="J245" i="215"/>
  <c r="K245" i="215"/>
  <c r="L245" i="215"/>
  <c r="M245" i="215"/>
  <c r="N245" i="215"/>
  <c r="O245" i="215"/>
  <c r="P245" i="215"/>
  <c r="H244" i="215"/>
  <c r="J244" i="215"/>
  <c r="K244" i="215"/>
  <c r="L244" i="215"/>
  <c r="M244" i="215"/>
  <c r="N244" i="215"/>
  <c r="O244" i="215"/>
  <c r="P244" i="215"/>
  <c r="H243" i="215"/>
  <c r="J243" i="215"/>
  <c r="K243" i="215"/>
  <c r="L243" i="215"/>
  <c r="M243" i="215"/>
  <c r="N243" i="215"/>
  <c r="O243" i="215"/>
  <c r="P243" i="215"/>
  <c r="H242" i="215"/>
  <c r="J242" i="215"/>
  <c r="K242" i="215"/>
  <c r="L242" i="215"/>
  <c r="M242" i="215"/>
  <c r="N242" i="215"/>
  <c r="O242" i="215"/>
  <c r="P242" i="215"/>
  <c r="H241" i="215"/>
  <c r="J241" i="215"/>
  <c r="K241" i="215"/>
  <c r="L241" i="215"/>
  <c r="M241" i="215"/>
  <c r="N241" i="215"/>
  <c r="O241" i="215"/>
  <c r="P241" i="215"/>
  <c r="H240" i="215"/>
  <c r="J240" i="215"/>
  <c r="K240" i="215"/>
  <c r="L240" i="215"/>
  <c r="M240" i="215"/>
  <c r="N240" i="215"/>
  <c r="O240" i="215"/>
  <c r="P240" i="215"/>
  <c r="H239" i="215"/>
  <c r="J239" i="215"/>
  <c r="K239" i="215"/>
  <c r="L239" i="215"/>
  <c r="M239" i="215"/>
  <c r="N239" i="215"/>
  <c r="O239" i="215"/>
  <c r="P239" i="215"/>
  <c r="H238" i="215"/>
  <c r="J238" i="215"/>
  <c r="K238" i="215"/>
  <c r="L238" i="215"/>
  <c r="M238" i="215"/>
  <c r="N238" i="215"/>
  <c r="O238" i="215"/>
  <c r="P238" i="215"/>
  <c r="H236" i="215"/>
  <c r="J236" i="215"/>
  <c r="K236" i="215"/>
  <c r="L236" i="215"/>
  <c r="M236" i="215"/>
  <c r="N236" i="215"/>
  <c r="O236" i="215"/>
  <c r="P236" i="215"/>
  <c r="H235" i="215"/>
  <c r="J235" i="215"/>
  <c r="K235" i="215"/>
  <c r="L235" i="215"/>
  <c r="M235" i="215"/>
  <c r="N235" i="215"/>
  <c r="O235" i="215"/>
  <c r="P235" i="215"/>
  <c r="H234" i="215"/>
  <c r="J234" i="215"/>
  <c r="K234" i="215"/>
  <c r="L234" i="215"/>
  <c r="M234" i="215"/>
  <c r="N234" i="215"/>
  <c r="O234" i="215"/>
  <c r="P234" i="215"/>
  <c r="H232" i="215"/>
  <c r="I232" i="215"/>
  <c r="J232" i="215"/>
  <c r="L232" i="215"/>
  <c r="M232" i="215"/>
  <c r="N232" i="215"/>
  <c r="O232" i="215"/>
  <c r="P232" i="215"/>
  <c r="H231" i="215"/>
  <c r="I231" i="215"/>
  <c r="J231" i="215"/>
  <c r="L231" i="215"/>
  <c r="M231" i="215"/>
  <c r="N231" i="215"/>
  <c r="O231" i="215"/>
  <c r="P231" i="215"/>
  <c r="H229" i="215"/>
  <c r="J229" i="215"/>
  <c r="K229" i="215"/>
  <c r="L229" i="215"/>
  <c r="M229" i="215"/>
  <c r="N229" i="215"/>
  <c r="O229" i="215"/>
  <c r="P229" i="215"/>
  <c r="H228" i="215"/>
  <c r="J228" i="215"/>
  <c r="K228" i="215"/>
  <c r="L228" i="215"/>
  <c r="N228" i="215"/>
  <c r="O228" i="215"/>
  <c r="P228" i="215"/>
  <c r="H227" i="215"/>
  <c r="J227" i="215"/>
  <c r="K227" i="215"/>
  <c r="L227" i="215"/>
  <c r="M227" i="215"/>
  <c r="N227" i="215"/>
  <c r="O227" i="215"/>
  <c r="P227" i="215"/>
  <c r="H226" i="215"/>
  <c r="J226" i="215"/>
  <c r="K226" i="215"/>
  <c r="L226" i="215"/>
  <c r="M226" i="215"/>
  <c r="N226" i="215"/>
  <c r="O226" i="215"/>
  <c r="P226" i="215"/>
  <c r="H225" i="215"/>
  <c r="J225" i="215"/>
  <c r="K225" i="215"/>
  <c r="L225" i="215"/>
  <c r="N225" i="215"/>
  <c r="O225" i="215"/>
  <c r="P225" i="215"/>
  <c r="H224" i="215"/>
  <c r="J224" i="215"/>
  <c r="K224" i="215"/>
  <c r="L224" i="215"/>
  <c r="M224" i="215"/>
  <c r="N224" i="215"/>
  <c r="O224" i="215"/>
  <c r="P224" i="215"/>
  <c r="H223" i="215"/>
  <c r="J223" i="215"/>
  <c r="K223" i="215"/>
  <c r="L223" i="215"/>
  <c r="M223" i="215"/>
  <c r="N223" i="215"/>
  <c r="O223" i="215"/>
  <c r="P223" i="215"/>
  <c r="H222" i="215"/>
  <c r="J222" i="215"/>
  <c r="K222" i="215"/>
  <c r="L222" i="215"/>
  <c r="M222" i="215"/>
  <c r="N222" i="215"/>
  <c r="O222" i="215"/>
  <c r="P222" i="215"/>
  <c r="H221" i="215"/>
  <c r="J221" i="215"/>
  <c r="K221" i="215"/>
  <c r="M221" i="215"/>
  <c r="N221" i="215"/>
  <c r="O221" i="215"/>
  <c r="P221" i="215"/>
  <c r="H220" i="215"/>
  <c r="J220" i="215"/>
  <c r="K220" i="215"/>
  <c r="L220" i="215"/>
  <c r="M220" i="215"/>
  <c r="N220" i="215"/>
  <c r="O220" i="215"/>
  <c r="P220" i="215"/>
  <c r="H219" i="215"/>
  <c r="J219" i="215"/>
  <c r="K219" i="215"/>
  <c r="L219" i="215"/>
  <c r="M219" i="215"/>
  <c r="N219" i="215"/>
  <c r="O219" i="215"/>
  <c r="P219" i="215"/>
  <c r="H217" i="215"/>
  <c r="J217" i="215"/>
  <c r="K217" i="215"/>
  <c r="L217" i="215"/>
  <c r="M217" i="215"/>
  <c r="N217" i="215"/>
  <c r="O217" i="215"/>
  <c r="P217" i="215"/>
  <c r="H216" i="215"/>
  <c r="J216" i="215"/>
  <c r="K216" i="215"/>
  <c r="L216" i="215"/>
  <c r="M216" i="215"/>
  <c r="N216" i="215"/>
  <c r="O216" i="215"/>
  <c r="P216" i="215"/>
  <c r="H215" i="215"/>
  <c r="J215" i="215"/>
  <c r="K215" i="215"/>
  <c r="L215" i="215"/>
  <c r="M215" i="215"/>
  <c r="N215" i="215"/>
  <c r="O215" i="215"/>
  <c r="P215" i="215"/>
  <c r="H214" i="215"/>
  <c r="J214" i="215"/>
  <c r="K214" i="215"/>
  <c r="L214" i="215"/>
  <c r="M214" i="215"/>
  <c r="N214" i="215"/>
  <c r="O214" i="215"/>
  <c r="P214" i="215"/>
  <c r="H213" i="215"/>
  <c r="J213" i="215"/>
  <c r="K213" i="215"/>
  <c r="L213" i="215"/>
  <c r="M213" i="215"/>
  <c r="N213" i="215"/>
  <c r="O213" i="215"/>
  <c r="P213" i="215"/>
  <c r="H212" i="215"/>
  <c r="J212" i="215"/>
  <c r="K212" i="215"/>
  <c r="L212" i="215"/>
  <c r="M212" i="215"/>
  <c r="N212" i="215"/>
  <c r="O212" i="215"/>
  <c r="P212" i="215"/>
  <c r="H211" i="215"/>
  <c r="J211" i="215"/>
  <c r="K211" i="215"/>
  <c r="L211" i="215"/>
  <c r="M211" i="215"/>
  <c r="N211" i="215"/>
  <c r="O211" i="215"/>
  <c r="P211" i="215"/>
  <c r="H210" i="215"/>
  <c r="J210" i="215"/>
  <c r="K210" i="215"/>
  <c r="L210" i="215"/>
  <c r="M210" i="215"/>
  <c r="N210" i="215"/>
  <c r="O210" i="215"/>
  <c r="P210" i="215"/>
  <c r="H209" i="215"/>
  <c r="J209" i="215"/>
  <c r="K209" i="215"/>
  <c r="L209" i="215"/>
  <c r="M209" i="215"/>
  <c r="N209" i="215"/>
  <c r="O209" i="215"/>
  <c r="P209" i="215"/>
  <c r="H208" i="215"/>
  <c r="J208" i="215"/>
  <c r="K208" i="215"/>
  <c r="L208" i="215"/>
  <c r="M208" i="215"/>
  <c r="N208" i="215"/>
  <c r="O208" i="215"/>
  <c r="P208" i="215"/>
  <c r="H207" i="215"/>
  <c r="J207" i="215"/>
  <c r="K207" i="215"/>
  <c r="L207" i="215"/>
  <c r="M207" i="215"/>
  <c r="N207" i="215"/>
  <c r="O207" i="215"/>
  <c r="P207" i="215"/>
  <c r="H206" i="215"/>
  <c r="J206" i="215"/>
  <c r="K206" i="215"/>
  <c r="L206" i="215"/>
  <c r="M206" i="215"/>
  <c r="N206" i="215"/>
  <c r="O206" i="215"/>
  <c r="P206" i="215"/>
  <c r="H205" i="215"/>
  <c r="J205" i="215"/>
  <c r="K205" i="215"/>
  <c r="L205" i="215"/>
  <c r="M205" i="215"/>
  <c r="N205" i="215"/>
  <c r="O205" i="215"/>
  <c r="P205" i="215"/>
  <c r="J204" i="215"/>
  <c r="K204" i="215"/>
  <c r="L204" i="215"/>
  <c r="M204" i="215"/>
  <c r="N204" i="215"/>
  <c r="O204" i="215"/>
  <c r="P204" i="215"/>
  <c r="H203" i="215"/>
  <c r="J203" i="215"/>
  <c r="K203" i="215"/>
  <c r="L203" i="215"/>
  <c r="M203" i="215"/>
  <c r="N203" i="215"/>
  <c r="O203" i="215"/>
  <c r="P203" i="215"/>
  <c r="H202" i="215"/>
  <c r="J202" i="215"/>
  <c r="K202" i="215"/>
  <c r="L202" i="215"/>
  <c r="M202" i="215"/>
  <c r="N202" i="215"/>
  <c r="O202" i="215"/>
  <c r="P202" i="215"/>
  <c r="H201" i="215"/>
  <c r="J201" i="215"/>
  <c r="K201" i="215"/>
  <c r="L201" i="215"/>
  <c r="M201" i="215"/>
  <c r="N201" i="215"/>
  <c r="O201" i="215"/>
  <c r="P201" i="215"/>
  <c r="G201" i="215"/>
  <c r="G202" i="215"/>
  <c r="G203" i="215"/>
  <c r="G205" i="215"/>
  <c r="G206" i="215"/>
  <c r="G207" i="215"/>
  <c r="G208" i="215"/>
  <c r="G209" i="215"/>
  <c r="G210" i="215"/>
  <c r="G211" i="215"/>
  <c r="G212" i="215"/>
  <c r="G213" i="215"/>
  <c r="G214" i="215"/>
  <c r="G215" i="215"/>
  <c r="G216" i="215"/>
  <c r="G217" i="215"/>
  <c r="G219" i="215"/>
  <c r="G220" i="215"/>
  <c r="G221" i="215"/>
  <c r="G222" i="215"/>
  <c r="G223" i="215"/>
  <c r="G224" i="215"/>
  <c r="G225" i="215"/>
  <c r="G226" i="215"/>
  <c r="G227" i="215"/>
  <c r="G228" i="215"/>
  <c r="G229" i="215"/>
  <c r="G231" i="215"/>
  <c r="G232" i="215"/>
  <c r="G234" i="215"/>
  <c r="G235" i="215"/>
  <c r="G236" i="215"/>
  <c r="G238" i="215"/>
  <c r="G239" i="215"/>
  <c r="G240" i="215"/>
  <c r="G241" i="215"/>
  <c r="G242" i="215"/>
  <c r="G243" i="215"/>
  <c r="G244" i="215"/>
  <c r="G245" i="215"/>
  <c r="G246" i="215"/>
  <c r="G247" i="215"/>
  <c r="G248" i="215"/>
  <c r="G249" i="215"/>
  <c r="G251" i="215"/>
  <c r="G253" i="215"/>
  <c r="G254" i="215"/>
  <c r="G255" i="215"/>
  <c r="G256" i="215"/>
  <c r="G257" i="215"/>
  <c r="G258" i="215"/>
  <c r="G259" i="215"/>
  <c r="G260" i="215"/>
  <c r="G261" i="215"/>
  <c r="G262" i="215"/>
  <c r="G264" i="215"/>
  <c r="G266" i="215"/>
  <c r="G267" i="215"/>
  <c r="G269" i="215"/>
  <c r="G271" i="215"/>
  <c r="G272" i="215"/>
  <c r="G273" i="215"/>
  <c r="G274" i="215"/>
  <c r="G275" i="215"/>
  <c r="G276" i="215"/>
  <c r="G281" i="215"/>
  <c r="G283" i="215"/>
  <c r="G285" i="215"/>
  <c r="G289" i="215"/>
  <c r="H200" i="215"/>
  <c r="J200" i="215"/>
  <c r="K200" i="215"/>
  <c r="L200" i="215"/>
  <c r="M200" i="215"/>
  <c r="N200" i="215"/>
  <c r="O200" i="215"/>
  <c r="P200" i="215"/>
  <c r="G200" i="215"/>
  <c r="N196" i="215"/>
  <c r="L195" i="215"/>
  <c r="H196" i="215"/>
  <c r="I196" i="215"/>
  <c r="J196" i="215"/>
  <c r="K196" i="215"/>
  <c r="L196" i="215"/>
  <c r="M196" i="215"/>
  <c r="O196" i="215"/>
  <c r="P196" i="215"/>
  <c r="G196" i="215"/>
  <c r="H195" i="215"/>
  <c r="I195" i="215"/>
  <c r="J195" i="215"/>
  <c r="K195" i="215"/>
  <c r="M195" i="215"/>
  <c r="N195" i="215"/>
  <c r="O195" i="215"/>
  <c r="P195" i="215"/>
  <c r="G195" i="215"/>
  <c r="I191" i="215"/>
  <c r="I190" i="215"/>
  <c r="I189" i="215"/>
  <c r="I188" i="215"/>
  <c r="H191" i="215"/>
  <c r="J191" i="215"/>
  <c r="K191" i="215"/>
  <c r="L191" i="215"/>
  <c r="M191" i="215"/>
  <c r="N191" i="215"/>
  <c r="O191" i="215"/>
  <c r="P191" i="215"/>
  <c r="H190" i="215"/>
  <c r="J190" i="215"/>
  <c r="K190" i="215"/>
  <c r="L190" i="215"/>
  <c r="M190" i="215"/>
  <c r="N190" i="215"/>
  <c r="O190" i="215"/>
  <c r="P190" i="215"/>
  <c r="H189" i="215"/>
  <c r="J189" i="215"/>
  <c r="K189" i="215"/>
  <c r="L189" i="215"/>
  <c r="M189" i="215"/>
  <c r="N189" i="215"/>
  <c r="O189" i="215"/>
  <c r="P189" i="215"/>
  <c r="G189" i="215"/>
  <c r="G190" i="215"/>
  <c r="G191" i="215"/>
  <c r="H188" i="215"/>
  <c r="J188" i="215"/>
  <c r="K188" i="215"/>
  <c r="L188" i="215"/>
  <c r="M188" i="215"/>
  <c r="N188" i="215"/>
  <c r="O188" i="215"/>
  <c r="P188" i="215"/>
  <c r="G188" i="215"/>
  <c r="L184" i="215"/>
  <c r="L183" i="215"/>
  <c r="L181" i="215"/>
  <c r="H184" i="215"/>
  <c r="I184" i="215"/>
  <c r="J184" i="215"/>
  <c r="K184" i="215"/>
  <c r="M184" i="215"/>
  <c r="N184" i="215"/>
  <c r="O184" i="215"/>
  <c r="P184" i="215"/>
  <c r="H183" i="215"/>
  <c r="I183" i="215"/>
  <c r="J183" i="215"/>
  <c r="K183" i="215"/>
  <c r="M183" i="215"/>
  <c r="N183" i="215"/>
  <c r="O183" i="215"/>
  <c r="P183" i="215"/>
  <c r="G183" i="215"/>
  <c r="G184" i="215"/>
  <c r="H181" i="215"/>
  <c r="I181" i="215"/>
  <c r="J181" i="215"/>
  <c r="K181" i="215"/>
  <c r="M181" i="215"/>
  <c r="N181" i="215"/>
  <c r="O181" i="215"/>
  <c r="P181" i="215"/>
  <c r="G181" i="215"/>
  <c r="K174" i="215"/>
  <c r="K12" i="135" l="1"/>
  <c r="K26" i="135" s="1"/>
  <c r="K28" i="135" s="1"/>
  <c r="O30" i="135"/>
  <c r="K176" i="215"/>
  <c r="K175" i="215"/>
  <c r="I174" i="215"/>
  <c r="K172" i="215"/>
  <c r="K171" i="215" l="1"/>
  <c r="I171" i="215"/>
  <c r="H171" i="215"/>
  <c r="G171" i="215"/>
  <c r="K170" i="215"/>
  <c r="K169" i="215"/>
  <c r="K168" i="215"/>
  <c r="K167" i="215"/>
  <c r="K166" i="215"/>
  <c r="K165" i="215"/>
  <c r="K164" i="215"/>
  <c r="K163" i="215"/>
  <c r="K162" i="215"/>
  <c r="K161" i="215"/>
  <c r="K160" i="215"/>
  <c r="K159" i="215"/>
  <c r="K158" i="215"/>
  <c r="K157" i="215"/>
  <c r="K156" i="215"/>
  <c r="K155" i="215"/>
  <c r="K154" i="215"/>
  <c r="K153" i="215"/>
  <c r="K152" i="215"/>
  <c r="K151" i="215"/>
  <c r="K150" i="215"/>
  <c r="K148" i="215"/>
  <c r="K147" i="215"/>
  <c r="I146" i="215"/>
  <c r="H146" i="215"/>
  <c r="G146" i="215"/>
  <c r="K145" i="215"/>
  <c r="K144" i="215"/>
  <c r="K143" i="215"/>
  <c r="K142" i="215"/>
  <c r="K141" i="215"/>
  <c r="K140" i="215"/>
  <c r="K139" i="215"/>
  <c r="K137" i="215"/>
  <c r="K136" i="215"/>
  <c r="K135" i="215"/>
  <c r="I135" i="215"/>
  <c r="H135" i="215"/>
  <c r="G135" i="215"/>
  <c r="I134" i="215"/>
  <c r="H134" i="215"/>
  <c r="K130" i="215"/>
  <c r="K127" i="215"/>
  <c r="K125" i="215"/>
  <c r="I122" i="215"/>
  <c r="K121" i="215"/>
  <c r="I121" i="215"/>
  <c r="H121" i="215"/>
  <c r="G121" i="215"/>
  <c r="K119" i="215"/>
  <c r="K117" i="215"/>
  <c r="K113" i="215"/>
  <c r="I112" i="215"/>
  <c r="K109" i="215"/>
  <c r="J107" i="215"/>
  <c r="K105" i="215"/>
  <c r="K104" i="215"/>
  <c r="K103" i="215"/>
  <c r="K102" i="215"/>
  <c r="K101" i="215"/>
  <c r="K100" i="215"/>
  <c r="K99" i="215"/>
  <c r="K97" i="215"/>
  <c r="I96" i="215"/>
  <c r="H96" i="215"/>
  <c r="G96" i="215"/>
  <c r="K95" i="215"/>
  <c r="K94" i="215"/>
  <c r="K93" i="215"/>
  <c r="K92" i="215"/>
  <c r="K91" i="215"/>
  <c r="K90" i="215"/>
  <c r="K88" i="215"/>
  <c r="K87" i="215"/>
  <c r="K86" i="215"/>
  <c r="I85" i="215"/>
  <c r="K84" i="215"/>
  <c r="K83" i="215"/>
  <c r="K81" i="215"/>
  <c r="K79" i="215"/>
  <c r="K78" i="215"/>
  <c r="K77" i="215"/>
  <c r="K76" i="215"/>
  <c r="I75" i="215"/>
  <c r="K74" i="215"/>
  <c r="K73" i="215"/>
  <c r="K72" i="215"/>
  <c r="K71" i="215"/>
  <c r="K70" i="215"/>
  <c r="K69" i="215"/>
  <c r="I69" i="215"/>
  <c r="H69" i="215"/>
  <c r="G69" i="215"/>
  <c r="K65" i="215"/>
  <c r="J65" i="215"/>
  <c r="K63" i="215"/>
  <c r="I62" i="215"/>
  <c r="H62" i="215"/>
  <c r="G62" i="215"/>
  <c r="K61" i="215"/>
  <c r="H59" i="215"/>
  <c r="I58" i="215"/>
  <c r="K55" i="215"/>
  <c r="K53" i="215"/>
  <c r="I52" i="215"/>
  <c r="H52" i="215"/>
  <c r="G52" i="215"/>
  <c r="I51" i="215"/>
  <c r="H51" i="215"/>
  <c r="G51" i="215"/>
  <c r="K50" i="215"/>
  <c r="K49" i="215"/>
  <c r="H177" i="215"/>
  <c r="I177" i="215"/>
  <c r="J177" i="215"/>
  <c r="L177" i="215"/>
  <c r="M177" i="215"/>
  <c r="N177" i="215"/>
  <c r="O177" i="215"/>
  <c r="P177" i="215"/>
  <c r="H176" i="215"/>
  <c r="I176" i="215"/>
  <c r="J176" i="215"/>
  <c r="L176" i="215"/>
  <c r="M176" i="215"/>
  <c r="N176" i="215"/>
  <c r="O176" i="215"/>
  <c r="P176" i="215"/>
  <c r="H175" i="215"/>
  <c r="I175" i="215"/>
  <c r="J175" i="215"/>
  <c r="L175" i="215"/>
  <c r="M175" i="215"/>
  <c r="N175" i="215"/>
  <c r="O175" i="215"/>
  <c r="P175" i="215"/>
  <c r="H174" i="215"/>
  <c r="J174" i="215"/>
  <c r="L174" i="215"/>
  <c r="M174" i="215"/>
  <c r="N174" i="215"/>
  <c r="O174" i="215"/>
  <c r="P174" i="215"/>
  <c r="H172" i="215"/>
  <c r="I172" i="215"/>
  <c r="J172" i="215"/>
  <c r="L172" i="215"/>
  <c r="M172" i="215"/>
  <c r="N172" i="215"/>
  <c r="O172" i="215"/>
  <c r="P172" i="215"/>
  <c r="J171" i="215"/>
  <c r="L171" i="215"/>
  <c r="M171" i="215"/>
  <c r="N171" i="215"/>
  <c r="O171" i="215"/>
  <c r="P171" i="215"/>
  <c r="H170" i="215"/>
  <c r="I170" i="215"/>
  <c r="J170" i="215"/>
  <c r="L170" i="215"/>
  <c r="M170" i="215"/>
  <c r="N170" i="215"/>
  <c r="O170" i="215"/>
  <c r="P170" i="215"/>
  <c r="H169" i="215"/>
  <c r="I169" i="215"/>
  <c r="J169" i="215"/>
  <c r="L169" i="215"/>
  <c r="M169" i="215"/>
  <c r="N169" i="215"/>
  <c r="O169" i="215"/>
  <c r="P169" i="215"/>
  <c r="H168" i="215"/>
  <c r="I168" i="215"/>
  <c r="J168" i="215"/>
  <c r="L168" i="215"/>
  <c r="M168" i="215"/>
  <c r="N168" i="215"/>
  <c r="O168" i="215"/>
  <c r="P168" i="215"/>
  <c r="H167" i="215"/>
  <c r="I167" i="215"/>
  <c r="J167" i="215"/>
  <c r="L167" i="215"/>
  <c r="M167" i="215"/>
  <c r="N167" i="215"/>
  <c r="O167" i="215"/>
  <c r="P167" i="215"/>
  <c r="H166" i="215"/>
  <c r="I166" i="215"/>
  <c r="J166" i="215"/>
  <c r="L166" i="215"/>
  <c r="M166" i="215"/>
  <c r="N166" i="215"/>
  <c r="O166" i="215"/>
  <c r="P166" i="215"/>
  <c r="H165" i="215"/>
  <c r="I165" i="215"/>
  <c r="J165" i="215"/>
  <c r="L165" i="215"/>
  <c r="M165" i="215"/>
  <c r="N165" i="215"/>
  <c r="O165" i="215"/>
  <c r="P165" i="215"/>
  <c r="H164" i="215"/>
  <c r="I164" i="215"/>
  <c r="J164" i="215"/>
  <c r="L164" i="215"/>
  <c r="M164" i="215"/>
  <c r="N164" i="215"/>
  <c r="O164" i="215"/>
  <c r="P164" i="215"/>
  <c r="H163" i="215"/>
  <c r="I163" i="215"/>
  <c r="J163" i="215"/>
  <c r="L163" i="215"/>
  <c r="M163" i="215"/>
  <c r="N163" i="215"/>
  <c r="O163" i="215"/>
  <c r="P163" i="215"/>
  <c r="H162" i="215"/>
  <c r="I162" i="215"/>
  <c r="J162" i="215"/>
  <c r="L162" i="215"/>
  <c r="M162" i="215"/>
  <c r="N162" i="215"/>
  <c r="O162" i="215"/>
  <c r="P162" i="215"/>
  <c r="H161" i="215"/>
  <c r="I161" i="215"/>
  <c r="J161" i="215"/>
  <c r="L161" i="215"/>
  <c r="M161" i="215"/>
  <c r="N161" i="215"/>
  <c r="O161" i="215"/>
  <c r="P161" i="215"/>
  <c r="H160" i="215"/>
  <c r="I160" i="215"/>
  <c r="J160" i="215"/>
  <c r="L160" i="215"/>
  <c r="M160" i="215"/>
  <c r="N160" i="215"/>
  <c r="O160" i="215"/>
  <c r="P160" i="215"/>
  <c r="H159" i="215"/>
  <c r="I159" i="215"/>
  <c r="J159" i="215"/>
  <c r="L159" i="215"/>
  <c r="M159" i="215"/>
  <c r="N159" i="215"/>
  <c r="O159" i="215"/>
  <c r="P159" i="215"/>
  <c r="H158" i="215"/>
  <c r="I158" i="215"/>
  <c r="J158" i="215"/>
  <c r="L158" i="215"/>
  <c r="M158" i="215"/>
  <c r="N158" i="215"/>
  <c r="O158" i="215"/>
  <c r="P158" i="215"/>
  <c r="H157" i="215"/>
  <c r="I157" i="215"/>
  <c r="J157" i="215"/>
  <c r="L157" i="215"/>
  <c r="M157" i="215"/>
  <c r="N157" i="215"/>
  <c r="O157" i="215"/>
  <c r="P157" i="215"/>
  <c r="H156" i="215"/>
  <c r="I156" i="215"/>
  <c r="J156" i="215"/>
  <c r="L156" i="215"/>
  <c r="M156" i="215"/>
  <c r="N156" i="215"/>
  <c r="O156" i="215"/>
  <c r="P156" i="215"/>
  <c r="H155" i="215"/>
  <c r="I155" i="215"/>
  <c r="J155" i="215"/>
  <c r="L155" i="215"/>
  <c r="M155" i="215"/>
  <c r="N155" i="215"/>
  <c r="O155" i="215"/>
  <c r="P155" i="215"/>
  <c r="H154" i="215"/>
  <c r="I154" i="215"/>
  <c r="J154" i="215"/>
  <c r="L154" i="215"/>
  <c r="M154" i="215"/>
  <c r="N154" i="215"/>
  <c r="O154" i="215"/>
  <c r="P154" i="215"/>
  <c r="H153" i="215"/>
  <c r="I153" i="215"/>
  <c r="J153" i="215"/>
  <c r="L153" i="215"/>
  <c r="M153" i="215"/>
  <c r="N153" i="215"/>
  <c r="O153" i="215"/>
  <c r="P153" i="215"/>
  <c r="H152" i="215"/>
  <c r="I152" i="215"/>
  <c r="J152" i="215"/>
  <c r="L152" i="215"/>
  <c r="M152" i="215"/>
  <c r="N152" i="215"/>
  <c r="O152" i="215"/>
  <c r="P152" i="215"/>
  <c r="H151" i="215"/>
  <c r="I151" i="215"/>
  <c r="J151" i="215"/>
  <c r="L151" i="215"/>
  <c r="M151" i="215"/>
  <c r="N151" i="215"/>
  <c r="O151" i="215"/>
  <c r="P151" i="215"/>
  <c r="H150" i="215"/>
  <c r="I150" i="215"/>
  <c r="J150" i="215"/>
  <c r="L150" i="215"/>
  <c r="M150" i="215"/>
  <c r="N150" i="215"/>
  <c r="O150" i="215"/>
  <c r="P150" i="215"/>
  <c r="H148" i="215"/>
  <c r="I148" i="215"/>
  <c r="J148" i="215"/>
  <c r="L148" i="215"/>
  <c r="M148" i="215"/>
  <c r="N148" i="215"/>
  <c r="O148" i="215"/>
  <c r="P148" i="215"/>
  <c r="H147" i="215"/>
  <c r="I147" i="215"/>
  <c r="J147" i="215"/>
  <c r="L147" i="215"/>
  <c r="M147" i="215"/>
  <c r="N147" i="215"/>
  <c r="O147" i="215"/>
  <c r="P147" i="215"/>
  <c r="J146" i="215"/>
  <c r="L146" i="215"/>
  <c r="M146" i="215"/>
  <c r="N146" i="215"/>
  <c r="O146" i="215"/>
  <c r="P146" i="215"/>
  <c r="H145" i="215"/>
  <c r="I145" i="215"/>
  <c r="J145" i="215"/>
  <c r="L145" i="215"/>
  <c r="M145" i="215"/>
  <c r="N145" i="215"/>
  <c r="O145" i="215"/>
  <c r="P145" i="215"/>
  <c r="H144" i="215"/>
  <c r="I144" i="215"/>
  <c r="J144" i="215"/>
  <c r="L144" i="215"/>
  <c r="M144" i="215"/>
  <c r="N144" i="215"/>
  <c r="O144" i="215"/>
  <c r="P144" i="215"/>
  <c r="H143" i="215"/>
  <c r="I143" i="215"/>
  <c r="J143" i="215"/>
  <c r="L143" i="215"/>
  <c r="M143" i="215"/>
  <c r="N143" i="215"/>
  <c r="O143" i="215"/>
  <c r="P143" i="215"/>
  <c r="H142" i="215"/>
  <c r="I142" i="215"/>
  <c r="J142" i="215"/>
  <c r="L142" i="215"/>
  <c r="M142" i="215"/>
  <c r="N142" i="215"/>
  <c r="O142" i="215"/>
  <c r="P142" i="215"/>
  <c r="H141" i="215"/>
  <c r="I141" i="215"/>
  <c r="J141" i="215"/>
  <c r="L141" i="215"/>
  <c r="M141" i="215"/>
  <c r="N141" i="215"/>
  <c r="O141" i="215"/>
  <c r="P141" i="215"/>
  <c r="H140" i="215"/>
  <c r="I140" i="215"/>
  <c r="J140" i="215"/>
  <c r="L140" i="215"/>
  <c r="M140" i="215"/>
  <c r="N140" i="215"/>
  <c r="O140" i="215"/>
  <c r="P140" i="215"/>
  <c r="H139" i="215"/>
  <c r="I139" i="215"/>
  <c r="J139" i="215"/>
  <c r="L139" i="215"/>
  <c r="M139" i="215"/>
  <c r="N139" i="215"/>
  <c r="O139" i="215"/>
  <c r="P139" i="215"/>
  <c r="H137" i="215"/>
  <c r="I137" i="215"/>
  <c r="J137" i="215"/>
  <c r="L137" i="215"/>
  <c r="M137" i="215"/>
  <c r="N137" i="215"/>
  <c r="O137" i="215"/>
  <c r="P137" i="215"/>
  <c r="H136" i="215"/>
  <c r="I136" i="215"/>
  <c r="J136" i="215"/>
  <c r="L136" i="215"/>
  <c r="M136" i="215"/>
  <c r="N136" i="215"/>
  <c r="O136" i="215"/>
  <c r="P136" i="215"/>
  <c r="J135" i="215"/>
  <c r="L135" i="215"/>
  <c r="M135" i="215"/>
  <c r="N135" i="215"/>
  <c r="O135" i="215"/>
  <c r="P135" i="215"/>
  <c r="J134" i="215"/>
  <c r="L134" i="215"/>
  <c r="M134" i="215"/>
  <c r="N134" i="215"/>
  <c r="O134" i="215"/>
  <c r="P134" i="215"/>
  <c r="H132" i="215"/>
  <c r="I132" i="215"/>
  <c r="J132" i="215"/>
  <c r="L132" i="215"/>
  <c r="M132" i="215"/>
  <c r="N132" i="215"/>
  <c r="O132" i="215"/>
  <c r="P132" i="215"/>
  <c r="H131" i="215"/>
  <c r="I131" i="215"/>
  <c r="J131" i="215"/>
  <c r="L131" i="215"/>
  <c r="M131" i="215"/>
  <c r="N131" i="215"/>
  <c r="O131" i="215"/>
  <c r="P131" i="215"/>
  <c r="H130" i="215"/>
  <c r="I130" i="215"/>
  <c r="J130" i="215"/>
  <c r="L130" i="215"/>
  <c r="M130" i="215"/>
  <c r="N130" i="215"/>
  <c r="O130" i="215"/>
  <c r="P130" i="215"/>
  <c r="H129" i="215"/>
  <c r="I129" i="215"/>
  <c r="J129" i="215"/>
  <c r="K129" i="215"/>
  <c r="L129" i="215"/>
  <c r="M129" i="215"/>
  <c r="N129" i="215"/>
  <c r="O129" i="215"/>
  <c r="P129" i="215"/>
  <c r="H127" i="215"/>
  <c r="I127" i="215"/>
  <c r="J127" i="215"/>
  <c r="L127" i="215"/>
  <c r="M127" i="215"/>
  <c r="N127" i="215"/>
  <c r="O127" i="215"/>
  <c r="P127" i="215"/>
  <c r="H125" i="215"/>
  <c r="I125" i="215"/>
  <c r="J125" i="215"/>
  <c r="L125" i="215"/>
  <c r="M125" i="215"/>
  <c r="N125" i="215"/>
  <c r="O125" i="215"/>
  <c r="P125" i="215"/>
  <c r="H123" i="215"/>
  <c r="I123" i="215"/>
  <c r="J123" i="215"/>
  <c r="L123" i="215"/>
  <c r="M123" i="215"/>
  <c r="N123" i="215"/>
  <c r="O123" i="215"/>
  <c r="P123" i="215"/>
  <c r="H122" i="215"/>
  <c r="J122" i="215"/>
  <c r="K122" i="215"/>
  <c r="L122" i="215"/>
  <c r="M122" i="215"/>
  <c r="N122" i="215"/>
  <c r="O122" i="215"/>
  <c r="P122" i="215"/>
  <c r="J121" i="215"/>
  <c r="L121" i="215"/>
  <c r="M121" i="215"/>
  <c r="N121" i="215"/>
  <c r="O121" i="215"/>
  <c r="P121" i="215"/>
  <c r="H119" i="215"/>
  <c r="I119" i="215"/>
  <c r="J119" i="215"/>
  <c r="L119" i="215"/>
  <c r="M119" i="215"/>
  <c r="N119" i="215"/>
  <c r="O119" i="215"/>
  <c r="P119" i="215"/>
  <c r="H117" i="215"/>
  <c r="I117" i="215"/>
  <c r="J117" i="215"/>
  <c r="L117" i="215"/>
  <c r="M117" i="215"/>
  <c r="N117" i="215"/>
  <c r="O117" i="215"/>
  <c r="P117" i="215"/>
  <c r="J115" i="215"/>
  <c r="K115" i="215"/>
  <c r="L115" i="215"/>
  <c r="M115" i="215"/>
  <c r="N115" i="215"/>
  <c r="O115" i="215"/>
  <c r="P115" i="215"/>
  <c r="H113" i="215"/>
  <c r="I113" i="215"/>
  <c r="J113" i="215"/>
  <c r="L113" i="215"/>
  <c r="M113" i="215"/>
  <c r="N113" i="215"/>
  <c r="O113" i="215"/>
  <c r="P113" i="215"/>
  <c r="H112" i="215"/>
  <c r="J112" i="215"/>
  <c r="K112" i="215"/>
  <c r="L112" i="215"/>
  <c r="M112" i="215"/>
  <c r="N112" i="215"/>
  <c r="O112" i="215"/>
  <c r="P112" i="215"/>
  <c r="H109" i="215"/>
  <c r="I109" i="215"/>
  <c r="J109" i="215"/>
  <c r="L109" i="215"/>
  <c r="M109" i="215"/>
  <c r="N109" i="215"/>
  <c r="O109" i="215"/>
  <c r="P109" i="215"/>
  <c r="H107" i="215"/>
  <c r="I107" i="215"/>
  <c r="K107" i="215"/>
  <c r="L107" i="215"/>
  <c r="M107" i="215"/>
  <c r="N107" i="215"/>
  <c r="O107" i="215"/>
  <c r="P107" i="215"/>
  <c r="H105" i="215"/>
  <c r="I105" i="215"/>
  <c r="J105" i="215"/>
  <c r="L105" i="215"/>
  <c r="M105" i="215"/>
  <c r="N105" i="215"/>
  <c r="O105" i="215"/>
  <c r="P105" i="215"/>
  <c r="H104" i="215"/>
  <c r="I104" i="215"/>
  <c r="J104" i="215"/>
  <c r="L104" i="215"/>
  <c r="M104" i="215"/>
  <c r="N104" i="215"/>
  <c r="O104" i="215"/>
  <c r="P104" i="215"/>
  <c r="H103" i="215"/>
  <c r="I103" i="215"/>
  <c r="J103" i="215"/>
  <c r="L103" i="215"/>
  <c r="M103" i="215"/>
  <c r="N103" i="215"/>
  <c r="O103" i="215"/>
  <c r="P103" i="215"/>
  <c r="H102" i="215"/>
  <c r="I102" i="215"/>
  <c r="J102" i="215"/>
  <c r="L102" i="215"/>
  <c r="M102" i="215"/>
  <c r="N102" i="215"/>
  <c r="O102" i="215"/>
  <c r="P102" i="215"/>
  <c r="H101" i="215"/>
  <c r="I101" i="215"/>
  <c r="J101" i="215"/>
  <c r="L101" i="215"/>
  <c r="M101" i="215"/>
  <c r="N101" i="215"/>
  <c r="O101" i="215"/>
  <c r="P101" i="215"/>
  <c r="H100" i="215"/>
  <c r="I100" i="215"/>
  <c r="J100" i="215"/>
  <c r="L100" i="215"/>
  <c r="M100" i="215"/>
  <c r="N100" i="215"/>
  <c r="O100" i="215"/>
  <c r="P100" i="215"/>
  <c r="H99" i="215"/>
  <c r="I99" i="215"/>
  <c r="J99" i="215"/>
  <c r="L99" i="215"/>
  <c r="M99" i="215"/>
  <c r="N99" i="215"/>
  <c r="O99" i="215"/>
  <c r="P99" i="215"/>
  <c r="H97" i="215"/>
  <c r="I97" i="215"/>
  <c r="J97" i="215"/>
  <c r="L97" i="215"/>
  <c r="M97" i="215"/>
  <c r="N97" i="215"/>
  <c r="O97" i="215"/>
  <c r="P97" i="215"/>
  <c r="J96" i="215"/>
  <c r="K96" i="215"/>
  <c r="L96" i="215"/>
  <c r="M96" i="215"/>
  <c r="N96" i="215"/>
  <c r="O96" i="215"/>
  <c r="P96" i="215"/>
  <c r="H95" i="215"/>
  <c r="I95" i="215"/>
  <c r="J95" i="215"/>
  <c r="L95" i="215"/>
  <c r="M95" i="215"/>
  <c r="N95" i="215"/>
  <c r="O95" i="215"/>
  <c r="P95" i="215"/>
  <c r="H94" i="215"/>
  <c r="I94" i="215"/>
  <c r="J94" i="215"/>
  <c r="L94" i="215"/>
  <c r="M94" i="215"/>
  <c r="N94" i="215"/>
  <c r="O94" i="215"/>
  <c r="P94" i="215"/>
  <c r="H93" i="215"/>
  <c r="I93" i="215"/>
  <c r="J93" i="215"/>
  <c r="L93" i="215"/>
  <c r="M93" i="215"/>
  <c r="N93" i="215"/>
  <c r="O93" i="215"/>
  <c r="P93" i="215"/>
  <c r="H92" i="215"/>
  <c r="I92" i="215"/>
  <c r="J92" i="215"/>
  <c r="L92" i="215"/>
  <c r="M92" i="215"/>
  <c r="N92" i="215"/>
  <c r="O92" i="215"/>
  <c r="P92" i="215"/>
  <c r="H91" i="215"/>
  <c r="I91" i="215"/>
  <c r="J91" i="215"/>
  <c r="L91" i="215"/>
  <c r="M91" i="215"/>
  <c r="N91" i="215"/>
  <c r="O91" i="215"/>
  <c r="P91" i="215"/>
  <c r="H90" i="215"/>
  <c r="I90" i="215"/>
  <c r="J90" i="215"/>
  <c r="L90" i="215"/>
  <c r="M90" i="215"/>
  <c r="N90" i="215"/>
  <c r="O90" i="215"/>
  <c r="P90" i="215"/>
  <c r="H89" i="215"/>
  <c r="I89" i="215"/>
  <c r="J89" i="215"/>
  <c r="L89" i="215"/>
  <c r="M89" i="215"/>
  <c r="N89" i="215"/>
  <c r="O89" i="215"/>
  <c r="P89" i="215"/>
  <c r="H88" i="215"/>
  <c r="I88" i="215"/>
  <c r="J88" i="215"/>
  <c r="L88" i="215"/>
  <c r="M88" i="215"/>
  <c r="N88" i="215"/>
  <c r="O88" i="215"/>
  <c r="P88" i="215"/>
  <c r="H87" i="215"/>
  <c r="I87" i="215"/>
  <c r="J87" i="215"/>
  <c r="L87" i="215"/>
  <c r="M87" i="215"/>
  <c r="N87" i="215"/>
  <c r="O87" i="215"/>
  <c r="P87" i="215"/>
  <c r="H86" i="215"/>
  <c r="I86" i="215"/>
  <c r="J86" i="215"/>
  <c r="L86" i="215"/>
  <c r="M86" i="215"/>
  <c r="N86" i="215"/>
  <c r="O86" i="215"/>
  <c r="P86" i="215"/>
  <c r="H85" i="215"/>
  <c r="J85" i="215"/>
  <c r="K85" i="215"/>
  <c r="L85" i="215"/>
  <c r="M85" i="215"/>
  <c r="N85" i="215"/>
  <c r="O85" i="215"/>
  <c r="P85" i="215"/>
  <c r="H84" i="215"/>
  <c r="I84" i="215"/>
  <c r="J84" i="215"/>
  <c r="L84" i="215"/>
  <c r="M84" i="215"/>
  <c r="N84" i="215"/>
  <c r="O84" i="215"/>
  <c r="P84" i="215"/>
  <c r="H83" i="215"/>
  <c r="I83" i="215"/>
  <c r="J83" i="215"/>
  <c r="L83" i="215"/>
  <c r="M83" i="215"/>
  <c r="N83" i="215"/>
  <c r="O83" i="215"/>
  <c r="P83" i="215"/>
  <c r="H82" i="215"/>
  <c r="J82" i="215"/>
  <c r="K82" i="215"/>
  <c r="L82" i="215"/>
  <c r="M82" i="215"/>
  <c r="N82" i="215"/>
  <c r="O82" i="215"/>
  <c r="P82" i="215"/>
  <c r="H81" i="215"/>
  <c r="I81" i="215"/>
  <c r="J81" i="215"/>
  <c r="L81" i="215"/>
  <c r="M81" i="215"/>
  <c r="N81" i="215"/>
  <c r="O81" i="215"/>
  <c r="P81" i="215"/>
  <c r="H80" i="215"/>
  <c r="I80" i="215"/>
  <c r="J80" i="215"/>
  <c r="L80" i="215"/>
  <c r="M80" i="215"/>
  <c r="N80" i="215"/>
  <c r="O80" i="215"/>
  <c r="P80" i="215"/>
  <c r="H79" i="215"/>
  <c r="I79" i="215"/>
  <c r="J79" i="215"/>
  <c r="L79" i="215"/>
  <c r="M79" i="215"/>
  <c r="N79" i="215"/>
  <c r="O79" i="215"/>
  <c r="P79" i="215"/>
  <c r="H78" i="215"/>
  <c r="I78" i="215"/>
  <c r="J78" i="215"/>
  <c r="L78" i="215"/>
  <c r="M78" i="215"/>
  <c r="N78" i="215"/>
  <c r="O78" i="215"/>
  <c r="P78" i="215"/>
  <c r="H77" i="215"/>
  <c r="I77" i="215"/>
  <c r="J77" i="215"/>
  <c r="L77" i="215"/>
  <c r="M77" i="215"/>
  <c r="N77" i="215"/>
  <c r="O77" i="215"/>
  <c r="P77" i="215"/>
  <c r="H76" i="215"/>
  <c r="I76" i="215"/>
  <c r="J76" i="215"/>
  <c r="L76" i="215"/>
  <c r="M76" i="215"/>
  <c r="N76" i="215"/>
  <c r="O76" i="215"/>
  <c r="P76" i="215"/>
  <c r="H75" i="215"/>
  <c r="J75" i="215"/>
  <c r="K75" i="215"/>
  <c r="L75" i="215"/>
  <c r="M75" i="215"/>
  <c r="N75" i="215"/>
  <c r="O75" i="215"/>
  <c r="P75" i="215"/>
  <c r="H74" i="215"/>
  <c r="I74" i="215"/>
  <c r="J74" i="215"/>
  <c r="L74" i="215"/>
  <c r="M74" i="215"/>
  <c r="N74" i="215"/>
  <c r="O74" i="215"/>
  <c r="P74" i="215"/>
  <c r="H73" i="215"/>
  <c r="I73" i="215"/>
  <c r="J73" i="215"/>
  <c r="L73" i="215"/>
  <c r="M73" i="215"/>
  <c r="N73" i="215"/>
  <c r="O73" i="215"/>
  <c r="P73" i="215"/>
  <c r="H72" i="215"/>
  <c r="I72" i="215"/>
  <c r="J72" i="215"/>
  <c r="L72" i="215"/>
  <c r="M72" i="215"/>
  <c r="N72" i="215"/>
  <c r="O72" i="215"/>
  <c r="P72" i="215"/>
  <c r="H71" i="215"/>
  <c r="I71" i="215"/>
  <c r="J71" i="215"/>
  <c r="L71" i="215"/>
  <c r="M71" i="215"/>
  <c r="N71" i="215"/>
  <c r="O71" i="215"/>
  <c r="P71" i="215"/>
  <c r="H70" i="215"/>
  <c r="I70" i="215"/>
  <c r="J70" i="215"/>
  <c r="L70" i="215"/>
  <c r="M70" i="215"/>
  <c r="N70" i="215"/>
  <c r="O70" i="215"/>
  <c r="P70" i="215"/>
  <c r="J69" i="215"/>
  <c r="L69" i="215"/>
  <c r="M69" i="215"/>
  <c r="N69" i="215"/>
  <c r="O69" i="215"/>
  <c r="P69" i="215"/>
  <c r="J67" i="215"/>
  <c r="K67" i="215"/>
  <c r="L67" i="215"/>
  <c r="M67" i="215"/>
  <c r="N67" i="215"/>
  <c r="O67" i="215"/>
  <c r="P67" i="215"/>
  <c r="H65" i="215"/>
  <c r="I65" i="215"/>
  <c r="L65" i="215"/>
  <c r="M65" i="215"/>
  <c r="N65" i="215"/>
  <c r="O65" i="215"/>
  <c r="P65" i="215"/>
  <c r="H63" i="215"/>
  <c r="I63" i="215"/>
  <c r="J63" i="215"/>
  <c r="L63" i="215"/>
  <c r="M63" i="215"/>
  <c r="N63" i="215"/>
  <c r="O63" i="215"/>
  <c r="P63" i="215"/>
  <c r="J62" i="215"/>
  <c r="K62" i="215"/>
  <c r="L62" i="215"/>
  <c r="M62" i="215"/>
  <c r="N62" i="215"/>
  <c r="O62" i="215"/>
  <c r="P62" i="215"/>
  <c r="H61" i="215"/>
  <c r="I61" i="215"/>
  <c r="J61" i="215"/>
  <c r="L61" i="215"/>
  <c r="M61" i="215"/>
  <c r="N61" i="215"/>
  <c r="O61" i="215"/>
  <c r="P61" i="215"/>
  <c r="J60" i="215"/>
  <c r="L60" i="215"/>
  <c r="M60" i="215"/>
  <c r="N60" i="215"/>
  <c r="O60" i="215"/>
  <c r="P60" i="215"/>
  <c r="J59" i="215"/>
  <c r="K59" i="215"/>
  <c r="L59" i="215"/>
  <c r="M59" i="215"/>
  <c r="N59" i="215"/>
  <c r="O59" i="215"/>
  <c r="P59" i="215"/>
  <c r="J58" i="215"/>
  <c r="K58" i="215"/>
  <c r="L58" i="215"/>
  <c r="M58" i="215"/>
  <c r="N58" i="215"/>
  <c r="O58" i="215"/>
  <c r="P58" i="215"/>
  <c r="H57" i="215"/>
  <c r="I57" i="215"/>
  <c r="J57" i="215"/>
  <c r="K57" i="215"/>
  <c r="L57" i="215"/>
  <c r="M57" i="215"/>
  <c r="N57" i="215"/>
  <c r="O57" i="215"/>
  <c r="P57" i="215"/>
  <c r="H55" i="215"/>
  <c r="I55" i="215"/>
  <c r="J55" i="215"/>
  <c r="L55" i="215"/>
  <c r="M55" i="215"/>
  <c r="N55" i="215"/>
  <c r="O55" i="215"/>
  <c r="P55" i="215"/>
  <c r="H54" i="215"/>
  <c r="I54" i="215"/>
  <c r="J54" i="215"/>
  <c r="L54" i="215"/>
  <c r="M54" i="215"/>
  <c r="N54" i="215"/>
  <c r="O54" i="215"/>
  <c r="P54" i="215"/>
  <c r="H53" i="215"/>
  <c r="I53" i="215"/>
  <c r="J53" i="215"/>
  <c r="L53" i="215"/>
  <c r="M53" i="215"/>
  <c r="N53" i="215"/>
  <c r="O53" i="215"/>
  <c r="P53" i="215"/>
  <c r="J52" i="215"/>
  <c r="K52" i="215"/>
  <c r="L52" i="215"/>
  <c r="M52" i="215"/>
  <c r="N52" i="215"/>
  <c r="O52" i="215"/>
  <c r="P52" i="215"/>
  <c r="J51" i="215"/>
  <c r="K51" i="215"/>
  <c r="L51" i="215"/>
  <c r="M51" i="215"/>
  <c r="N51" i="215"/>
  <c r="O51" i="215"/>
  <c r="P51" i="215"/>
  <c r="H50" i="215"/>
  <c r="I50" i="215"/>
  <c r="J50" i="215"/>
  <c r="L50" i="215"/>
  <c r="M50" i="215"/>
  <c r="N50" i="215"/>
  <c r="O50" i="215"/>
  <c r="P50" i="215"/>
  <c r="G50" i="215"/>
  <c r="G53" i="215"/>
  <c r="G54" i="215"/>
  <c r="G55" i="215"/>
  <c r="G61" i="215"/>
  <c r="G63" i="215"/>
  <c r="G65" i="215"/>
  <c r="G70" i="215"/>
  <c r="G71" i="215"/>
  <c r="G72" i="215"/>
  <c r="G73" i="215"/>
  <c r="G74" i="215"/>
  <c r="G75" i="215"/>
  <c r="G76" i="215"/>
  <c r="G77" i="215"/>
  <c r="G78" i="215"/>
  <c r="G79" i="215"/>
  <c r="G80" i="215"/>
  <c r="G81" i="215"/>
  <c r="G82" i="215"/>
  <c r="G83" i="215"/>
  <c r="G84" i="215"/>
  <c r="G85" i="215"/>
  <c r="G86" i="215"/>
  <c r="G87" i="215"/>
  <c r="G88" i="215"/>
  <c r="G89" i="215"/>
  <c r="G90" i="215"/>
  <c r="G91" i="215"/>
  <c r="G92" i="215"/>
  <c r="G93" i="215"/>
  <c r="G94" i="215"/>
  <c r="G95" i="215"/>
  <c r="G97" i="215"/>
  <c r="G99" i="215"/>
  <c r="G100" i="215"/>
  <c r="G101" i="215"/>
  <c r="G102" i="215"/>
  <c r="G103" i="215"/>
  <c r="G104" i="215"/>
  <c r="G105" i="215"/>
  <c r="G107" i="215"/>
  <c r="G109" i="215"/>
  <c r="G112" i="215"/>
  <c r="G113" i="215"/>
  <c r="G117" i="215"/>
  <c r="G119" i="215"/>
  <c r="G122" i="215"/>
  <c r="G123" i="215"/>
  <c r="G125" i="215"/>
  <c r="G127" i="215"/>
  <c r="G129" i="215"/>
  <c r="G130" i="215"/>
  <c r="G131" i="215"/>
  <c r="G132" i="215"/>
  <c r="G136" i="215"/>
  <c r="G137" i="215"/>
  <c r="G139" i="215"/>
  <c r="G140" i="215"/>
  <c r="G141" i="215"/>
  <c r="G142" i="215"/>
  <c r="G143" i="215"/>
  <c r="G144" i="215"/>
  <c r="G145" i="215"/>
  <c r="G147" i="215"/>
  <c r="G148" i="215"/>
  <c r="G150" i="215"/>
  <c r="G151" i="215"/>
  <c r="G152" i="215"/>
  <c r="G153" i="215"/>
  <c r="G154" i="215"/>
  <c r="G155" i="215"/>
  <c r="G156" i="215"/>
  <c r="G157" i="215"/>
  <c r="G158" i="215"/>
  <c r="G159" i="215"/>
  <c r="G160" i="215"/>
  <c r="G161" i="215"/>
  <c r="G162" i="215"/>
  <c r="G163" i="215"/>
  <c r="G164" i="215"/>
  <c r="G165" i="215"/>
  <c r="G166" i="215"/>
  <c r="G167" i="215"/>
  <c r="G168" i="215"/>
  <c r="G169" i="215"/>
  <c r="G170" i="215"/>
  <c r="G172" i="215"/>
  <c r="G174" i="215"/>
  <c r="G175" i="215"/>
  <c r="G176" i="215"/>
  <c r="G177" i="215"/>
  <c r="H49" i="215"/>
  <c r="I49" i="215"/>
  <c r="J49" i="215"/>
  <c r="L49" i="215"/>
  <c r="M49" i="215"/>
  <c r="N49" i="215"/>
  <c r="O49" i="215"/>
  <c r="P49" i="215"/>
  <c r="G49" i="215"/>
  <c r="N44" i="215"/>
  <c r="N43" i="215"/>
  <c r="H44" i="215"/>
  <c r="I44" i="215"/>
  <c r="J44" i="215"/>
  <c r="K44" i="215"/>
  <c r="L44" i="215"/>
  <c r="M44" i="215"/>
  <c r="O44" i="215"/>
  <c r="P44" i="215"/>
  <c r="G44" i="215"/>
  <c r="H43" i="215"/>
  <c r="I43" i="215"/>
  <c r="J43" i="215"/>
  <c r="K43" i="215"/>
  <c r="L43" i="215"/>
  <c r="M43" i="215"/>
  <c r="O43" i="215"/>
  <c r="P43" i="215"/>
  <c r="G43" i="215"/>
  <c r="K39" i="215"/>
  <c r="I35" i="215"/>
  <c r="H33" i="215"/>
  <c r="K28" i="215"/>
  <c r="K26" i="215"/>
  <c r="J26" i="215"/>
  <c r="I26" i="215"/>
  <c r="J25" i="215"/>
  <c r="J22" i="215"/>
  <c r="J20" i="215"/>
  <c r="J18" i="215"/>
  <c r="J17" i="215"/>
  <c r="J16" i="215"/>
  <c r="J15" i="215"/>
  <c r="J14" i="215"/>
  <c r="Q144" i="215" l="1"/>
  <c r="J12" i="215"/>
  <c r="J11" i="215"/>
  <c r="J10" i="215"/>
  <c r="J9" i="215"/>
  <c r="J7" i="215"/>
  <c r="H39" i="215"/>
  <c r="I39" i="215"/>
  <c r="J39" i="215"/>
  <c r="L39" i="215"/>
  <c r="M39" i="215"/>
  <c r="N39" i="215"/>
  <c r="O39" i="215"/>
  <c r="P39" i="215"/>
  <c r="J37" i="215"/>
  <c r="L37" i="215"/>
  <c r="M37" i="215"/>
  <c r="N37" i="215"/>
  <c r="O37" i="215"/>
  <c r="P37" i="215"/>
  <c r="H35" i="215"/>
  <c r="J35" i="215"/>
  <c r="K35" i="215"/>
  <c r="L35" i="215"/>
  <c r="M35" i="215"/>
  <c r="N35" i="215"/>
  <c r="O35" i="215"/>
  <c r="P35" i="215"/>
  <c r="H34" i="215"/>
  <c r="J34" i="215"/>
  <c r="K34" i="215"/>
  <c r="L34" i="215"/>
  <c r="M34" i="215"/>
  <c r="N34" i="215"/>
  <c r="O34" i="215"/>
  <c r="P34" i="215"/>
  <c r="K33" i="215"/>
  <c r="L33" i="215"/>
  <c r="M33" i="215"/>
  <c r="N33" i="215"/>
  <c r="O33" i="215"/>
  <c r="P33" i="215"/>
  <c r="H32" i="215"/>
  <c r="J32" i="215"/>
  <c r="K32" i="215"/>
  <c r="L32" i="215"/>
  <c r="M32" i="215"/>
  <c r="N32" i="215"/>
  <c r="O32" i="215"/>
  <c r="P32" i="215"/>
  <c r="H30" i="215"/>
  <c r="I30" i="215"/>
  <c r="K30" i="215"/>
  <c r="L30" i="215"/>
  <c r="M30" i="215"/>
  <c r="N30" i="215"/>
  <c r="O30" i="215"/>
  <c r="P30" i="215"/>
  <c r="H28" i="215"/>
  <c r="I28" i="215"/>
  <c r="J28" i="215"/>
  <c r="L28" i="215"/>
  <c r="M28" i="215"/>
  <c r="N28" i="215"/>
  <c r="O28" i="215"/>
  <c r="P28" i="215"/>
  <c r="H26" i="215"/>
  <c r="L26" i="215"/>
  <c r="M26" i="215"/>
  <c r="N26" i="215"/>
  <c r="O26" i="215"/>
  <c r="P26" i="215"/>
  <c r="H25" i="215"/>
  <c r="I25" i="215"/>
  <c r="K25" i="215"/>
  <c r="L25" i="215"/>
  <c r="M25" i="215"/>
  <c r="N25" i="215"/>
  <c r="O25" i="215"/>
  <c r="P25" i="215"/>
  <c r="H24" i="215"/>
  <c r="I24" i="215"/>
  <c r="K24" i="215"/>
  <c r="L24" i="215"/>
  <c r="M24" i="215"/>
  <c r="N24" i="215"/>
  <c r="O24" i="215"/>
  <c r="P24" i="215"/>
  <c r="H22" i="215"/>
  <c r="I22" i="215"/>
  <c r="K22" i="215"/>
  <c r="L22" i="215"/>
  <c r="M22" i="215"/>
  <c r="N22" i="215"/>
  <c r="O22" i="215"/>
  <c r="P22" i="215"/>
  <c r="H20" i="215"/>
  <c r="I20" i="215"/>
  <c r="K20" i="215"/>
  <c r="L20" i="215"/>
  <c r="M20" i="215"/>
  <c r="N20" i="215"/>
  <c r="O20" i="215"/>
  <c r="P20" i="215"/>
  <c r="H18" i="215"/>
  <c r="I18" i="215"/>
  <c r="K18" i="215"/>
  <c r="L18" i="215"/>
  <c r="M18" i="215"/>
  <c r="N18" i="215"/>
  <c r="O18" i="215"/>
  <c r="P18" i="215"/>
  <c r="H17" i="215"/>
  <c r="I17" i="215"/>
  <c r="K17" i="215"/>
  <c r="L17" i="215"/>
  <c r="M17" i="215"/>
  <c r="N17" i="215"/>
  <c r="O17" i="215"/>
  <c r="P17" i="215"/>
  <c r="H16" i="215"/>
  <c r="I16" i="215"/>
  <c r="K16" i="215"/>
  <c r="L16" i="215"/>
  <c r="M16" i="215"/>
  <c r="N16" i="215"/>
  <c r="O16" i="215"/>
  <c r="P16" i="215"/>
  <c r="H15" i="215"/>
  <c r="I15" i="215"/>
  <c r="K15" i="215"/>
  <c r="L15" i="215"/>
  <c r="M15" i="215"/>
  <c r="N15" i="215"/>
  <c r="O15" i="215"/>
  <c r="P15" i="215"/>
  <c r="H14" i="215"/>
  <c r="I14" i="215"/>
  <c r="K14" i="215"/>
  <c r="L14" i="215"/>
  <c r="M14" i="215"/>
  <c r="N14" i="215"/>
  <c r="O14" i="215"/>
  <c r="P14" i="215"/>
  <c r="H12" i="215"/>
  <c r="I12" i="215"/>
  <c r="K12" i="215"/>
  <c r="L12" i="215"/>
  <c r="M12" i="215"/>
  <c r="N12" i="215"/>
  <c r="O12" i="215"/>
  <c r="P12" i="215"/>
  <c r="H11" i="215"/>
  <c r="I11" i="215"/>
  <c r="K11" i="215"/>
  <c r="L11" i="215"/>
  <c r="M11" i="215"/>
  <c r="N11" i="215"/>
  <c r="O11" i="215"/>
  <c r="P11" i="215"/>
  <c r="H10" i="215"/>
  <c r="I10" i="215"/>
  <c r="K10" i="215"/>
  <c r="L10" i="215"/>
  <c r="M10" i="215"/>
  <c r="N10" i="215"/>
  <c r="O10" i="215"/>
  <c r="P10" i="215"/>
  <c r="H9" i="215"/>
  <c r="I9" i="215"/>
  <c r="K9" i="215"/>
  <c r="L9" i="215"/>
  <c r="M9" i="215"/>
  <c r="N9" i="215"/>
  <c r="O9" i="215"/>
  <c r="P9" i="215"/>
  <c r="G9" i="215"/>
  <c r="G10" i="215"/>
  <c r="G11" i="215"/>
  <c r="G12" i="215"/>
  <c r="G14" i="215"/>
  <c r="G15" i="215"/>
  <c r="G16" i="215"/>
  <c r="G17" i="215"/>
  <c r="G18" i="215"/>
  <c r="G20" i="215"/>
  <c r="G22" i="215"/>
  <c r="G24" i="215"/>
  <c r="G25" i="215"/>
  <c r="G26" i="215"/>
  <c r="G28" i="215"/>
  <c r="G30" i="215"/>
  <c r="G32" i="215"/>
  <c r="G33" i="215"/>
  <c r="G34" i="215"/>
  <c r="G35" i="215"/>
  <c r="G39" i="215"/>
  <c r="H7" i="215"/>
  <c r="I7" i="215"/>
  <c r="K7" i="215"/>
  <c r="L7" i="215"/>
  <c r="M7" i="215"/>
  <c r="N7" i="215"/>
  <c r="O7" i="215"/>
  <c r="P7" i="215"/>
  <c r="G7" i="215"/>
  <c r="Q580" i="225" l="1"/>
  <c r="R580" i="225" s="1"/>
  <c r="R578" i="225"/>
  <c r="P578" i="225"/>
  <c r="O578" i="225"/>
  <c r="N578" i="225"/>
  <c r="M578" i="225"/>
  <c r="L578" i="225"/>
  <c r="K578" i="225"/>
  <c r="T6" i="135" s="1"/>
  <c r="J578" i="225"/>
  <c r="I578" i="225"/>
  <c r="H578" i="225"/>
  <c r="G578" i="225"/>
  <c r="Q577" i="225"/>
  <c r="Q576" i="225"/>
  <c r="Q575" i="225"/>
  <c r="Q574" i="225"/>
  <c r="Q573" i="225"/>
  <c r="Q572" i="225"/>
  <c r="Q571" i="225"/>
  <c r="Q570" i="225"/>
  <c r="Q569" i="225"/>
  <c r="Q568" i="225"/>
  <c r="Q566" i="225"/>
  <c r="Q563" i="225"/>
  <c r="Q562" i="225"/>
  <c r="R559" i="225"/>
  <c r="R564" i="225" s="1"/>
  <c r="P559" i="225"/>
  <c r="P564" i="225" s="1"/>
  <c r="O559" i="225"/>
  <c r="O564" i="225" s="1"/>
  <c r="N559" i="225"/>
  <c r="N564" i="225" s="1"/>
  <c r="M559" i="225"/>
  <c r="M564" i="225" s="1"/>
  <c r="L559" i="225"/>
  <c r="L564" i="225" s="1"/>
  <c r="K559" i="225"/>
  <c r="K564" i="225" s="1"/>
  <c r="J559" i="225"/>
  <c r="J564" i="225" s="1"/>
  <c r="I559" i="225"/>
  <c r="I564" i="225" s="1"/>
  <c r="H559" i="225"/>
  <c r="H564" i="225" s="1"/>
  <c r="G559" i="225"/>
  <c r="G564" i="225" s="1"/>
  <c r="Q558" i="225"/>
  <c r="Q557" i="225"/>
  <c r="Q556" i="225"/>
  <c r="Q555" i="225"/>
  <c r="Q553" i="225"/>
  <c r="Q551" i="225"/>
  <c r="Q550" i="225"/>
  <c r="Q549" i="225"/>
  <c r="Q545" i="225"/>
  <c r="Q544" i="225"/>
  <c r="Q543" i="225"/>
  <c r="Q541" i="225"/>
  <c r="Q540" i="225"/>
  <c r="Q538" i="225"/>
  <c r="Q537" i="225"/>
  <c r="Q536" i="225"/>
  <c r="Q535" i="225"/>
  <c r="Q534" i="225"/>
  <c r="Q533" i="225"/>
  <c r="Q532" i="225"/>
  <c r="Q531" i="225"/>
  <c r="Q530" i="225"/>
  <c r="Q529" i="225"/>
  <c r="Q528" i="225"/>
  <c r="Q527" i="225"/>
  <c r="Q523" i="225"/>
  <c r="P521" i="225"/>
  <c r="P524" i="225" s="1"/>
  <c r="O521" i="225"/>
  <c r="O524" i="225" s="1"/>
  <c r="N521" i="225"/>
  <c r="N524" i="225" s="1"/>
  <c r="M521" i="225"/>
  <c r="M524" i="225" s="1"/>
  <c r="L521" i="225"/>
  <c r="L524" i="225" s="1"/>
  <c r="K521" i="225"/>
  <c r="K524" i="225" s="1"/>
  <c r="J521" i="225"/>
  <c r="J524" i="225" s="1"/>
  <c r="I521" i="225"/>
  <c r="I524" i="225" s="1"/>
  <c r="H521" i="225"/>
  <c r="H524" i="225" s="1"/>
  <c r="G521" i="225"/>
  <c r="G524" i="225" s="1"/>
  <c r="Q520" i="225"/>
  <c r="Q518" i="225"/>
  <c r="Q516" i="225"/>
  <c r="Q514" i="225"/>
  <c r="Q513" i="225"/>
  <c r="Q511" i="225"/>
  <c r="Q510" i="225"/>
  <c r="Q508" i="225"/>
  <c r="Q507" i="225"/>
  <c r="Q505" i="225"/>
  <c r="Q504" i="225"/>
  <c r="Q503" i="225"/>
  <c r="Q502" i="225"/>
  <c r="Q500" i="225"/>
  <c r="R500" i="225" s="1"/>
  <c r="R521" i="225" s="1"/>
  <c r="R524" i="225" s="1"/>
  <c r="Q499" i="225"/>
  <c r="Q498" i="225"/>
  <c r="Q494" i="225"/>
  <c r="Q493" i="225"/>
  <c r="R490" i="225"/>
  <c r="R495" i="225" s="1"/>
  <c r="P490" i="225"/>
  <c r="P495" i="225" s="1"/>
  <c r="O490" i="225"/>
  <c r="O495" i="225" s="1"/>
  <c r="N490" i="225"/>
  <c r="N495" i="225" s="1"/>
  <c r="M490" i="225"/>
  <c r="M495" i="225" s="1"/>
  <c r="L490" i="225"/>
  <c r="L495" i="225" s="1"/>
  <c r="K490" i="225"/>
  <c r="K495" i="225" s="1"/>
  <c r="J490" i="225"/>
  <c r="J495" i="225" s="1"/>
  <c r="I490" i="225"/>
  <c r="I495" i="225" s="1"/>
  <c r="H490" i="225"/>
  <c r="H495" i="225" s="1"/>
  <c r="G490" i="225"/>
  <c r="G495" i="225" s="1"/>
  <c r="Q489" i="225"/>
  <c r="Q488" i="225"/>
  <c r="Q486" i="225"/>
  <c r="Q485" i="225"/>
  <c r="Q484" i="225"/>
  <c r="Q483" i="225"/>
  <c r="Q482" i="225"/>
  <c r="Q480" i="225"/>
  <c r="Q479" i="225"/>
  <c r="Q478" i="225"/>
  <c r="Q477" i="225"/>
  <c r="Q475" i="225"/>
  <c r="Q474" i="225"/>
  <c r="Q473" i="225"/>
  <c r="Q472" i="225"/>
  <c r="Q468" i="225"/>
  <c r="Q467" i="225"/>
  <c r="R465" i="225"/>
  <c r="R469" i="225" s="1"/>
  <c r="P465" i="225"/>
  <c r="P469" i="225" s="1"/>
  <c r="O465" i="225"/>
  <c r="O469" i="225" s="1"/>
  <c r="N465" i="225"/>
  <c r="N469" i="225" s="1"/>
  <c r="M465" i="225"/>
  <c r="M469" i="225" s="1"/>
  <c r="L465" i="225"/>
  <c r="L469" i="225" s="1"/>
  <c r="K465" i="225"/>
  <c r="K469" i="225" s="1"/>
  <c r="J465" i="225"/>
  <c r="J469" i="225" s="1"/>
  <c r="I465" i="225"/>
  <c r="I469" i="225" s="1"/>
  <c r="H465" i="225"/>
  <c r="H469" i="225" s="1"/>
  <c r="G465" i="225"/>
  <c r="G469" i="225" s="1"/>
  <c r="Q464" i="225"/>
  <c r="Q462" i="225"/>
  <c r="Q461" i="225"/>
  <c r="Q460" i="225"/>
  <c r="Q459" i="225"/>
  <c r="Q458" i="225"/>
  <c r="Q457" i="225"/>
  <c r="Q456" i="225"/>
  <c r="Q455" i="225"/>
  <c r="Q454" i="225"/>
  <c r="Q450" i="225"/>
  <c r="Q449" i="225"/>
  <c r="Q448" i="225"/>
  <c r="Q446" i="225"/>
  <c r="Q444" i="225"/>
  <c r="Q443" i="225"/>
  <c r="Q442" i="225"/>
  <c r="Q441" i="225"/>
  <c r="Q440" i="225"/>
  <c r="Q439" i="225"/>
  <c r="Q438" i="225"/>
  <c r="Q433" i="225"/>
  <c r="Q432" i="225"/>
  <c r="Q427" i="225"/>
  <c r="Q426" i="225"/>
  <c r="Q425" i="225"/>
  <c r="Q422" i="225"/>
  <c r="Q421" i="225"/>
  <c r="Q420" i="225"/>
  <c r="Q419" i="225"/>
  <c r="Q418" i="225"/>
  <c r="Q417" i="225"/>
  <c r="Q416" i="225"/>
  <c r="Q415" i="225"/>
  <c r="Q414" i="225"/>
  <c r="Q413" i="225"/>
  <c r="Q412" i="225"/>
  <c r="Q411" i="225"/>
  <c r="Q410" i="225"/>
  <c r="Q409" i="225"/>
  <c r="Q408" i="225"/>
  <c r="Q407" i="225"/>
  <c r="Q406" i="225"/>
  <c r="Q405" i="225"/>
  <c r="Q404" i="225"/>
  <c r="Q399" i="225"/>
  <c r="Q398" i="225"/>
  <c r="Q397" i="225"/>
  <c r="Q396" i="225"/>
  <c r="Q395" i="225"/>
  <c r="Q394" i="225"/>
  <c r="Q393" i="225"/>
  <c r="Q392" i="225"/>
  <c r="Q391" i="225"/>
  <c r="Q390" i="225"/>
  <c r="Q389" i="225"/>
  <c r="Q388" i="225"/>
  <c r="Q387" i="225"/>
  <c r="Q386" i="225"/>
  <c r="Q385" i="225"/>
  <c r="Q384" i="225"/>
  <c r="Q383" i="225"/>
  <c r="Q382" i="225"/>
  <c r="Q381" i="225"/>
  <c r="Q376" i="225"/>
  <c r="Q375" i="225"/>
  <c r="Q374" i="225"/>
  <c r="Q370" i="225"/>
  <c r="Q369" i="225"/>
  <c r="Q368" i="225"/>
  <c r="Q367" i="225"/>
  <c r="Q363" i="225"/>
  <c r="Q362" i="225"/>
  <c r="Q361" i="225"/>
  <c r="Q360" i="225"/>
  <c r="Q359" i="225"/>
  <c r="Q358" i="225"/>
  <c r="Q356" i="225"/>
  <c r="Q355" i="225"/>
  <c r="Q354" i="225"/>
  <c r="Q353" i="225"/>
  <c r="Q352" i="225"/>
  <c r="Q351" i="225"/>
  <c r="Q350" i="225"/>
  <c r="Q346" i="225"/>
  <c r="Q344" i="225"/>
  <c r="Q342" i="225"/>
  <c r="Q340" i="225"/>
  <c r="Q339" i="225"/>
  <c r="R336" i="225"/>
  <c r="R451" i="225" s="1"/>
  <c r="P336" i="225"/>
  <c r="P451" i="225" s="1"/>
  <c r="O336" i="225"/>
  <c r="O451" i="225" s="1"/>
  <c r="N336" i="225"/>
  <c r="N451" i="225" s="1"/>
  <c r="M336" i="225"/>
  <c r="M451" i="225" s="1"/>
  <c r="L336" i="225"/>
  <c r="L451" i="225" s="1"/>
  <c r="K451" i="225"/>
  <c r="J336" i="225"/>
  <c r="J451" i="225" s="1"/>
  <c r="I336" i="225"/>
  <c r="I451" i="225" s="1"/>
  <c r="H336" i="225"/>
  <c r="H451" i="225" s="1"/>
  <c r="G336" i="225"/>
  <c r="G451" i="225" s="1"/>
  <c r="Q335" i="225"/>
  <c r="Q333" i="225"/>
  <c r="Q331" i="225"/>
  <c r="Q330" i="225"/>
  <c r="Q329" i="225"/>
  <c r="Q328" i="225"/>
  <c r="Q324" i="225"/>
  <c r="Q323" i="225"/>
  <c r="Q322" i="225"/>
  <c r="Q321" i="225"/>
  <c r="Q318" i="225"/>
  <c r="Q315" i="225"/>
  <c r="Q314" i="225"/>
  <c r="Q311" i="225"/>
  <c r="Q310" i="225"/>
  <c r="Q309" i="225"/>
  <c r="Q308" i="225"/>
  <c r="Q307" i="225"/>
  <c r="Q306" i="225"/>
  <c r="Q305" i="225"/>
  <c r="Q304" i="225"/>
  <c r="Q303" i="225"/>
  <c r="Q302" i="225"/>
  <c r="Q299" i="225"/>
  <c r="Q298" i="225"/>
  <c r="Q294" i="225"/>
  <c r="R290" i="225"/>
  <c r="R325" i="225" s="1"/>
  <c r="P290" i="225"/>
  <c r="P325" i="225" s="1"/>
  <c r="O290" i="225"/>
  <c r="O325" i="225" s="1"/>
  <c r="N290" i="225"/>
  <c r="N325" i="225" s="1"/>
  <c r="M290" i="225"/>
  <c r="M325" i="225" s="1"/>
  <c r="L290" i="225"/>
  <c r="L325" i="225" s="1"/>
  <c r="K290" i="225"/>
  <c r="K325" i="225" s="1"/>
  <c r="J290" i="225"/>
  <c r="J325" i="225" s="1"/>
  <c r="I290" i="225"/>
  <c r="I325" i="225" s="1"/>
  <c r="H290" i="225"/>
  <c r="H325" i="225" s="1"/>
  <c r="G290" i="225"/>
  <c r="G325" i="225" s="1"/>
  <c r="Q289" i="225"/>
  <c r="Q285" i="225"/>
  <c r="Q283" i="225"/>
  <c r="Q281" i="225"/>
  <c r="Q278" i="225"/>
  <c r="Q276" i="225"/>
  <c r="Q275" i="225"/>
  <c r="Q274" i="225"/>
  <c r="Q273" i="225"/>
  <c r="Q272" i="225"/>
  <c r="Q271" i="225"/>
  <c r="Q269" i="225"/>
  <c r="Q267" i="225"/>
  <c r="Q266" i="225"/>
  <c r="Q264" i="225"/>
  <c r="Q262" i="225"/>
  <c r="Q261" i="225"/>
  <c r="Q260" i="225"/>
  <c r="Q259" i="225"/>
  <c r="Q258" i="225"/>
  <c r="Q257" i="225"/>
  <c r="Q256" i="225"/>
  <c r="Q255" i="225"/>
  <c r="Q254" i="225"/>
  <c r="Q253" i="225"/>
  <c r="Q251" i="225"/>
  <c r="Q249" i="225"/>
  <c r="Q248" i="225"/>
  <c r="XDW248" i="225" s="1"/>
  <c r="Q247" i="225"/>
  <c r="XDW247" i="225" s="1"/>
  <c r="Q246" i="225"/>
  <c r="XDW246" i="225" s="1"/>
  <c r="Q245" i="225"/>
  <c r="XDW245" i="225" s="1"/>
  <c r="Q244" i="225"/>
  <c r="Q243" i="225"/>
  <c r="XDW243" i="225" s="1"/>
  <c r="Q242" i="225"/>
  <c r="XDW242" i="225" s="1"/>
  <c r="Q241" i="225"/>
  <c r="Q240" i="225"/>
  <c r="XDW240" i="225" s="1"/>
  <c r="Q239" i="225"/>
  <c r="XDW239" i="225" s="1"/>
  <c r="Q238" i="225"/>
  <c r="Q236" i="225"/>
  <c r="XDW236" i="225" s="1"/>
  <c r="Q235" i="225"/>
  <c r="XDW235" i="225" s="1"/>
  <c r="Q234" i="225"/>
  <c r="XDW234" i="225" s="1"/>
  <c r="XDW233" i="225"/>
  <c r="Q232" i="225"/>
  <c r="XDW232" i="225" s="1"/>
  <c r="Q231" i="225"/>
  <c r="XDW231" i="225" s="1"/>
  <c r="XDW230" i="225"/>
  <c r="Q229" i="225"/>
  <c r="XDW229" i="225" s="1"/>
  <c r="Q228" i="225"/>
  <c r="XDW228" i="225" s="1"/>
  <c r="Q227" i="225"/>
  <c r="XDW227" i="225" s="1"/>
  <c r="Q226" i="225"/>
  <c r="XDW226" i="225" s="1"/>
  <c r="Q225" i="225"/>
  <c r="XDW225" i="225" s="1"/>
  <c r="Q224" i="225"/>
  <c r="Q223" i="225"/>
  <c r="XDW223" i="225" s="1"/>
  <c r="Q222" i="225"/>
  <c r="XDW222" i="225" s="1"/>
  <c r="Q221" i="225"/>
  <c r="Q220" i="225"/>
  <c r="Q219" i="225"/>
  <c r="Q217" i="225"/>
  <c r="Q216" i="225"/>
  <c r="Q215" i="225"/>
  <c r="Q214" i="225"/>
  <c r="Q213" i="225"/>
  <c r="Q212" i="225"/>
  <c r="Q211" i="225"/>
  <c r="Q210" i="225"/>
  <c r="Q209" i="225"/>
  <c r="Q208" i="225"/>
  <c r="Q207" i="225"/>
  <c r="Q206" i="225"/>
  <c r="Q205" i="225"/>
  <c r="Q204" i="225"/>
  <c r="Q203" i="225"/>
  <c r="Q202" i="225"/>
  <c r="Q201" i="225"/>
  <c r="Q200" i="225"/>
  <c r="Q196" i="225"/>
  <c r="Q195" i="225"/>
  <c r="R192" i="225"/>
  <c r="R197" i="225" s="1"/>
  <c r="P192" i="225"/>
  <c r="P197" i="225" s="1"/>
  <c r="O192" i="225"/>
  <c r="O197" i="225" s="1"/>
  <c r="N192" i="225"/>
  <c r="N197" i="225" s="1"/>
  <c r="M192" i="225"/>
  <c r="M197" i="225" s="1"/>
  <c r="L192" i="225"/>
  <c r="L197" i="225" s="1"/>
  <c r="K192" i="225"/>
  <c r="K197" i="225" s="1"/>
  <c r="J192" i="225"/>
  <c r="J197" i="225" s="1"/>
  <c r="I192" i="225"/>
  <c r="I197" i="225" s="1"/>
  <c r="H192" i="225"/>
  <c r="H197" i="225" s="1"/>
  <c r="G192" i="225"/>
  <c r="G197" i="225" s="1"/>
  <c r="Q191" i="225"/>
  <c r="Q190" i="225"/>
  <c r="Q189" i="225"/>
  <c r="Q188" i="225"/>
  <c r="Q184" i="225"/>
  <c r="Q183" i="225"/>
  <c r="Q181" i="225"/>
  <c r="P178" i="225"/>
  <c r="P185" i="225" s="1"/>
  <c r="O178" i="225"/>
  <c r="O185" i="225" s="1"/>
  <c r="N178" i="225"/>
  <c r="N185" i="225" s="1"/>
  <c r="M178" i="225"/>
  <c r="M185" i="225" s="1"/>
  <c r="L178" i="225"/>
  <c r="L185" i="225" s="1"/>
  <c r="K178" i="225"/>
  <c r="K185" i="225" s="1"/>
  <c r="J178" i="225"/>
  <c r="J185" i="225" s="1"/>
  <c r="I178" i="225"/>
  <c r="I185" i="225" s="1"/>
  <c r="H178" i="225"/>
  <c r="H185" i="225" s="1"/>
  <c r="G178" i="225"/>
  <c r="G185" i="225" s="1"/>
  <c r="Q177" i="225"/>
  <c r="Q176" i="225"/>
  <c r="Q175" i="225"/>
  <c r="Q174" i="225"/>
  <c r="Q172" i="225"/>
  <c r="Q171" i="225"/>
  <c r="Q170" i="225"/>
  <c r="Q169" i="225"/>
  <c r="Q168" i="225"/>
  <c r="Q167" i="225"/>
  <c r="Q166" i="225"/>
  <c r="Q165" i="225"/>
  <c r="Q164" i="225"/>
  <c r="Q163" i="225"/>
  <c r="Q162" i="225"/>
  <c r="Q161" i="225"/>
  <c r="Q160" i="225"/>
  <c r="Q159" i="225"/>
  <c r="Q158" i="225"/>
  <c r="Q157" i="225"/>
  <c r="Q156" i="225"/>
  <c r="Q155" i="225"/>
  <c r="Q154" i="225"/>
  <c r="Q153" i="225"/>
  <c r="Q152" i="225"/>
  <c r="Q151" i="225"/>
  <c r="Q150" i="225"/>
  <c r="Q149" i="225"/>
  <c r="Q148" i="225"/>
  <c r="Q147" i="225"/>
  <c r="Q146" i="225"/>
  <c r="Q145" i="225"/>
  <c r="Q144" i="225"/>
  <c r="Q143" i="225"/>
  <c r="Q142" i="225"/>
  <c r="Q141" i="225"/>
  <c r="Q140" i="225"/>
  <c r="Q139" i="225"/>
  <c r="Q137" i="225"/>
  <c r="Q136" i="225"/>
  <c r="Q135" i="225"/>
  <c r="Q134" i="225"/>
  <c r="Q132" i="225"/>
  <c r="Q131" i="225"/>
  <c r="Q130" i="225"/>
  <c r="Q127" i="225"/>
  <c r="Q125" i="225"/>
  <c r="Q123" i="225"/>
  <c r="Q122" i="225"/>
  <c r="Q121" i="225"/>
  <c r="Q119" i="225"/>
  <c r="Q117" i="225"/>
  <c r="Q115" i="225"/>
  <c r="Q113" i="225"/>
  <c r="Q112" i="225"/>
  <c r="Q109" i="225"/>
  <c r="Q107" i="225"/>
  <c r="Q105" i="225"/>
  <c r="Q104" i="225"/>
  <c r="Q103" i="225"/>
  <c r="Q102" i="225"/>
  <c r="Q101" i="225"/>
  <c r="Q100" i="225"/>
  <c r="Q99" i="225"/>
  <c r="Q97" i="225"/>
  <c r="Q96" i="225"/>
  <c r="Q95" i="225"/>
  <c r="Q94" i="225"/>
  <c r="Q93" i="225"/>
  <c r="Q92" i="225"/>
  <c r="Q91" i="225"/>
  <c r="Q90" i="225"/>
  <c r="Q89" i="225"/>
  <c r="Q88" i="225"/>
  <c r="Q87" i="225"/>
  <c r="Q86" i="225"/>
  <c r="Q85" i="225"/>
  <c r="Q84" i="225"/>
  <c r="Q83" i="225"/>
  <c r="Q82" i="225"/>
  <c r="Q81" i="225"/>
  <c r="Q80" i="225"/>
  <c r="Q79" i="225"/>
  <c r="Q78" i="225"/>
  <c r="Q77" i="225"/>
  <c r="Q76" i="225"/>
  <c r="Q75" i="225"/>
  <c r="Q74" i="225"/>
  <c r="Q73" i="225"/>
  <c r="Q72" i="225"/>
  <c r="Q71" i="225"/>
  <c r="Q70" i="225"/>
  <c r="Q69" i="225"/>
  <c r="Q67" i="225"/>
  <c r="Q65" i="225"/>
  <c r="Q63" i="225"/>
  <c r="Q62" i="225"/>
  <c r="Q61" i="225"/>
  <c r="Q60" i="225"/>
  <c r="Q59" i="225"/>
  <c r="Q58" i="225"/>
  <c r="Q55" i="225"/>
  <c r="Q53" i="225"/>
  <c r="R53" i="225" s="1"/>
  <c r="Q52" i="225"/>
  <c r="Q51" i="225"/>
  <c r="Q50" i="225"/>
  <c r="Q49" i="225"/>
  <c r="Q44" i="225"/>
  <c r="Q43" i="225"/>
  <c r="R40" i="225"/>
  <c r="R45" i="225" s="1"/>
  <c r="P40" i="225"/>
  <c r="P45" i="225" s="1"/>
  <c r="O40" i="225"/>
  <c r="O45" i="225" s="1"/>
  <c r="N40" i="225"/>
  <c r="N45" i="225" s="1"/>
  <c r="M40" i="225"/>
  <c r="M45" i="225" s="1"/>
  <c r="L40" i="225"/>
  <c r="L45" i="225" s="1"/>
  <c r="K40" i="225"/>
  <c r="K45" i="225" s="1"/>
  <c r="J40" i="225"/>
  <c r="J45" i="225" s="1"/>
  <c r="I40" i="225"/>
  <c r="I45" i="225" s="1"/>
  <c r="H40" i="225"/>
  <c r="H45" i="225" s="1"/>
  <c r="G40" i="225"/>
  <c r="G45" i="225" s="1"/>
  <c r="Q39" i="225"/>
  <c r="Q37" i="225"/>
  <c r="Q35" i="225"/>
  <c r="Q34" i="225"/>
  <c r="Q33" i="225"/>
  <c r="Q32" i="225"/>
  <c r="Q30" i="225"/>
  <c r="Q28" i="225"/>
  <c r="Q26" i="225"/>
  <c r="Q25" i="225"/>
  <c r="Q24" i="225"/>
  <c r="Q22" i="225"/>
  <c r="Q20" i="225"/>
  <c r="Q18" i="225"/>
  <c r="Q17" i="225"/>
  <c r="Q16" i="225"/>
  <c r="Q15" i="225"/>
  <c r="Q14" i="225"/>
  <c r="Q12" i="225"/>
  <c r="Q11" i="225"/>
  <c r="Q10" i="225"/>
  <c r="Q9" i="225"/>
  <c r="Q7" i="225"/>
  <c r="T20" i="135" l="1"/>
  <c r="X6" i="135"/>
  <c r="Y6" i="135" s="1"/>
  <c r="AA6" i="135" s="1"/>
  <c r="Q336" i="225"/>
  <c r="Q451" i="225" s="1"/>
  <c r="XDW224" i="225"/>
  <c r="Q192" i="225"/>
  <c r="Q197" i="225" s="1"/>
  <c r="Q578" i="225"/>
  <c r="Q559" i="225"/>
  <c r="Q564" i="225" s="1"/>
  <c r="Q521" i="225"/>
  <c r="Q524" i="225" s="1"/>
  <c r="Q490" i="225"/>
  <c r="Q495" i="225" s="1"/>
  <c r="Q465" i="225"/>
  <c r="Q469" i="225" s="1"/>
  <c r="N579" i="225"/>
  <c r="N581" i="225" s="1"/>
  <c r="Q290" i="225"/>
  <c r="Q325" i="225" s="1"/>
  <c r="XDW237" i="225"/>
  <c r="XDW238" i="225" s="1"/>
  <c r="XDW244" i="225"/>
  <c r="XDW241" i="225"/>
  <c r="R55" i="225"/>
  <c r="R109" i="225"/>
  <c r="M579" i="225"/>
  <c r="M581" i="225" s="1"/>
  <c r="Q178" i="225"/>
  <c r="Q185" i="225" s="1"/>
  <c r="R177" i="225"/>
  <c r="I579" i="225"/>
  <c r="R127" i="225"/>
  <c r="Q40" i="225"/>
  <c r="Q45" i="225" s="1"/>
  <c r="G579" i="225"/>
  <c r="G581" i="225" s="1"/>
  <c r="K579" i="225"/>
  <c r="O579" i="225"/>
  <c r="O581" i="225" s="1"/>
  <c r="H579" i="225"/>
  <c r="H581" i="225" s="1"/>
  <c r="E4" i="107" s="1"/>
  <c r="L579" i="225"/>
  <c r="L581" i="225" s="1"/>
  <c r="P579" i="225"/>
  <c r="P581" i="225" s="1"/>
  <c r="E14" i="107" s="1"/>
  <c r="J579" i="225"/>
  <c r="J581" i="225" s="1"/>
  <c r="E6" i="107" s="1"/>
  <c r="T14" i="135" l="1"/>
  <c r="E11" i="107"/>
  <c r="T18" i="135"/>
  <c r="E10" i="107"/>
  <c r="T16" i="135"/>
  <c r="E9" i="107"/>
  <c r="E3" i="107"/>
  <c r="X20" i="135"/>
  <c r="Y20" i="135" s="1"/>
  <c r="K581" i="225"/>
  <c r="I581" i="225"/>
  <c r="E5" i="107" s="1"/>
  <c r="R583" i="225"/>
  <c r="Q579" i="225"/>
  <c r="Q581" i="225" s="1"/>
  <c r="R178" i="225"/>
  <c r="R185" i="225" s="1"/>
  <c r="R579" i="225" s="1"/>
  <c r="R581" i="225" s="1"/>
  <c r="T22" i="135" l="1"/>
  <c r="T25" i="135" s="1"/>
  <c r="T5" i="135"/>
  <c r="X5" i="135" s="1"/>
  <c r="Y5" i="135" s="1"/>
  <c r="E7" i="107"/>
  <c r="E8" i="107" s="1"/>
  <c r="T4" i="135"/>
  <c r="X16" i="135"/>
  <c r="Y16" i="135" s="1"/>
  <c r="X14" i="135"/>
  <c r="X18" i="135"/>
  <c r="Y18" i="135" s="1"/>
  <c r="E12" i="107"/>
  <c r="T8" i="135" l="1"/>
  <c r="T12" i="135" s="1"/>
  <c r="T26" i="135" s="1"/>
  <c r="T28" i="135" s="1"/>
  <c r="X4" i="135"/>
  <c r="X8" i="135" s="1"/>
  <c r="X12" i="135" s="1"/>
  <c r="X22" i="135"/>
  <c r="X25" i="135" s="1"/>
  <c r="Y14" i="135"/>
  <c r="Y22" i="135" s="1"/>
  <c r="Y25" i="135" s="1"/>
  <c r="E13" i="107"/>
  <c r="E15" i="107" s="1"/>
  <c r="C12" i="107"/>
  <c r="C8" i="107"/>
  <c r="X26" i="135" l="1"/>
  <c r="X28" i="135" s="1"/>
  <c r="Y4" i="135"/>
  <c r="Y8" i="135" s="1"/>
  <c r="Y12" i="135" s="1"/>
  <c r="Y26" i="135" s="1"/>
  <c r="Y28" i="135" s="1"/>
  <c r="O35" i="135"/>
  <c r="C13" i="107"/>
  <c r="C15" i="107" s="1"/>
  <c r="G7" i="220"/>
  <c r="G9" i="220"/>
  <c r="G10" i="220"/>
  <c r="G11" i="220"/>
  <c r="G12" i="220"/>
  <c r="G13" i="220"/>
  <c r="G15" i="220"/>
  <c r="G16" i="220"/>
  <c r="G19" i="220"/>
  <c r="G20" i="220"/>
  <c r="G21" i="220"/>
  <c r="G23" i="220"/>
  <c r="G25" i="220"/>
  <c r="G26" i="220"/>
  <c r="G28" i="220"/>
  <c r="G29" i="220"/>
  <c r="G30" i="220"/>
  <c r="G31" i="220"/>
  <c r="G32" i="220"/>
  <c r="G33" i="220"/>
  <c r="G36" i="220"/>
  <c r="G37" i="220"/>
  <c r="G40" i="220"/>
  <c r="G43" i="220"/>
  <c r="G45" i="220"/>
  <c r="G47" i="220"/>
  <c r="G5" i="220"/>
  <c r="O31" i="135" l="1"/>
  <c r="G59" i="220"/>
  <c r="C33" i="223" l="1"/>
  <c r="C28" i="223"/>
  <c r="C22" i="223"/>
  <c r="C14" i="223"/>
  <c r="C9" i="223"/>
  <c r="C34" i="223" l="1"/>
  <c r="C42" i="223" s="1"/>
  <c r="P22" i="135"/>
  <c r="P25" i="135" s="1"/>
  <c r="Q22" i="135"/>
  <c r="Q25" i="135" s="1"/>
  <c r="Q8" i="135"/>
  <c r="Q12" i="135" s="1"/>
  <c r="P8" i="135"/>
  <c r="P12" i="135" s="1"/>
  <c r="P26" i="135" l="1"/>
  <c r="P28" i="135" s="1"/>
  <c r="Q26" i="135"/>
  <c r="Q28" i="135" s="1"/>
  <c r="B19" i="135"/>
  <c r="B25" i="135" s="1"/>
  <c r="B7" i="135"/>
  <c r="B12" i="135" s="1"/>
  <c r="C19" i="135"/>
  <c r="C25" i="135" s="1"/>
  <c r="C7" i="135"/>
  <c r="C12" i="135" s="1"/>
  <c r="B26" i="135" l="1"/>
  <c r="B28" i="135" s="1"/>
  <c r="AB12" i="135"/>
  <c r="C26" i="135"/>
  <c r="C28" i="135" s="1"/>
  <c r="Q184" i="215"/>
  <c r="Q508" i="215" l="1"/>
  <c r="D9" i="223" l="1"/>
  <c r="D14" i="223"/>
  <c r="D22" i="223"/>
  <c r="D28" i="223"/>
  <c r="D33" i="223"/>
  <c r="D34" i="223" l="1"/>
  <c r="D42" i="223" s="1"/>
  <c r="Q356" i="215" l="1"/>
  <c r="Q376" i="215" l="1"/>
  <c r="Q382" i="215"/>
  <c r="Q388" i="215"/>
  <c r="Q374" i="215" l="1"/>
  <c r="Q375" i="215"/>
  <c r="Q350" i="215"/>
  <c r="Q351" i="215"/>
  <c r="Q352" i="215"/>
  <c r="Q353" i="215"/>
  <c r="Q354" i="215"/>
  <c r="Q355" i="215"/>
  <c r="Q181" i="215" l="1"/>
  <c r="Q340" i="215"/>
  <c r="Q383" i="215"/>
  <c r="Q384" i="215"/>
  <c r="Q385" i="215"/>
  <c r="Q386" i="215"/>
  <c r="Q381" i="215" l="1"/>
  <c r="Q446" i="215"/>
  <c r="D13" i="220" l="1"/>
  <c r="D5" i="220"/>
  <c r="Q571" i="215" l="1"/>
  <c r="O140" i="219"/>
  <c r="D47" i="220" l="1"/>
  <c r="D45" i="220"/>
  <c r="D43" i="220"/>
  <c r="D40" i="220"/>
  <c r="D37" i="220"/>
  <c r="D36" i="220"/>
  <c r="D33" i="220"/>
  <c r="D32" i="220"/>
  <c r="D31" i="220"/>
  <c r="D30" i="220"/>
  <c r="D29" i="220"/>
  <c r="D28" i="220"/>
  <c r="D26" i="220"/>
  <c r="D25" i="220"/>
  <c r="D23" i="220"/>
  <c r="D21" i="220"/>
  <c r="D20" i="220"/>
  <c r="D19" i="220"/>
  <c r="D16" i="220"/>
  <c r="D15" i="220"/>
  <c r="D12" i="220"/>
  <c r="D11" i="220"/>
  <c r="D10" i="220"/>
  <c r="D9" i="220"/>
  <c r="D7" i="220"/>
  <c r="D59" i="220" l="1"/>
  <c r="M12" i="62" l="1"/>
  <c r="L12" i="62"/>
  <c r="K12" i="62"/>
  <c r="J12" i="62"/>
  <c r="I12" i="62"/>
  <c r="H12" i="62"/>
  <c r="G12" i="62"/>
  <c r="F12" i="62"/>
  <c r="E12" i="62"/>
  <c r="D12" i="62"/>
  <c r="O160" i="219"/>
  <c r="O164" i="219" s="1"/>
  <c r="M11" i="62"/>
  <c r="K11" i="62"/>
  <c r="J11" i="62"/>
  <c r="I11" i="62"/>
  <c r="H11" i="62"/>
  <c r="G11" i="62"/>
  <c r="F11" i="62"/>
  <c r="E11" i="62"/>
  <c r="D11" i="62"/>
  <c r="O155" i="219"/>
  <c r="O153" i="219"/>
  <c r="O152" i="219"/>
  <c r="O150" i="219"/>
  <c r="O148" i="219"/>
  <c r="O147" i="219"/>
  <c r="O146" i="219"/>
  <c r="O145" i="219"/>
  <c r="O144" i="219"/>
  <c r="O141" i="219"/>
  <c r="O139" i="219"/>
  <c r="O135" i="219"/>
  <c r="O134" i="219"/>
  <c r="O131" i="219"/>
  <c r="M10" i="62"/>
  <c r="L10" i="62"/>
  <c r="K10" i="62"/>
  <c r="J10" i="62"/>
  <c r="I10" i="62"/>
  <c r="H10" i="62"/>
  <c r="G10" i="62"/>
  <c r="F10" i="62"/>
  <c r="E10" i="62"/>
  <c r="D10" i="62"/>
  <c r="O127" i="219"/>
  <c r="O126" i="219"/>
  <c r="O125" i="219"/>
  <c r="O124" i="219"/>
  <c r="O123" i="219"/>
  <c r="M9" i="62"/>
  <c r="L9" i="62"/>
  <c r="K9" i="62"/>
  <c r="J9" i="62"/>
  <c r="I9" i="62"/>
  <c r="H9" i="62"/>
  <c r="G9" i="62"/>
  <c r="F9" i="62"/>
  <c r="E9" i="62"/>
  <c r="D9" i="62"/>
  <c r="O118" i="219"/>
  <c r="O115" i="219"/>
  <c r="O114" i="219"/>
  <c r="O112" i="219"/>
  <c r="O111" i="219"/>
  <c r="O110" i="219"/>
  <c r="O109" i="219"/>
  <c r="O108" i="219"/>
  <c r="O107" i="219"/>
  <c r="O106" i="219"/>
  <c r="O105" i="219"/>
  <c r="O104" i="219"/>
  <c r="O103" i="219"/>
  <c r="O102" i="219"/>
  <c r="O101" i="219"/>
  <c r="O99" i="219"/>
  <c r="O97" i="219"/>
  <c r="O96" i="219"/>
  <c r="M8" i="62"/>
  <c r="L8" i="62"/>
  <c r="K8" i="62"/>
  <c r="J8" i="62"/>
  <c r="I8" i="62"/>
  <c r="H8" i="62"/>
  <c r="G8" i="62"/>
  <c r="F8" i="62"/>
  <c r="E8" i="62"/>
  <c r="D8" i="62"/>
  <c r="O92" i="219"/>
  <c r="O91" i="219"/>
  <c r="O90" i="219"/>
  <c r="O89" i="219"/>
  <c r="O88" i="219"/>
  <c r="O87" i="219"/>
  <c r="O86" i="219"/>
  <c r="O85" i="219"/>
  <c r="O81" i="219"/>
  <c r="O80" i="219"/>
  <c r="O76" i="219"/>
  <c r="O75" i="219"/>
  <c r="O74" i="219"/>
  <c r="O72" i="219"/>
  <c r="O71" i="219"/>
  <c r="O70" i="219"/>
  <c r="O69" i="219"/>
  <c r="O68" i="219"/>
  <c r="O67" i="219"/>
  <c r="O66" i="219"/>
  <c r="O65" i="219"/>
  <c r="O64" i="219"/>
  <c r="O63" i="219"/>
  <c r="O62" i="219"/>
  <c r="O61" i="219"/>
  <c r="O60" i="219"/>
  <c r="O59" i="219"/>
  <c r="O58" i="219"/>
  <c r="O57" i="219"/>
  <c r="O56" i="219"/>
  <c r="O55" i="219"/>
  <c r="O54" i="219"/>
  <c r="O50" i="219"/>
  <c r="O49" i="219"/>
  <c r="O48" i="219"/>
  <c r="O47" i="219"/>
  <c r="M7" i="62"/>
  <c r="L7" i="62"/>
  <c r="K7" i="62"/>
  <c r="J7" i="62"/>
  <c r="I7" i="62"/>
  <c r="H7" i="62"/>
  <c r="G7" i="62"/>
  <c r="F7" i="62"/>
  <c r="E7" i="62"/>
  <c r="D7" i="62"/>
  <c r="O40" i="219"/>
  <c r="O38" i="219"/>
  <c r="O35" i="219"/>
  <c r="O33" i="219"/>
  <c r="O32" i="219"/>
  <c r="O31" i="219"/>
  <c r="O29" i="219"/>
  <c r="O28" i="219"/>
  <c r="M6" i="62"/>
  <c r="L6" i="62"/>
  <c r="K6" i="62"/>
  <c r="I6" i="62"/>
  <c r="H6" i="62"/>
  <c r="G6" i="62"/>
  <c r="F6" i="62"/>
  <c r="E6" i="62"/>
  <c r="O24" i="219"/>
  <c r="O25" i="219" s="1"/>
  <c r="M5" i="62"/>
  <c r="L5" i="62"/>
  <c r="J5" i="62"/>
  <c r="I5" i="62"/>
  <c r="H5" i="62"/>
  <c r="G5" i="62"/>
  <c r="F5" i="62"/>
  <c r="D5" i="62"/>
  <c r="O18" i="219"/>
  <c r="O16" i="219"/>
  <c r="M4" i="62"/>
  <c r="K4" i="62"/>
  <c r="J4" i="62"/>
  <c r="I4" i="62"/>
  <c r="G4" i="62"/>
  <c r="E4" i="62"/>
  <c r="D4" i="62"/>
  <c r="O10" i="219"/>
  <c r="O8" i="219"/>
  <c r="O7" i="219"/>
  <c r="Q576" i="215"/>
  <c r="Q577" i="215"/>
  <c r="H578" i="215"/>
  <c r="E14" i="63" s="1"/>
  <c r="I578" i="215"/>
  <c r="F14" i="63" s="1"/>
  <c r="J578" i="215"/>
  <c r="G14" i="63" s="1"/>
  <c r="K578" i="215"/>
  <c r="H14" i="63" s="1"/>
  <c r="L578" i="215"/>
  <c r="M578" i="215"/>
  <c r="J14" i="63" s="1"/>
  <c r="N578" i="215"/>
  <c r="K14" i="63" s="1"/>
  <c r="O578" i="215"/>
  <c r="L14" i="63" s="1"/>
  <c r="P578" i="215"/>
  <c r="M14" i="63" s="1"/>
  <c r="Q183" i="215"/>
  <c r="O120" i="219" l="1"/>
  <c r="I14" i="63"/>
  <c r="Z20" i="135"/>
  <c r="AA20" i="135" s="1"/>
  <c r="O93" i="219"/>
  <c r="O41" i="219"/>
  <c r="O21" i="219"/>
  <c r="O11" i="219"/>
  <c r="G165" i="219"/>
  <c r="L165" i="219"/>
  <c r="L167" i="219" s="1"/>
  <c r="K165" i="219"/>
  <c r="E165" i="219"/>
  <c r="F165" i="219"/>
  <c r="K5" i="62"/>
  <c r="L4" i="62"/>
  <c r="F4" i="62"/>
  <c r="D6" i="62"/>
  <c r="H165" i="219"/>
  <c r="N165" i="219"/>
  <c r="N167" i="219" s="1"/>
  <c r="O128" i="219"/>
  <c r="E5" i="62"/>
  <c r="L11" i="62"/>
  <c r="I165" i="219"/>
  <c r="J165" i="219"/>
  <c r="H4" i="62"/>
  <c r="J6" i="62"/>
  <c r="O136" i="219"/>
  <c r="O159" i="219" s="1"/>
  <c r="L21" i="135" l="1"/>
  <c r="M21" i="135" s="1"/>
  <c r="O165" i="219"/>
  <c r="M165" i="219"/>
  <c r="Q253" i="215" l="1"/>
  <c r="Q191" i="215"/>
  <c r="Q462" i="215" l="1"/>
  <c r="H290" i="215" l="1"/>
  <c r="I290" i="215"/>
  <c r="J290" i="215"/>
  <c r="K290" i="215"/>
  <c r="L290" i="215"/>
  <c r="M290" i="215"/>
  <c r="N290" i="215"/>
  <c r="O290" i="215"/>
  <c r="P290" i="215"/>
  <c r="H40" i="215"/>
  <c r="I40" i="215"/>
  <c r="J40" i="215"/>
  <c r="K40" i="215"/>
  <c r="L40" i="215"/>
  <c r="M40" i="215"/>
  <c r="N40" i="215"/>
  <c r="O40" i="215"/>
  <c r="P40" i="215"/>
  <c r="H465" i="215" l="1"/>
  <c r="I465" i="215"/>
  <c r="J465" i="215"/>
  <c r="K465" i="215"/>
  <c r="L465" i="215"/>
  <c r="M465" i="215"/>
  <c r="N465" i="215"/>
  <c r="O465" i="215"/>
  <c r="P465" i="215"/>
  <c r="Q96" i="215" l="1"/>
  <c r="Q479" i="215" l="1"/>
  <c r="Q444" i="215" l="1"/>
  <c r="Q443" i="215"/>
  <c r="Q442" i="215"/>
  <c r="Q438" i="215"/>
  <c r="Q432" i="215"/>
  <c r="Q433" i="215"/>
  <c r="Q425" i="215"/>
  <c r="Q422" i="215"/>
  <c r="Q421" i="215"/>
  <c r="Q420" i="215"/>
  <c r="Q419" i="215"/>
  <c r="Q418" i="215"/>
  <c r="Q417" i="215"/>
  <c r="Q416" i="215"/>
  <c r="Q415" i="215"/>
  <c r="Q414" i="215"/>
  <c r="Q413" i="215"/>
  <c r="Q412" i="215"/>
  <c r="Q411" i="215"/>
  <c r="Q324" i="215" l="1"/>
  <c r="G578" i="215" l="1"/>
  <c r="D14" i="63" s="1"/>
  <c r="Q574" i="215"/>
  <c r="Q573" i="215"/>
  <c r="Q572" i="215"/>
  <c r="Q570" i="215"/>
  <c r="Q569" i="215"/>
  <c r="Q568" i="215"/>
  <c r="Q566" i="215"/>
  <c r="Q563" i="215"/>
  <c r="Q562" i="215"/>
  <c r="P559" i="215"/>
  <c r="P564" i="215" s="1"/>
  <c r="M13" i="63" s="1"/>
  <c r="O559" i="215"/>
  <c r="O564" i="215" s="1"/>
  <c r="L13" i="63" s="1"/>
  <c r="N559" i="215"/>
  <c r="N564" i="215" s="1"/>
  <c r="K13" i="63" s="1"/>
  <c r="M559" i="215"/>
  <c r="M564" i="215" s="1"/>
  <c r="J13" i="63" s="1"/>
  <c r="L559" i="215"/>
  <c r="L564" i="215" s="1"/>
  <c r="I13" i="63" s="1"/>
  <c r="J559" i="215"/>
  <c r="J564" i="215" s="1"/>
  <c r="G13" i="63" s="1"/>
  <c r="I559" i="215"/>
  <c r="I564" i="215" s="1"/>
  <c r="F13" i="63" s="1"/>
  <c r="H559" i="215"/>
  <c r="H564" i="215" s="1"/>
  <c r="E13" i="63" s="1"/>
  <c r="G559" i="215"/>
  <c r="G564" i="215" s="1"/>
  <c r="D13" i="63" s="1"/>
  <c r="Q558" i="215"/>
  <c r="K559" i="215"/>
  <c r="K564" i="215" s="1"/>
  <c r="H13" i="63" s="1"/>
  <c r="Q556" i="215"/>
  <c r="Q555" i="215"/>
  <c r="Q553" i="215"/>
  <c r="Q551" i="215"/>
  <c r="Q550" i="215"/>
  <c r="Q549" i="215"/>
  <c r="Q546" i="215"/>
  <c r="Q545" i="215"/>
  <c r="Q544" i="215"/>
  <c r="Q543" i="215"/>
  <c r="Q541" i="215"/>
  <c r="Q540" i="215"/>
  <c r="Q538" i="215"/>
  <c r="Q537" i="215"/>
  <c r="Q536" i="215"/>
  <c r="Q535" i="215"/>
  <c r="Q534" i="215"/>
  <c r="Q533" i="215"/>
  <c r="Q532" i="215"/>
  <c r="Q531" i="215"/>
  <c r="Q530" i="215"/>
  <c r="Q529" i="215"/>
  <c r="Q528" i="215"/>
  <c r="Q527" i="215"/>
  <c r="Q523" i="215"/>
  <c r="P521" i="215"/>
  <c r="P524" i="215" s="1"/>
  <c r="M12" i="63" s="1"/>
  <c r="O521" i="215"/>
  <c r="O524" i="215" s="1"/>
  <c r="L12" i="63" s="1"/>
  <c r="N521" i="215"/>
  <c r="N524" i="215" s="1"/>
  <c r="K12" i="63" s="1"/>
  <c r="M521" i="215"/>
  <c r="M524" i="215" s="1"/>
  <c r="J12" i="63" s="1"/>
  <c r="L521" i="215"/>
  <c r="L524" i="215" s="1"/>
  <c r="I12" i="63" s="1"/>
  <c r="K521" i="215"/>
  <c r="K524" i="215" s="1"/>
  <c r="H12" i="63" s="1"/>
  <c r="J521" i="215"/>
  <c r="J524" i="215" s="1"/>
  <c r="G12" i="63" s="1"/>
  <c r="I521" i="215"/>
  <c r="I524" i="215" s="1"/>
  <c r="F12" i="63" s="1"/>
  <c r="H521" i="215"/>
  <c r="H524" i="215" s="1"/>
  <c r="E12" i="63" s="1"/>
  <c r="G521" i="215"/>
  <c r="G524" i="215" s="1"/>
  <c r="D12" i="63" s="1"/>
  <c r="Q520" i="215"/>
  <c r="Q518" i="215"/>
  <c r="Q516" i="215"/>
  <c r="Q514" i="215"/>
  <c r="Q513" i="215"/>
  <c r="Q511" i="215"/>
  <c r="Q510" i="215"/>
  <c r="Q507" i="215"/>
  <c r="Q505" i="215"/>
  <c r="Q504" i="215"/>
  <c r="Q503" i="215"/>
  <c r="Q502" i="215"/>
  <c r="Q500" i="215"/>
  <c r="Q499" i="215"/>
  <c r="Q498" i="215"/>
  <c r="Q494" i="215"/>
  <c r="Q493" i="215"/>
  <c r="P490" i="215"/>
  <c r="P495" i="215" s="1"/>
  <c r="M11" i="63" s="1"/>
  <c r="O490" i="215"/>
  <c r="O495" i="215" s="1"/>
  <c r="L11" i="63" s="1"/>
  <c r="N490" i="215"/>
  <c r="N495" i="215" s="1"/>
  <c r="K11" i="63" s="1"/>
  <c r="M490" i="215"/>
  <c r="M495" i="215" s="1"/>
  <c r="J11" i="63" s="1"/>
  <c r="L490" i="215"/>
  <c r="L495" i="215" s="1"/>
  <c r="I11" i="63" s="1"/>
  <c r="K490" i="215"/>
  <c r="K495" i="215" s="1"/>
  <c r="H11" i="63" s="1"/>
  <c r="J490" i="215"/>
  <c r="J495" i="215" s="1"/>
  <c r="G11" i="63" s="1"/>
  <c r="I490" i="215"/>
  <c r="I495" i="215" s="1"/>
  <c r="F11" i="63" s="1"/>
  <c r="H490" i="215"/>
  <c r="H495" i="215" s="1"/>
  <c r="E11" i="63" s="1"/>
  <c r="G490" i="215"/>
  <c r="G495" i="215" s="1"/>
  <c r="D11" i="63" s="1"/>
  <c r="Q489" i="215"/>
  <c r="Q488" i="215"/>
  <c r="Q486" i="215"/>
  <c r="Q485" i="215"/>
  <c r="Q484" i="215"/>
  <c r="Q483" i="215"/>
  <c r="Q482" i="215"/>
  <c r="Q480" i="215"/>
  <c r="Q478" i="215"/>
  <c r="Q477" i="215"/>
  <c r="Q475" i="215"/>
  <c r="Q474" i="215"/>
  <c r="Q473" i="215"/>
  <c r="Q472" i="215"/>
  <c r="Q468" i="215"/>
  <c r="Q467" i="215"/>
  <c r="P469" i="215"/>
  <c r="M10" i="63" s="1"/>
  <c r="O469" i="215"/>
  <c r="L10" i="63" s="1"/>
  <c r="N469" i="215"/>
  <c r="K10" i="63" s="1"/>
  <c r="M469" i="215"/>
  <c r="J10" i="63" s="1"/>
  <c r="L469" i="215"/>
  <c r="I10" i="63" s="1"/>
  <c r="K469" i="215"/>
  <c r="H10" i="63" s="1"/>
  <c r="J469" i="215"/>
  <c r="G10" i="63" s="1"/>
  <c r="I469" i="215"/>
  <c r="F10" i="63" s="1"/>
  <c r="H469" i="215"/>
  <c r="E10" i="63" s="1"/>
  <c r="G465" i="215"/>
  <c r="G469" i="215" s="1"/>
  <c r="D10" i="63" s="1"/>
  <c r="Q464" i="215"/>
  <c r="Q461" i="215"/>
  <c r="Q460" i="215"/>
  <c r="Q459" i="215"/>
  <c r="Q458" i="215"/>
  <c r="Q457" i="215"/>
  <c r="Q456" i="215"/>
  <c r="Q455" i="215"/>
  <c r="Q454" i="215"/>
  <c r="Q450" i="215"/>
  <c r="Q449" i="215"/>
  <c r="Q448" i="215"/>
  <c r="Q441" i="215"/>
  <c r="Q440" i="215"/>
  <c r="Q439" i="215"/>
  <c r="Q427" i="215"/>
  <c r="Q426" i="215"/>
  <c r="Q410" i="215"/>
  <c r="Q409" i="215"/>
  <c r="Q408" i="215"/>
  <c r="Q407" i="215"/>
  <c r="Q406" i="215"/>
  <c r="Q405" i="215"/>
  <c r="Q404" i="215"/>
  <c r="Q399" i="215"/>
  <c r="Q398" i="215"/>
  <c r="Q397" i="215"/>
  <c r="Q396" i="215"/>
  <c r="Q395" i="215"/>
  <c r="Q394" i="215"/>
  <c r="Q393" i="215"/>
  <c r="Q392" i="215"/>
  <c r="Q391" i="215"/>
  <c r="Q390" i="215"/>
  <c r="Q389" i="215"/>
  <c r="Q387" i="215"/>
  <c r="Q370" i="215"/>
  <c r="Q369" i="215"/>
  <c r="Q368" i="215"/>
  <c r="Q367" i="215"/>
  <c r="Q363" i="215"/>
  <c r="Q362" i="215"/>
  <c r="Q361" i="215"/>
  <c r="Q360" i="215"/>
  <c r="Q359" i="215"/>
  <c r="Q358" i="215"/>
  <c r="Q346" i="215"/>
  <c r="Q344" i="215"/>
  <c r="Q342" i="215"/>
  <c r="Q339" i="215"/>
  <c r="P336" i="215"/>
  <c r="P451" i="215" s="1"/>
  <c r="M9" i="63" s="1"/>
  <c r="O336" i="215"/>
  <c r="O451" i="215" s="1"/>
  <c r="L9" i="63" s="1"/>
  <c r="N336" i="215"/>
  <c r="N451" i="215" s="1"/>
  <c r="K9" i="63" s="1"/>
  <c r="M336" i="215"/>
  <c r="M451" i="215" s="1"/>
  <c r="J9" i="63" s="1"/>
  <c r="L336" i="215"/>
  <c r="L451" i="215" s="1"/>
  <c r="I9" i="63" s="1"/>
  <c r="K336" i="215"/>
  <c r="K451" i="215" s="1"/>
  <c r="H9" i="63" s="1"/>
  <c r="J336" i="215"/>
  <c r="J451" i="215" s="1"/>
  <c r="G9" i="63" s="1"/>
  <c r="I336" i="215"/>
  <c r="I451" i="215" s="1"/>
  <c r="F9" i="63" s="1"/>
  <c r="H336" i="215"/>
  <c r="H451" i="215" s="1"/>
  <c r="E9" i="63" s="1"/>
  <c r="G336" i="215"/>
  <c r="G451" i="215" s="1"/>
  <c r="D9" i="63" s="1"/>
  <c r="Q335" i="215"/>
  <c r="Q333" i="215"/>
  <c r="Q331" i="215"/>
  <c r="Q330" i="215"/>
  <c r="Q329" i="215"/>
  <c r="Q328" i="215"/>
  <c r="Q323" i="215"/>
  <c r="Q322" i="215"/>
  <c r="Q321" i="215"/>
  <c r="Q318" i="215"/>
  <c r="Q315" i="215"/>
  <c r="Q314" i="215"/>
  <c r="Q311" i="215"/>
  <c r="Q310" i="215"/>
  <c r="Q309" i="215"/>
  <c r="Q308" i="215"/>
  <c r="Q307" i="215"/>
  <c r="Q306" i="215"/>
  <c r="Q305" i="215"/>
  <c r="Q304" i="215"/>
  <c r="Q303" i="215"/>
  <c r="Q302" i="215"/>
  <c r="Q299" i="215"/>
  <c r="Q298" i="215"/>
  <c r="Q294" i="215"/>
  <c r="P325" i="215"/>
  <c r="M8" i="63" s="1"/>
  <c r="O325" i="215"/>
  <c r="L8" i="63" s="1"/>
  <c r="N325" i="215"/>
  <c r="K8" i="63" s="1"/>
  <c r="M325" i="215"/>
  <c r="J8" i="63" s="1"/>
  <c r="L325" i="215"/>
  <c r="I8" i="63" s="1"/>
  <c r="K325" i="215"/>
  <c r="H8" i="63" s="1"/>
  <c r="J325" i="215"/>
  <c r="G8" i="63" s="1"/>
  <c r="I325" i="215"/>
  <c r="F8" i="63" s="1"/>
  <c r="H325" i="215"/>
  <c r="E8" i="63" s="1"/>
  <c r="G290" i="215"/>
  <c r="G325" i="215" s="1"/>
  <c r="D8" i="63" s="1"/>
  <c r="Q289" i="215"/>
  <c r="Q285" i="215"/>
  <c r="Q283" i="215"/>
  <c r="Q281" i="215"/>
  <c r="Q278" i="215"/>
  <c r="Q276" i="215"/>
  <c r="Q275" i="215"/>
  <c r="Q274" i="215"/>
  <c r="Q273" i="215"/>
  <c r="Q272" i="215"/>
  <c r="Q271" i="215"/>
  <c r="Q269" i="215"/>
  <c r="Q267" i="215"/>
  <c r="Q266" i="215"/>
  <c r="Q264" i="215"/>
  <c r="Q262" i="215"/>
  <c r="Q261" i="215"/>
  <c r="Q260" i="215"/>
  <c r="Q259" i="215"/>
  <c r="Q258" i="215"/>
  <c r="Q257" i="215"/>
  <c r="Q256" i="215"/>
  <c r="Q255" i="215"/>
  <c r="Q254" i="215"/>
  <c r="Q251" i="215"/>
  <c r="Q249" i="215"/>
  <c r="Q248" i="215"/>
  <c r="Q247" i="215"/>
  <c r="Q246" i="215"/>
  <c r="Q245" i="215"/>
  <c r="Q244" i="215"/>
  <c r="Q243" i="215"/>
  <c r="Q242" i="215"/>
  <c r="Q241" i="215"/>
  <c r="Q240" i="215"/>
  <c r="Q239" i="215"/>
  <c r="Q238" i="215"/>
  <c r="Q236" i="215"/>
  <c r="Q235" i="215"/>
  <c r="Q234" i="215"/>
  <c r="XDO233" i="215"/>
  <c r="Q232" i="215"/>
  <c r="Q231" i="215"/>
  <c r="XDO230" i="215"/>
  <c r="Q229" i="215"/>
  <c r="Q228" i="215"/>
  <c r="Q227" i="215"/>
  <c r="Q226" i="215"/>
  <c r="Q225" i="215"/>
  <c r="Q224" i="215"/>
  <c r="Q223" i="215"/>
  <c r="Q222" i="215"/>
  <c r="Q221" i="215"/>
  <c r="Q220" i="215"/>
  <c r="Q219" i="215"/>
  <c r="Q217" i="215"/>
  <c r="Q216" i="215"/>
  <c r="Q215" i="215"/>
  <c r="Q214" i="215"/>
  <c r="Q213" i="215"/>
  <c r="Q212" i="215"/>
  <c r="Q211" i="215"/>
  <c r="Q210" i="215"/>
  <c r="Q209" i="215"/>
  <c r="Q208" i="215"/>
  <c r="Q207" i="215"/>
  <c r="Q206" i="215"/>
  <c r="Q205" i="215"/>
  <c r="Q204" i="215"/>
  <c r="Q203" i="215"/>
  <c r="Q202" i="215"/>
  <c r="Q201" i="215"/>
  <c r="Q200" i="215"/>
  <c r="Q196" i="215"/>
  <c r="Q195" i="215"/>
  <c r="P192" i="215"/>
  <c r="P197" i="215" s="1"/>
  <c r="M7" i="63" s="1"/>
  <c r="O192" i="215"/>
  <c r="O197" i="215" s="1"/>
  <c r="L7" i="63" s="1"/>
  <c r="N192" i="215"/>
  <c r="N197" i="215" s="1"/>
  <c r="K7" i="63" s="1"/>
  <c r="M192" i="215"/>
  <c r="M197" i="215" s="1"/>
  <c r="J7" i="63" s="1"/>
  <c r="L192" i="215"/>
  <c r="L197" i="215" s="1"/>
  <c r="I7" i="63" s="1"/>
  <c r="K192" i="215"/>
  <c r="K197" i="215" s="1"/>
  <c r="H7" i="63" s="1"/>
  <c r="J192" i="215"/>
  <c r="J197" i="215" s="1"/>
  <c r="G7" i="63" s="1"/>
  <c r="I192" i="215"/>
  <c r="I197" i="215" s="1"/>
  <c r="F7" i="63" s="1"/>
  <c r="H192" i="215"/>
  <c r="H197" i="215" s="1"/>
  <c r="E7" i="63" s="1"/>
  <c r="G192" i="215"/>
  <c r="G197" i="215" s="1"/>
  <c r="D7" i="63" s="1"/>
  <c r="Q190" i="215"/>
  <c r="Q189" i="215"/>
  <c r="Q188" i="215"/>
  <c r="P178" i="215"/>
  <c r="O178" i="215"/>
  <c r="N178" i="215"/>
  <c r="M178" i="215"/>
  <c r="L178" i="215"/>
  <c r="K178" i="215"/>
  <c r="J178" i="215"/>
  <c r="I178" i="215"/>
  <c r="H178" i="215"/>
  <c r="G178" i="215"/>
  <c r="Q177" i="215"/>
  <c r="Q176" i="215"/>
  <c r="Q175" i="215"/>
  <c r="Q174" i="215"/>
  <c r="Q172" i="215"/>
  <c r="Q171" i="215"/>
  <c r="Q170" i="215"/>
  <c r="Q169" i="215"/>
  <c r="Q168" i="215"/>
  <c r="Q167" i="215"/>
  <c r="Q166" i="215"/>
  <c r="Q165" i="215"/>
  <c r="Q164" i="215"/>
  <c r="Q163" i="215"/>
  <c r="Q162" i="215"/>
  <c r="Q161" i="215"/>
  <c r="Q160" i="215"/>
  <c r="Q159" i="215"/>
  <c r="Q158" i="215"/>
  <c r="Q157" i="215"/>
  <c r="Q156" i="215"/>
  <c r="Q155" i="215"/>
  <c r="Q154" i="215"/>
  <c r="Q153" i="215"/>
  <c r="Q152" i="215"/>
  <c r="Q151" i="215"/>
  <c r="Q150" i="215"/>
  <c r="Q149" i="215"/>
  <c r="Q148" i="215"/>
  <c r="Q147" i="215"/>
  <c r="Q146" i="215"/>
  <c r="Q145" i="215"/>
  <c r="Q143" i="215"/>
  <c r="Q142" i="215"/>
  <c r="Q141" i="215"/>
  <c r="Q140" i="215"/>
  <c r="Q139" i="215"/>
  <c r="Q137" i="215"/>
  <c r="Q136" i="215"/>
  <c r="Q135" i="215"/>
  <c r="Q134" i="215"/>
  <c r="Q132" i="215"/>
  <c r="Q131" i="215"/>
  <c r="Q130" i="215"/>
  <c r="Q127" i="215"/>
  <c r="Q125" i="215"/>
  <c r="Q123" i="215"/>
  <c r="Q122" i="215"/>
  <c r="Q121" i="215"/>
  <c r="Q119" i="215"/>
  <c r="Q117" i="215"/>
  <c r="Q115" i="215"/>
  <c r="Q113" i="215"/>
  <c r="Q112" i="215"/>
  <c r="Q109" i="215"/>
  <c r="Q107" i="215"/>
  <c r="Q105" i="215"/>
  <c r="Q104" i="215"/>
  <c r="Q103" i="215"/>
  <c r="Q102" i="215"/>
  <c r="Q101" i="215"/>
  <c r="Q100" i="215"/>
  <c r="Q99" i="215"/>
  <c r="Q97" i="215"/>
  <c r="Q95" i="215"/>
  <c r="Q94" i="215"/>
  <c r="Q93" i="215"/>
  <c r="Q92" i="215"/>
  <c r="Q91" i="215"/>
  <c r="Q90" i="215"/>
  <c r="Q89" i="215"/>
  <c r="Q88" i="215"/>
  <c r="Q87" i="215"/>
  <c r="Q86" i="215"/>
  <c r="Q85" i="215"/>
  <c r="Q84" i="215"/>
  <c r="Q83" i="215"/>
  <c r="Q82" i="215"/>
  <c r="Q81" i="215"/>
  <c r="Q80" i="215"/>
  <c r="Q79" i="215"/>
  <c r="Q78" i="215"/>
  <c r="Q77" i="215"/>
  <c r="Q76" i="215"/>
  <c r="Q75" i="215"/>
  <c r="Q74" i="215"/>
  <c r="Q73" i="215"/>
  <c r="Q72" i="215"/>
  <c r="Q71" i="215"/>
  <c r="Q70" i="215"/>
  <c r="Q69" i="215"/>
  <c r="Q67" i="215"/>
  <c r="Q65" i="215"/>
  <c r="Q63" i="215"/>
  <c r="Q62" i="215"/>
  <c r="Q61" i="215"/>
  <c r="Q60" i="215"/>
  <c r="Q59" i="215"/>
  <c r="Q58" i="215"/>
  <c r="Q55" i="215"/>
  <c r="Q54" i="215"/>
  <c r="Q53" i="215"/>
  <c r="Q52" i="215"/>
  <c r="Q51" i="215"/>
  <c r="Q50" i="215"/>
  <c r="Q49" i="215"/>
  <c r="Q44" i="215"/>
  <c r="Q43" i="215"/>
  <c r="P45" i="215"/>
  <c r="M5" i="63" s="1"/>
  <c r="O45" i="215"/>
  <c r="L5" i="63" s="1"/>
  <c r="N45" i="215"/>
  <c r="K5" i="63" s="1"/>
  <c r="M45" i="215"/>
  <c r="J5" i="63" s="1"/>
  <c r="L45" i="215"/>
  <c r="I5" i="63" s="1"/>
  <c r="K45" i="215"/>
  <c r="H5" i="63" s="1"/>
  <c r="J45" i="215"/>
  <c r="G5" i="63" s="1"/>
  <c r="I45" i="215"/>
  <c r="F5" i="63" s="1"/>
  <c r="H45" i="215"/>
  <c r="E5" i="63" s="1"/>
  <c r="G40" i="215"/>
  <c r="G45" i="215" s="1"/>
  <c r="D5" i="63" s="1"/>
  <c r="Q39" i="215"/>
  <c r="Q37" i="215"/>
  <c r="Q35" i="215"/>
  <c r="Q34" i="215"/>
  <c r="Q33" i="215"/>
  <c r="Q32" i="215"/>
  <c r="Q30" i="215"/>
  <c r="Q28" i="215"/>
  <c r="Q26" i="215"/>
  <c r="Q25" i="215"/>
  <c r="Q24" i="215"/>
  <c r="Q22" i="215"/>
  <c r="Q20" i="215"/>
  <c r="Q18" i="215"/>
  <c r="Q17" i="215"/>
  <c r="Q16" i="215"/>
  <c r="Q15" i="215"/>
  <c r="Q14" i="215"/>
  <c r="Q12" i="215"/>
  <c r="Q11" i="215"/>
  <c r="Q10" i="215"/>
  <c r="Q9" i="215"/>
  <c r="Q7" i="215"/>
  <c r="M185" i="215" l="1"/>
  <c r="J6" i="63" s="1"/>
  <c r="J15" i="63" s="1"/>
  <c r="N185" i="215"/>
  <c r="N579" i="215" s="1"/>
  <c r="G185" i="215"/>
  <c r="D6" i="63" s="1"/>
  <c r="K185" i="215"/>
  <c r="K579" i="215" s="1"/>
  <c r="Z5" i="135" s="1"/>
  <c r="AA5" i="135" s="1"/>
  <c r="O185" i="215"/>
  <c r="L6" i="63" s="1"/>
  <c r="L15" i="63" s="1"/>
  <c r="L17" i="63" s="1"/>
  <c r="I185" i="215"/>
  <c r="I579" i="215" s="1"/>
  <c r="J185" i="215"/>
  <c r="G6" i="63" s="1"/>
  <c r="G15" i="63" s="1"/>
  <c r="H185" i="215"/>
  <c r="H579" i="215" s="1"/>
  <c r="L185" i="215"/>
  <c r="I6" i="63" s="1"/>
  <c r="I15" i="63" s="1"/>
  <c r="P185" i="215"/>
  <c r="M6" i="63" s="1"/>
  <c r="M15" i="63" s="1"/>
  <c r="Q578" i="215"/>
  <c r="Q290" i="215"/>
  <c r="Q325" i="215" s="1"/>
  <c r="Q465" i="215"/>
  <c r="Q469" i="215" s="1"/>
  <c r="Q40" i="215"/>
  <c r="XDO234" i="215"/>
  <c r="XDO247" i="215"/>
  <c r="XDO236" i="215"/>
  <c r="XDO243" i="215"/>
  <c r="XDO222" i="215"/>
  <c r="XDO225" i="215"/>
  <c r="XDO231" i="215"/>
  <c r="XDO228" i="215"/>
  <c r="XDO229" i="215"/>
  <c r="XDO248" i="215"/>
  <c r="XDO226" i="215"/>
  <c r="XDO232" i="215"/>
  <c r="XDO245" i="215"/>
  <c r="XDO223" i="215"/>
  <c r="XDO235" i="215"/>
  <c r="XDO242" i="215"/>
  <c r="XDO227" i="215"/>
  <c r="XDO240" i="215"/>
  <c r="XDO246" i="215"/>
  <c r="Q521" i="215"/>
  <c r="Q524" i="215" s="1"/>
  <c r="Q178" i="215"/>
  <c r="Q185" i="215" s="1"/>
  <c r="Q192" i="215"/>
  <c r="Q197" i="215" s="1"/>
  <c r="Q336" i="215"/>
  <c r="Q490" i="215"/>
  <c r="Q495" i="215" s="1"/>
  <c r="Q557" i="215"/>
  <c r="O579" i="215" l="1"/>
  <c r="O581" i="215" s="1"/>
  <c r="M579" i="215"/>
  <c r="J579" i="215"/>
  <c r="G579" i="215"/>
  <c r="L579" i="215"/>
  <c r="P579" i="215"/>
  <c r="F6" i="63"/>
  <c r="F15" i="63" s="1"/>
  <c r="K6" i="63"/>
  <c r="K15" i="63" s="1"/>
  <c r="E6" i="63"/>
  <c r="E15" i="63" s="1"/>
  <c r="H6" i="63"/>
  <c r="H15" i="63" s="1"/>
  <c r="XDO237" i="215"/>
  <c r="XDO238" i="215" s="1"/>
  <c r="XDO244" i="215"/>
  <c r="XDO224" i="215"/>
  <c r="XDO239" i="215"/>
  <c r="XDO241" i="215" s="1"/>
  <c r="Q559" i="215"/>
  <c r="Q564" i="215" s="1"/>
  <c r="Q45" i="215"/>
  <c r="Q451" i="215"/>
  <c r="Z4" i="135" l="1"/>
  <c r="Q579" i="215"/>
  <c r="AA4" i="135" l="1"/>
  <c r="M167" i="219" l="1"/>
  <c r="N169" i="219" s="1"/>
  <c r="E167" i="219"/>
  <c r="J167" i="219"/>
  <c r="H167" i="219"/>
  <c r="I167" i="219"/>
  <c r="G167" i="219"/>
  <c r="F167" i="219"/>
  <c r="K167" i="219"/>
  <c r="L9" i="135" l="1"/>
  <c r="K169" i="219"/>
  <c r="M22" i="223"/>
  <c r="N22" i="223" s="1"/>
  <c r="L4" i="135"/>
  <c r="M4" i="135" s="1"/>
  <c r="M28" i="223"/>
  <c r="N28" i="223" s="1"/>
  <c r="L15" i="135"/>
  <c r="M15" i="135" s="1"/>
  <c r="M14" i="223"/>
  <c r="N14" i="223" s="1"/>
  <c r="L14" i="135"/>
  <c r="M29" i="223"/>
  <c r="N29" i="223" s="1"/>
  <c r="L6" i="135"/>
  <c r="M6" i="135" s="1"/>
  <c r="M33" i="223"/>
  <c r="N33" i="223" s="1"/>
  <c r="L17" i="135"/>
  <c r="M17" i="135" s="1"/>
  <c r="M9" i="223"/>
  <c r="N9" i="223" s="1"/>
  <c r="L3" i="135"/>
  <c r="M23" i="223"/>
  <c r="N23" i="223" s="1"/>
  <c r="L5" i="135"/>
  <c r="O166" i="219"/>
  <c r="O167" i="219" s="1"/>
  <c r="L19" i="135" l="1"/>
  <c r="L7" i="135"/>
  <c r="L12" i="135" s="1"/>
  <c r="M9" i="135"/>
  <c r="M5" i="135"/>
  <c r="M42" i="223"/>
  <c r="N42" i="223" s="1"/>
  <c r="L22" i="135"/>
  <c r="M3" i="135"/>
  <c r="M14" i="135"/>
  <c r="M19" i="135" s="1"/>
  <c r="L25" i="135" l="1"/>
  <c r="L26" i="135" s="1"/>
  <c r="L28" i="135" s="1"/>
  <c r="M7" i="135"/>
  <c r="M12" i="135" s="1"/>
  <c r="M22" i="135"/>
  <c r="M25" i="135" s="1"/>
  <c r="N18" i="63"/>
  <c r="P581" i="215"/>
  <c r="K581" i="215"/>
  <c r="J581" i="215"/>
  <c r="I581" i="215"/>
  <c r="H581" i="215"/>
  <c r="N7" i="63"/>
  <c r="N11" i="62"/>
  <c r="N9" i="63"/>
  <c r="N10" i="63"/>
  <c r="N14" i="63"/>
  <c r="E13" i="62"/>
  <c r="I13" i="62"/>
  <c r="N6" i="62"/>
  <c r="L13" i="62"/>
  <c r="K13" i="62"/>
  <c r="K15" i="62" s="1"/>
  <c r="M13" i="62"/>
  <c r="M15" i="62" s="1"/>
  <c r="H13" i="62"/>
  <c r="N9" i="62"/>
  <c r="N12" i="62"/>
  <c r="N11" i="63"/>
  <c r="N13" i="63"/>
  <c r="N10" i="62"/>
  <c r="N12" i="63"/>
  <c r="N8" i="62"/>
  <c r="D15" i="63"/>
  <c r="J13" i="62"/>
  <c r="N4" i="62"/>
  <c r="N7" i="62"/>
  <c r="F13" i="62"/>
  <c r="D13" i="62"/>
  <c r="G13" i="62"/>
  <c r="M26" i="135" l="1"/>
  <c r="M28" i="135" s="1"/>
  <c r="P583" i="215"/>
  <c r="M581" i="215"/>
  <c r="Z19" i="135"/>
  <c r="AA19" i="135" s="1"/>
  <c r="L581" i="215"/>
  <c r="Z17" i="135"/>
  <c r="AA17" i="135" s="1"/>
  <c r="N581" i="215"/>
  <c r="Z15" i="135"/>
  <c r="AA15" i="135" s="1"/>
  <c r="Z3" i="135"/>
  <c r="Z8" i="135" s="1"/>
  <c r="Z12" i="135" s="1"/>
  <c r="M17" i="63"/>
  <c r="Q580" i="215"/>
  <c r="G581" i="215"/>
  <c r="F15" i="62"/>
  <c r="J15" i="62"/>
  <c r="I15" i="62"/>
  <c r="H15" i="62"/>
  <c r="L15" i="62"/>
  <c r="E17" i="63"/>
  <c r="N16" i="63"/>
  <c r="J17" i="63"/>
  <c r="F17" i="63"/>
  <c r="D17" i="63"/>
  <c r="I17" i="63"/>
  <c r="H17" i="63"/>
  <c r="K17" i="63"/>
  <c r="E15" i="62"/>
  <c r="G17" i="63"/>
  <c r="N14" i="62"/>
  <c r="G15" i="62"/>
  <c r="N6" i="63"/>
  <c r="D15" i="62"/>
  <c r="N13" i="62"/>
  <c r="N5" i="63"/>
  <c r="N5" i="62"/>
  <c r="N8" i="63"/>
  <c r="F3" i="107" l="1"/>
  <c r="F4" i="107"/>
  <c r="D14" i="107"/>
  <c r="F14" i="107" s="1"/>
  <c r="F7" i="107"/>
  <c r="F5" i="107"/>
  <c r="Z14" i="135"/>
  <c r="Z18" i="135"/>
  <c r="AA18" i="135" s="1"/>
  <c r="N583" i="215"/>
  <c r="K170" i="219" s="1"/>
  <c r="K171" i="219" s="1"/>
  <c r="Z16" i="135"/>
  <c r="AA16" i="135" s="1"/>
  <c r="AA3" i="135"/>
  <c r="AA8" i="135" s="1"/>
  <c r="AA12" i="135" s="1"/>
  <c r="F10" i="107"/>
  <c r="O32" i="135"/>
  <c r="K17" i="62"/>
  <c r="F6" i="107"/>
  <c r="F9" i="107"/>
  <c r="K19" i="63"/>
  <c r="F11" i="107"/>
  <c r="Q581" i="215"/>
  <c r="N15" i="62"/>
  <c r="N15" i="63"/>
  <c r="N17" i="63" s="1"/>
  <c r="Z22" i="135" l="1"/>
  <c r="Z25" i="135" s="1"/>
  <c r="Z26" i="135" s="1"/>
  <c r="Z28" i="135" s="1"/>
  <c r="AA14" i="135"/>
  <c r="AA22" i="135" s="1"/>
  <c r="AA25" i="135" s="1"/>
  <c r="AA26" i="135" s="1"/>
  <c r="AA28" i="135" s="1"/>
  <c r="F8" i="107"/>
  <c r="N19" i="63"/>
  <c r="D8" i="107"/>
  <c r="F12" i="107"/>
  <c r="O168" i="219"/>
  <c r="O169" i="219" s="1"/>
  <c r="D12" i="107"/>
  <c r="F13" i="107" l="1"/>
  <c r="F15" i="107" s="1"/>
  <c r="D13" i="107"/>
  <c r="D15" i="107" s="1"/>
  <c r="O36" i="135"/>
  <c r="O38" i="135" s="1"/>
</calcChain>
</file>

<file path=xl/sharedStrings.xml><?xml version="1.0" encoding="utf-8"?>
<sst xmlns="http://schemas.openxmlformats.org/spreadsheetml/2006/main" count="2345" uniqueCount="1101">
  <si>
    <t>B14</t>
  </si>
  <si>
    <t>Működési célú visszatérítendő támogatások, kölcsönök visszatérülése államháztartáson belülről</t>
  </si>
  <si>
    <t>MINDÖSSZESEN:</t>
  </si>
  <si>
    <t>Szakosztályok</t>
  </si>
  <si>
    <t>5.) Általános tartalék</t>
  </si>
  <si>
    <t>Tartalékok</t>
  </si>
  <si>
    <t>Értékesítési és forgalmi adók (iparűzési adó)</t>
  </si>
  <si>
    <t>Polgármesteri Kabinet</t>
  </si>
  <si>
    <t>Polgármesteri Kabinet kiadásai</t>
  </si>
  <si>
    <t xml:space="preserve">         ebből: költségvetési szervek</t>
  </si>
  <si>
    <t>Önkormányzat összesen költségvetési szervek nélkül</t>
  </si>
  <si>
    <t>Összesen:</t>
  </si>
  <si>
    <t>Működési célú támogatások áht-n belülről</t>
  </si>
  <si>
    <t>Felhalmozási célú támogatások áht-n belülről</t>
  </si>
  <si>
    <t>Közhatalmi bevételek</t>
  </si>
  <si>
    <t>Ellátottak pénzbeli juttatásai</t>
  </si>
  <si>
    <t>Sorszám</t>
  </si>
  <si>
    <t>Jogi és közig.feladatok</t>
  </si>
  <si>
    <t>Felújítások</t>
  </si>
  <si>
    <t>Beruházások</t>
  </si>
  <si>
    <t>10.</t>
  </si>
  <si>
    <t>Egyéb működési célú kiadások</t>
  </si>
  <si>
    <t>B</t>
  </si>
  <si>
    <t>B1</t>
  </si>
  <si>
    <t>Működési célú támogatások államháztartáson belülről</t>
  </si>
  <si>
    <t>B11</t>
  </si>
  <si>
    <t>Működési célú támogatások államháztartáson belülről összesen</t>
  </si>
  <si>
    <t>B2</t>
  </si>
  <si>
    <t>Felhalmozási célú támogatások államháztartáson belülről</t>
  </si>
  <si>
    <t>B21</t>
  </si>
  <si>
    <t>Felhalmozási célú önkormányzati támogatás</t>
  </si>
  <si>
    <t>B25</t>
  </si>
  <si>
    <t>Egyéb felhalmozási célú támogatások bevételei államháztartáson belülről</t>
  </si>
  <si>
    <t>Felhalmozási célú támogatások államháztartáson belülről összesen</t>
  </si>
  <si>
    <t>B3</t>
  </si>
  <si>
    <t>B35</t>
  </si>
  <si>
    <t>B351</t>
  </si>
  <si>
    <t xml:space="preserve">Termékek és szolgáltatások adói </t>
  </si>
  <si>
    <t>B355</t>
  </si>
  <si>
    <t>B36</t>
  </si>
  <si>
    <t>Közhatalmi bevételek összesen</t>
  </si>
  <si>
    <t>B4</t>
  </si>
  <si>
    <t>B5</t>
  </si>
  <si>
    <t>B52</t>
  </si>
  <si>
    <t>Ingatlanok értékesítése</t>
  </si>
  <si>
    <t>Felhalmozási bevételek összesen</t>
  </si>
  <si>
    <t>B6</t>
  </si>
  <si>
    <t>B7</t>
  </si>
  <si>
    <t>Felhalmozási célú visszatérítendő támogatások, kölcsönök visszatérülése államháztartáson kívülről</t>
  </si>
  <si>
    <t>Egyéb felhalmozási célú átvett pénzeszközök</t>
  </si>
  <si>
    <t>Felhalmozási célú átvett pénzeszközök összesen</t>
  </si>
  <si>
    <t>B1-B7</t>
  </si>
  <si>
    <t>B8</t>
  </si>
  <si>
    <t>B81</t>
  </si>
  <si>
    <t>Belföldi finanszírozás bevételei</t>
  </si>
  <si>
    <t>B813</t>
  </si>
  <si>
    <t>Finanszírozási bevételek összesen</t>
  </si>
  <si>
    <t>BEVÉTELEK ÖSSZESEN:</t>
  </si>
  <si>
    <t xml:space="preserve"> Finanszírozási bevételek</t>
  </si>
  <si>
    <t>1.) Működési célú támogatások államháztartáson belülről</t>
  </si>
  <si>
    <t xml:space="preserve">1.) Felhalmozási célú támogatások államháztartáson belülről </t>
  </si>
  <si>
    <t>2.) Közhatalmi bevételek</t>
  </si>
  <si>
    <t>3.) Működési bevételek</t>
  </si>
  <si>
    <t>4.) Működési célú átvett pénzeszközök</t>
  </si>
  <si>
    <t>5.) Előző év költségvetési maradványának igénybevétele</t>
  </si>
  <si>
    <t>1.) Egyéb  felhalmozási célú kiadások</t>
  </si>
  <si>
    <t xml:space="preserve"> Finanszírozási kiadások</t>
  </si>
  <si>
    <t>5.)Fejlesztési hitel kamata</t>
  </si>
  <si>
    <t>Egyéb felhalmozási célú kiadások</t>
  </si>
  <si>
    <t>K1-K8</t>
  </si>
  <si>
    <t>Költségvetési kiadások összesen:</t>
  </si>
  <si>
    <t>K9</t>
  </si>
  <si>
    <t>6.</t>
  </si>
  <si>
    <t>5.</t>
  </si>
  <si>
    <t>7.</t>
  </si>
  <si>
    <t>8.</t>
  </si>
  <si>
    <t>9.</t>
  </si>
  <si>
    <t>16.</t>
  </si>
  <si>
    <t>Pénzügyi lebonyolítás</t>
  </si>
  <si>
    <t xml:space="preserve"> </t>
  </si>
  <si>
    <t>Cím szám</t>
  </si>
  <si>
    <t>Alcím szám</t>
  </si>
  <si>
    <t>2.</t>
  </si>
  <si>
    <t>1.</t>
  </si>
  <si>
    <t>3.</t>
  </si>
  <si>
    <t>4.</t>
  </si>
  <si>
    <t>B34</t>
  </si>
  <si>
    <t>Vagyoni típusú adók (építményadó, magánszemélyek kommunális adója)</t>
  </si>
  <si>
    <t>B53</t>
  </si>
  <si>
    <t>Egyéb tárgyi eszközök értékesítése</t>
  </si>
  <si>
    <t>Szociális és igazgatási feladatok</t>
  </si>
  <si>
    <t>Humánigazgatási feladatok</t>
  </si>
  <si>
    <t>II. Felhalmozási célú kiadások</t>
  </si>
  <si>
    <t>II. Felhalmozási célú bevételek</t>
  </si>
  <si>
    <t>2.) Beruházás</t>
  </si>
  <si>
    <t>3.) Felújítás</t>
  </si>
  <si>
    <t>4.) Céltartalék</t>
  </si>
  <si>
    <t>FELHALMOZÁSI CÉLÚ BEVÉTELEK  ÖSSZESEN:</t>
  </si>
  <si>
    <t>FELHALMOZÁSI CÉLÚ KIADÁSOK ÖSSZESEN:</t>
  </si>
  <si>
    <t>BEVÉTELEK</t>
  </si>
  <si>
    <t>Személyi juttatások</t>
  </si>
  <si>
    <t xml:space="preserve">     Költségvetési műk. bevételei összesen:</t>
  </si>
  <si>
    <t>Egyéb áruhasználati és szolgáltatási adók ( idegenforgalmi adó)</t>
  </si>
  <si>
    <t xml:space="preserve">     Költségvetési felhalm. bevételei összesen:</t>
  </si>
  <si>
    <t xml:space="preserve">      Költségvetési felh.célú kiadásai összesen:</t>
  </si>
  <si>
    <t xml:space="preserve">   Költségvetési műk. kiadásai összesen:</t>
  </si>
  <si>
    <t>Városépítészeti feladatok</t>
  </si>
  <si>
    <t>Önkormányzat kiadásai összesen</t>
  </si>
  <si>
    <t>B16</t>
  </si>
  <si>
    <t>Egyéb működési célú támogatások bevételei államháztartáson belülről</t>
  </si>
  <si>
    <t xml:space="preserve">MŰKÖDÉSI CÉLÚ BEVÉTELEK ÖSSZ:                      </t>
  </si>
  <si>
    <t>Megnevezés</t>
  </si>
  <si>
    <t>Összesen</t>
  </si>
  <si>
    <t>Városüzemelési feladatok</t>
  </si>
  <si>
    <t>Vagyonkezelési feladatok</t>
  </si>
  <si>
    <t>Finanszírozási kiadások</t>
  </si>
  <si>
    <t>Költségvetési kiadások</t>
  </si>
  <si>
    <t>Költségvetési bevételek</t>
  </si>
  <si>
    <t>Hitel-, kölcsönfelvétel áht-n kívülről</t>
  </si>
  <si>
    <t>Maradvány igénybevétele</t>
  </si>
  <si>
    <t>Hitel-, kölcsöntör-lesztés áht-n kívülre</t>
  </si>
  <si>
    <t>Egyéb finanszírozási bevétel</t>
  </si>
  <si>
    <t>Egyéb finanszírozási kiadás</t>
  </si>
  <si>
    <t>Rovat száma</t>
  </si>
  <si>
    <t>K1</t>
  </si>
  <si>
    <t>K2</t>
  </si>
  <si>
    <t>K3</t>
  </si>
  <si>
    <t>K4</t>
  </si>
  <si>
    <t>K5</t>
  </si>
  <si>
    <t>K6</t>
  </si>
  <si>
    <t>K7</t>
  </si>
  <si>
    <t>K8</t>
  </si>
  <si>
    <t>TOP-6.1.1-16 Zalaegerszegi Logisztikai Központ létrehozása</t>
  </si>
  <si>
    <t>2.) Önkormányzat szakosztályainak  kiadásai</t>
  </si>
  <si>
    <t>Önkormányzat összesen:</t>
  </si>
  <si>
    <t>I. Működési célú bevételek</t>
  </si>
  <si>
    <t>I. Működési célú kiadások</t>
  </si>
  <si>
    <t>4.) Céltartalékból működésre</t>
  </si>
  <si>
    <t>MŰKÖDÉSI CÉLÚ KIADÁSOK ÖSSZ.:</t>
  </si>
  <si>
    <t>Jogi és közig. feladatok</t>
  </si>
  <si>
    <t>Kiadások összesen</t>
  </si>
  <si>
    <t>Önkormányzat</t>
  </si>
  <si>
    <t>Költségvetési szervek</t>
  </si>
  <si>
    <t>Főépítészi feladatok</t>
  </si>
  <si>
    <t>Munkaadókat terhelő járulékok és szociális hj. adó</t>
  </si>
  <si>
    <t xml:space="preserve">Dologi kiadások </t>
  </si>
  <si>
    <t>Dologi kiadások</t>
  </si>
  <si>
    <t>Működési bevételek</t>
  </si>
  <si>
    <t>Felhalmozási bevételek</t>
  </si>
  <si>
    <t>Működési célú átvett pénzeszközök</t>
  </si>
  <si>
    <t>Felhalmozási célú átvett pénzeszközök</t>
  </si>
  <si>
    <t>Finanszírozási bevételek</t>
  </si>
  <si>
    <t>Munkaadókat terhelő járulékok és szociális hj.adó</t>
  </si>
  <si>
    <t>Működési költségvetés összesen:</t>
  </si>
  <si>
    <t>Felhalmozási költségvetés összesen:</t>
  </si>
  <si>
    <t>ÖNKORMÁNYZAT ÖSSZESEN:</t>
  </si>
  <si>
    <t>1.) Költségvetési szervek kiadásai</t>
  </si>
  <si>
    <t xml:space="preserve"> Forgatási célú belföldi értékpapírok beváltása, értékesítése</t>
  </si>
  <si>
    <t>B8121</t>
  </si>
  <si>
    <t>Hozzájárulás jogcíme</t>
  </si>
  <si>
    <t>Normatíva     Ft/fő</t>
  </si>
  <si>
    <t>2. melléklet szerinti jogcímek</t>
  </si>
  <si>
    <t>mutató</t>
  </si>
  <si>
    <t>Állami hozzájárulás összesen:</t>
  </si>
  <si>
    <t>Tervezési alapegység</t>
  </si>
  <si>
    <t>011130 Önkorm. és önkorm. hivatal. jogalk. és ált.ig.tev.</t>
  </si>
  <si>
    <t xml:space="preserve"> - Egerszeg kártya értékesítés</t>
  </si>
  <si>
    <t>221 902</t>
  </si>
  <si>
    <t>Szociális és igazgatási feladatok összesen:</t>
  </si>
  <si>
    <t>101211 Fogyatékossággal élők tartós bentlakásos ellátása</t>
  </si>
  <si>
    <t xml:space="preserve"> - Református Egyház által fizetendő bérleti díj</t>
  </si>
  <si>
    <t>Humánigazgatási feladatok összesen:</t>
  </si>
  <si>
    <t>013350 Önk-i vagyonnal való gazdálkodáshoz kapcs.fa.</t>
  </si>
  <si>
    <t xml:space="preserve"> - belterületbe vonással kapcsolatos bevétel</t>
  </si>
  <si>
    <t>Főépítészi feladatok összesen:</t>
  </si>
  <si>
    <t>081061 Szabadidős park, fürdő és strandszolgáltatás</t>
  </si>
  <si>
    <t xml:space="preserve"> - Aquapark üzemeltetés</t>
  </si>
  <si>
    <t>151 907</t>
  </si>
  <si>
    <t>066010 Zöldterület kezelés</t>
  </si>
  <si>
    <t xml:space="preserve"> - haszonbérleti szerződések, kishaszonbérlet</t>
  </si>
  <si>
    <t>066020 Város-, községgazdálkodási egyéb szolgáltatás</t>
  </si>
  <si>
    <t>045170 Parkoló, garázs üzemeltetése, fenntartása</t>
  </si>
  <si>
    <t xml:space="preserve"> - parkolási közszolgáltatási tevékenység ellátásával kapcsolatos bevétel</t>
  </si>
  <si>
    <t>151 910</t>
  </si>
  <si>
    <t>Városüzemelési feladatok összesen:</t>
  </si>
  <si>
    <t>052020  Szennyvíz gyűjtése, tisztítása, elhelyezése</t>
  </si>
  <si>
    <t>013350 Önk-i vagyonnal való gazdálkodáshoz kapcs. fa.</t>
  </si>
  <si>
    <t xml:space="preserve"> - Mindszenty Múzeum és Zarándokközpont fejlesztése, zalaegerszegi "Mindszenty Út" megvalósítása MVP</t>
  </si>
  <si>
    <t xml:space="preserve"> - Alsóerdei Sport- és Rekreációs Központ fejlesztése MVP támogatással</t>
  </si>
  <si>
    <t>Városépítészeti feladatok összesen:</t>
  </si>
  <si>
    <t>106010 Lakóingatl. szoc.célú bérbeadása, üzemeltetése</t>
  </si>
  <si>
    <t xml:space="preserve"> - LÉSZ bérlemény üzemeltetés bevétele</t>
  </si>
  <si>
    <t xml:space="preserve"> - egyéb ingatlanhasznosítás (nem lakáscélú helyiségek bérl.díja)</t>
  </si>
  <si>
    <t xml:space="preserve"> - Inkubátorház bérleti díja</t>
  </si>
  <si>
    <t xml:space="preserve"> - volt laktanyával kapcsolatos bevétel</t>
  </si>
  <si>
    <t xml:space="preserve">  - Stadion bérleti díj</t>
  </si>
  <si>
    <t>051040 Nem veszélyes hulladék kezelése, ártalmatlanítása</t>
  </si>
  <si>
    <t>Lakásalappal kapcsolatos bevételek</t>
  </si>
  <si>
    <t>061030 Lakáshoz jutást segítő támogatások</t>
  </si>
  <si>
    <t xml:space="preserve"> - lakásalap  maradványának bevonása</t>
  </si>
  <si>
    <t>Vagyonkezelési feladatok összesen:</t>
  </si>
  <si>
    <t>Jogi igazgatási feladatok</t>
  </si>
  <si>
    <t xml:space="preserve"> - önkormányzat kezelésében lévő ingatlanok hasznosításából származó bevétel</t>
  </si>
  <si>
    <t>17194**</t>
  </si>
  <si>
    <t xml:space="preserve"> - közterületfelügyeleti bírság</t>
  </si>
  <si>
    <t xml:space="preserve"> - közterületen hagyott gépjárművek értékesítése</t>
  </si>
  <si>
    <t xml:space="preserve"> - közterület használati díj </t>
  </si>
  <si>
    <t>Jogi igazgatási feladat összesen:</t>
  </si>
  <si>
    <t>900060 Forgatási és befektetési célú finanszírozási műveletek</t>
  </si>
  <si>
    <t xml:space="preserve"> - folyószámla  és lekötött pénzeszközök kamata</t>
  </si>
  <si>
    <t xml:space="preserve"> -Áfa visszaigénylés</t>
  </si>
  <si>
    <t>018010 Önkormányzatok elszámolásai a központi költségvetéssel</t>
  </si>
  <si>
    <t>900020 Önkormányzatok funkcióra nem sorolható bevételei áht-n kívűlről</t>
  </si>
  <si>
    <t xml:space="preserve"> - iparűzési adó</t>
  </si>
  <si>
    <t xml:space="preserve"> - talajterhelési díj</t>
  </si>
  <si>
    <t xml:space="preserve"> - kommunális adó</t>
  </si>
  <si>
    <t>082042 Könyvtári állomány gyarapítása, nyilvánt.</t>
  </si>
  <si>
    <t xml:space="preserve"> - Deák F. Megyei és Városi Könyvtár részére  megelőlegezett ált.forgalmi adó visszafizetése</t>
  </si>
  <si>
    <t>082061 Múzeumi gyűjteményi tevékenység</t>
  </si>
  <si>
    <t xml:space="preserve"> - Göcseji Múzeum részére megelőlegezett támogatás visszafizetése</t>
  </si>
  <si>
    <t>Pénzügyi lebonyolítás összesen:</t>
  </si>
  <si>
    <t>Polgármesteri Kabinet összesen:</t>
  </si>
  <si>
    <t>feladat jellege</t>
  </si>
  <si>
    <t>Kiadás összesen</t>
  </si>
  <si>
    <t xml:space="preserve">Önkormányzat </t>
  </si>
  <si>
    <t>105010 Munkanélküli aktív korúak ellátásai</t>
  </si>
  <si>
    <t xml:space="preserve"> - megélhetési támogatás</t>
  </si>
  <si>
    <t>106020 Lakásfenntartással, lakhatással összefüggő ellátások</t>
  </si>
  <si>
    <t xml:space="preserve"> - lakásfenntartási segély</t>
  </si>
  <si>
    <t xml:space="preserve"> - önkormányzati bérlakásban élők lakásfenntartási segélye Lakásalapból</t>
  </si>
  <si>
    <t>107060 Egyéb szociális pénzbeli ellátások, támogatások</t>
  </si>
  <si>
    <t xml:space="preserve"> - gyermekétkeztetési támogatás</t>
  </si>
  <si>
    <t xml:space="preserve"> - átmeneti segély</t>
  </si>
  <si>
    <t xml:space="preserve"> - szociális krízis alap</t>
  </si>
  <si>
    <t>103010 Elhunyt személyek hátramaradottainak pénzbeli ellátása</t>
  </si>
  <si>
    <t xml:space="preserve"> - temetési segély</t>
  </si>
  <si>
    <t xml:space="preserve"> - lakhatási krízis alap Lakásalapból</t>
  </si>
  <si>
    <t xml:space="preserve"> - gyógyszertámogatás</t>
  </si>
  <si>
    <t xml:space="preserve"> - köztemetés</t>
  </si>
  <si>
    <t>094260 Hallgatói és oktatói ösztöndíjak, egyéb juttatások</t>
  </si>
  <si>
    <t xml:space="preserve"> - Bursa Hungarica ösztöndíj</t>
  </si>
  <si>
    <t>104042 Család- és gyermekjóléti szolgálat</t>
  </si>
  <si>
    <t xml:space="preserve"> - Családsegítő Szolgálathoz krízissegélyezés</t>
  </si>
  <si>
    <t xml:space="preserve"> - Egerszegkártya</t>
  </si>
  <si>
    <t xml:space="preserve"> - Nemzedékek kézfogása</t>
  </si>
  <si>
    <t>22190**</t>
  </si>
  <si>
    <t>032020 Tűz- és katasztrófavéd. tevékenység</t>
  </si>
  <si>
    <t xml:space="preserve"> - helyi védelmi igazgatás</t>
  </si>
  <si>
    <t>109010 Szociális szolgáltatás igazgatása</t>
  </si>
  <si>
    <t xml:space="preserve"> - "Lakhatásért" Közalapítvány támogatása</t>
  </si>
  <si>
    <t>Beruházási és felújítási kiadások:</t>
  </si>
  <si>
    <t>1./1</t>
  </si>
  <si>
    <t>Önkormányzat által nyújtott lakástámogatás első lakáshoz jutók részére  (Lakásalapból)</t>
  </si>
  <si>
    <t>1.a/1</t>
  </si>
  <si>
    <t>Családok otthonteremtési kedvezménye (Lakásalap)</t>
  </si>
  <si>
    <t>1.a/2</t>
  </si>
  <si>
    <t xml:space="preserve">               </t>
  </si>
  <si>
    <t>Oktatási feladatok</t>
  </si>
  <si>
    <t>098010 Oktatás igazgatása</t>
  </si>
  <si>
    <t xml:space="preserve"> - Zalaegerszegi Szakképzési Centrum részére támogatás szakképzési ösztöndíj céljára</t>
  </si>
  <si>
    <t xml:space="preserve"> - intézmények és civil szervezetek támogatása, rendezvényeik finanszírozása</t>
  </si>
  <si>
    <t xml:space="preserve"> - díszokleveles pedagógusok ünnepsége és jutalmazása</t>
  </si>
  <si>
    <t xml:space="preserve"> - nyári táboroztatás</t>
  </si>
  <si>
    <t>Kulturális és ifjúsági feladatok</t>
  </si>
  <si>
    <t>084070 A fiatalok társ. integrációját segítő struktúra, szakmai szolgált. fejlesztése, működtetése</t>
  </si>
  <si>
    <t xml:space="preserve"> - ifjúsági rendezvények</t>
  </si>
  <si>
    <t xml:space="preserve"> - Zalaegerszegi Városi Diákönkormányzat </t>
  </si>
  <si>
    <t xml:space="preserve"> - Zalaegerszegi Városi Diáknapok</t>
  </si>
  <si>
    <t xml:space="preserve"> - Zalaegerszegi Egyetemisták Egyesülete</t>
  </si>
  <si>
    <t xml:space="preserve"> - Zalaegerszegi Ifjúsági Kerekasztal</t>
  </si>
  <si>
    <t xml:space="preserve"> - felsőoktatási ösztöndíj és támogatás</t>
  </si>
  <si>
    <t>074052 Kábítószer megelőzés programja</t>
  </si>
  <si>
    <t xml:space="preserve"> - Zalaegerszegi Kábítószerügyi Egyeztető Fórum</t>
  </si>
  <si>
    <t>082091 Közművelődés - közösségi és társ. részvétel fejleszt.</t>
  </si>
  <si>
    <t xml:space="preserve"> - Magyar Kultúra Napja</t>
  </si>
  <si>
    <t xml:space="preserve"> - Egerszeg búcsú</t>
  </si>
  <si>
    <t xml:space="preserve"> - Zalaegerszegi Rendezvényszervező Kft. működési támogatása</t>
  </si>
  <si>
    <t xml:space="preserve"> - Keresztury Emlékbizottság</t>
  </si>
  <si>
    <t xml:space="preserve"> - Zalaegerszegi Szimfonikus Zenekar támogatása</t>
  </si>
  <si>
    <t xml:space="preserve"> - '47-es Honvéd Zászlóalj Hagyományőrző Egyesület támogatása</t>
  </si>
  <si>
    <t>084031 Civil szervezetek műk. támogatása</t>
  </si>
  <si>
    <t xml:space="preserve"> - Zalai Civil Életért Közhasznú Egy.támogatása (Civil ház működtetése)</t>
  </si>
  <si>
    <t xml:space="preserve"> - Pannon Tükör kulturális folyóirat támogatása</t>
  </si>
  <si>
    <t xml:space="preserve"> - peremkerületek támogatása</t>
  </si>
  <si>
    <t xml:space="preserve"> - Zalegerszeg Kultúrájáért Közalapítvány támogatása</t>
  </si>
  <si>
    <t xml:space="preserve"> - Zalaegerszegi Honvéd Klub támogatása</t>
  </si>
  <si>
    <t>082030 Művészeti tevékenység</t>
  </si>
  <si>
    <t xml:space="preserve"> - művészeti ösztöndíjak</t>
  </si>
  <si>
    <t>Egészségügyi és humánigazgatási feladatok</t>
  </si>
  <si>
    <t>101211 Fogyatékosággal élők tartós bentlakásos ellátása</t>
  </si>
  <si>
    <t xml:space="preserve"> -Fogyatékos Otthon működtetése</t>
  </si>
  <si>
    <t>084010 Társ.tev., esélyegyenlőséggel, érdekképv., nemzetiségekkel, egyházakkal kapcs. felad.igazg.</t>
  </si>
  <si>
    <t xml:space="preserve"> - szociális és egészségügyi rendezvények szervezése</t>
  </si>
  <si>
    <t>072311 Fogorvosi alapellátás</t>
  </si>
  <si>
    <t xml:space="preserve"> - fogászati ügyelet támogatása</t>
  </si>
  <si>
    <t xml:space="preserve"> - Városi Idősügyi Tanács feladatai</t>
  </si>
  <si>
    <t xml:space="preserve"> -  címpótlék a szociális intézményekben</t>
  </si>
  <si>
    <t xml:space="preserve"> -  egészségügyi és szociális ágazat pályázati kerete</t>
  </si>
  <si>
    <t>081041 Versenysport- és utánpótlás-nevelési tevékenység</t>
  </si>
  <si>
    <t xml:space="preserve"> - ZTE KK. Kft. támogatás </t>
  </si>
  <si>
    <t xml:space="preserve"> - Zeg. Jégsportjáért Alapítvány támogatása</t>
  </si>
  <si>
    <t>081043 Iskolai, diáksport-tevékenység és támogatása</t>
  </si>
  <si>
    <t xml:space="preserve"> - DO rendezvények lebonyolítása</t>
  </si>
  <si>
    <t xml:space="preserve"> - alapfokú versenyek rendezése és  támogatása</t>
  </si>
  <si>
    <t>081045 Szabadidősport-tevékenység és támogatása</t>
  </si>
  <si>
    <t xml:space="preserve"> - szabadidősport klubok támogatása</t>
  </si>
  <si>
    <t xml:space="preserve">  - Andráshidai SC működési és sportlétesítmény üzemeltetés tám.</t>
  </si>
  <si>
    <t xml:space="preserve"> - Botfai LSC sportlétesítmény üzemeltetés tám.</t>
  </si>
  <si>
    <t xml:space="preserve"> - Páterdomb LSC sportlétesítmény üzemeltetési tám.</t>
  </si>
  <si>
    <t xml:space="preserve"> - Csuti SK sportlétesítmény üzemeltetés támogatása</t>
  </si>
  <si>
    <t xml:space="preserve"> - Police Ola LSK sportlétesítmény bérleti díja</t>
  </si>
  <si>
    <t xml:space="preserve"> - Vorhotai LSC sportlétesítmény üzemeltetés támogatása</t>
  </si>
  <si>
    <t xml:space="preserve"> - sport- és humánigazgatási feladatok</t>
  </si>
  <si>
    <t>081041 Versenysport- és utánpótlás - nevelés tevékenység</t>
  </si>
  <si>
    <t xml:space="preserve"> - Zeg. Úszóklub támogatása</t>
  </si>
  <si>
    <t xml:space="preserve"> - Zeg. Triatlon Klub támogatása</t>
  </si>
  <si>
    <t xml:space="preserve"> - Zalaegerszegi Atlétikai Club támogatása</t>
  </si>
  <si>
    <t xml:space="preserve"> - ZTE Teniszklub támogatása</t>
  </si>
  <si>
    <t xml:space="preserve"> - ZTE Röplabda Klub támogatása</t>
  </si>
  <si>
    <t xml:space="preserve"> - Zeg-i Súlyemelő Klub támogatása</t>
  </si>
  <si>
    <t xml:space="preserve"> - Zalaegerszegi Teke Klub támogatása</t>
  </si>
  <si>
    <t xml:space="preserve"> - Zalaegerszegi Vívó Egylet támogatása</t>
  </si>
  <si>
    <t xml:space="preserve"> - Csuti SK támogatása</t>
  </si>
  <si>
    <t xml:space="preserve"> - Zalaegerszegi Judo SE támogatása</t>
  </si>
  <si>
    <t xml:space="preserve"> - ZTC (Tájfutó Club) támogatása</t>
  </si>
  <si>
    <t xml:space="preserve"> - Göcsej Kupa</t>
  </si>
  <si>
    <t xml:space="preserve"> - Horgászegyesületek Z.M. Szövetsége támogatása</t>
  </si>
  <si>
    <t>- Zala Megyei Sportszövetségek Egyesülése működési támogatása</t>
  </si>
  <si>
    <t xml:space="preserve"> - Toriki KHKE támogatása</t>
  </si>
  <si>
    <t xml:space="preserve"> - Zalaegerszegi SHOTOKAN Karate Egyesület támogatás</t>
  </si>
  <si>
    <t xml:space="preserve"> - Egerszegi Kézilabda Klub támogatása</t>
  </si>
  <si>
    <t xml:space="preserve"> - rendezvények támogatása</t>
  </si>
  <si>
    <t>081030 Sportlétes., edzőtáborok működtetése és fejlesztése</t>
  </si>
  <si>
    <t xml:space="preserve"> - Sportcsarnok és környéke igénybevétel miatti kiadás</t>
  </si>
  <si>
    <t xml:space="preserve"> - Sportlétesítmények igénybevételének támogatása</t>
  </si>
  <si>
    <t>Óvodák felújítása</t>
  </si>
  <si>
    <t>2./1</t>
  </si>
  <si>
    <t xml:space="preserve"> - főépítészi feladatok</t>
  </si>
  <si>
    <t xml:space="preserve"> - területrendezési és egyéb eljárások költségei főépítészi feladatokhoz</t>
  </si>
  <si>
    <t xml:space="preserve"> - Tervtanács  működtetése</t>
  </si>
  <si>
    <t xml:space="preserve"> - belterületbe vonással kapcsolatos műk.kiadások</t>
  </si>
  <si>
    <t>Főépítészi feladatok működési kiadásai</t>
  </si>
  <si>
    <t>Beruházási kiadások:</t>
  </si>
  <si>
    <t>Rendezési tervek</t>
  </si>
  <si>
    <t>Városüzemelési  feladatok:</t>
  </si>
  <si>
    <t>066010 Zöldterület-kezelés</t>
  </si>
  <si>
    <t xml:space="preserve"> - parkfenntartás</t>
  </si>
  <si>
    <t xml:space="preserve"> - belterületi fás szárú növények fenntartási munkái</t>
  </si>
  <si>
    <t xml:space="preserve"> - erdészeti szakirányítás</t>
  </si>
  <si>
    <t xml:space="preserve"> - fatelepítésekkel kapcsolatos működési kiadások</t>
  </si>
  <si>
    <t xml:space="preserve"> - önkormányzati tulajdonú erdők ápolása, fenntartása</t>
  </si>
  <si>
    <t xml:space="preserve"> - vegyszeres és termikus gyomirtás</t>
  </si>
  <si>
    <t xml:space="preserve"> - játszóterek fenntartása, karbantartása</t>
  </si>
  <si>
    <t xml:space="preserve"> - játszótéri eszközök felülvizsgálata, tiltó táblák</t>
  </si>
  <si>
    <t xml:space="preserve"> - védett természeti értékek kezelése</t>
  </si>
  <si>
    <t>045120 Út, autópálya építése</t>
  </si>
  <si>
    <t xml:space="preserve"> - helyi utak, hidak fenntartása</t>
  </si>
  <si>
    <t xml:space="preserve"> - forgalomtechnikai  és közlekedési feladatok</t>
  </si>
  <si>
    <t xml:space="preserve"> - Free wifi rendszer üzemeltetése </t>
  </si>
  <si>
    <t xml:space="preserve"> - városban található buszöblök fenntartási munkálatai </t>
  </si>
  <si>
    <t xml:space="preserve"> - utastájékoztatási rendszer üzemeltetése</t>
  </si>
  <si>
    <t xml:space="preserve"> - lépcsők,sétányok, támfalak, korlátok javítása</t>
  </si>
  <si>
    <t>045140 Városi és elővárosi közúti személyszállítás</t>
  </si>
  <si>
    <t xml:space="preserve"> - helyi közösségi közlekedés veszteségének finanszírozása</t>
  </si>
  <si>
    <t>047410 Ár- és belvízvédelemmel összefüggő tevékenység</t>
  </si>
  <si>
    <t xml:space="preserve"> - vízkészlethasználati járulék</t>
  </si>
  <si>
    <t>063020 Víztermelés, -kezelés, -ellátás</t>
  </si>
  <si>
    <t xml:space="preserve"> - települési vízellátás</t>
  </si>
  <si>
    <t xml:space="preserve"> - árvízvédelmi létesítmények fenntartása</t>
  </si>
  <si>
    <t xml:space="preserve"> - Északi Ipari Parkban létesült záportározó üzemeltetése</t>
  </si>
  <si>
    <t>051030 Nem veszélyes hulladék vegyes begyűjtése, szállítása, átrakása</t>
  </si>
  <si>
    <t xml:space="preserve"> - utak, járdák,lépcsők, támfalak hibaelhárítás, sürgősségi feladatok</t>
  </si>
  <si>
    <t xml:space="preserve"> - köztisztaság  szerződéses munkák</t>
  </si>
  <si>
    <t xml:space="preserve"> - VG Kft. köztisztaság szerződéses munkák</t>
  </si>
  <si>
    <t xml:space="preserve"> - hóeltakarítás, sikosságmentesítés</t>
  </si>
  <si>
    <t xml:space="preserve"> - szirénák karbantartása, felülvizsgálata</t>
  </si>
  <si>
    <t>013320 Köztemető-fenntartás és működtetés</t>
  </si>
  <si>
    <t>064010 Közvilágítás</t>
  </si>
  <si>
    <t xml:space="preserve"> - közvilágítási hálózat karbantartása</t>
  </si>
  <si>
    <t xml:space="preserve"> - közvilágítási feladatok előkészítő munkái</t>
  </si>
  <si>
    <t xml:space="preserve"> - parkolási közszolgáltatási tevékenység ellátásával kapcsolatos költségek</t>
  </si>
  <si>
    <t xml:space="preserve"> - Buslakpusztai bezárt hulladéklerakó szennyezés lokalizációja létesítmény üzemeltetés</t>
  </si>
  <si>
    <t>052020 Szennyvíz gyűjtése, tisztítása, elhelyezése</t>
  </si>
  <si>
    <t xml:space="preserve"> -  folyékony hulladék szállítás</t>
  </si>
  <si>
    <t>Városüzemelési működési kiadásai összesen:</t>
  </si>
  <si>
    <t>Csatornarendszer (szennyvíz-csapadékvíz)</t>
  </si>
  <si>
    <t>Ivóvíz beruházások</t>
  </si>
  <si>
    <t xml:space="preserve">Közvilágítás és egyéb közmű </t>
  </si>
  <si>
    <t>3.a/1</t>
  </si>
  <si>
    <t>Közvilágítás fejlesztés</t>
  </si>
  <si>
    <t xml:space="preserve">Szegélycserék a város területén </t>
  </si>
  <si>
    <t>Tervek készítése, műszaki ellenőrzések és egyéb hatósági díjak</t>
  </si>
  <si>
    <t>Parkok, terek, játszóterek</t>
  </si>
  <si>
    <t>5.a/1</t>
  </si>
  <si>
    <t>Hulladékgazdálkodás</t>
  </si>
  <si>
    <t>Köztemető</t>
  </si>
  <si>
    <t>Temetői fejlesztések</t>
  </si>
  <si>
    <t>Egyéb feladatok</t>
  </si>
  <si>
    <t>Városüzemelési kiadások összesen:</t>
  </si>
  <si>
    <t>Városépítészeti feladatok:</t>
  </si>
  <si>
    <t xml:space="preserve"> - magasépítési feladatokhoz kapcsolódó működési kiadások</t>
  </si>
  <si>
    <t xml:space="preserve"> - egyéb létesítményi működési kiadások</t>
  </si>
  <si>
    <t xml:space="preserve"> - stratégiai fejlesztési feladatokhoz kapcsolódó működési kiadások</t>
  </si>
  <si>
    <t xml:space="preserve"> - lakossági, civil kezdeményezések támogatása </t>
  </si>
  <si>
    <t>Városépítészet működési kiadások:</t>
  </si>
  <si>
    <t xml:space="preserve"> Beruházási kiadások </t>
  </si>
  <si>
    <t xml:space="preserve">Szennyvíz felújítások használati díj terhére </t>
  </si>
  <si>
    <t xml:space="preserve">Ivóvíz felújítások használati díj terhére </t>
  </si>
  <si>
    <t>Közvilágítás és egyéb közmű beruházások</t>
  </si>
  <si>
    <t>Kiemelt projektek</t>
  </si>
  <si>
    <t>Előtervezések</t>
  </si>
  <si>
    <t>Stratégiai feladatok</t>
  </si>
  <si>
    <t>10./1.</t>
  </si>
  <si>
    <t>10./3.</t>
  </si>
  <si>
    <t>Modern Városok Program projektjei</t>
  </si>
  <si>
    <t>Mindszenty Múzeum és Zarándokközpont fejlesztése, zalaegerszegi "Mindszenty Út" megvalósítása MVP</t>
  </si>
  <si>
    <t xml:space="preserve"> Alsóerdei Sport- és Rekreációs Központ fejlesztése MVP támogatással</t>
  </si>
  <si>
    <t>10./4.</t>
  </si>
  <si>
    <t>Egyéb projektek</t>
  </si>
  <si>
    <t>10./4.a/2</t>
  </si>
  <si>
    <t>Egyéb stratégiai feladat</t>
  </si>
  <si>
    <t>TOP és egyéb pályázatok előkészítése és önerő biztosítása</t>
  </si>
  <si>
    <t xml:space="preserve">TOP projektekhez kapcsolódó többletfeladatok, nem támogatott munkarészek önk-i forrásból </t>
  </si>
  <si>
    <t>Városépítészeti kiadások összesen:</t>
  </si>
  <si>
    <t xml:space="preserve">Vagyonkezelési feladatok </t>
  </si>
  <si>
    <t xml:space="preserve"> - önk. által kezelt ing.közös ktg.közüz.díj</t>
  </si>
  <si>
    <t xml:space="preserve"> - reptér működési kiadásai </t>
  </si>
  <si>
    <t xml:space="preserve"> - önk. ingatlanok állagmegóvása,vagyonvédelme</t>
  </si>
  <si>
    <t xml:space="preserve"> - volt vasúti ingatlanok működési kiadásai</t>
  </si>
  <si>
    <t xml:space="preserve"> - volt laktanyával kapcsolatos kiadások</t>
  </si>
  <si>
    <t xml:space="preserve"> -  vagyongazdálkodási feladatok és szakértői díjak</t>
  </si>
  <si>
    <t xml:space="preserve"> - Városfejlesztő Zrt. jutalék</t>
  </si>
  <si>
    <t>Lakásalappal kapcsolatos kiadások</t>
  </si>
  <si>
    <t>Vagyonkezelési feladatok műk. kiadásai</t>
  </si>
  <si>
    <t xml:space="preserve"> Beruházási és felújítási  kiadások </t>
  </si>
  <si>
    <t>LÉSZ Kft.részére önk-i tulajdonú ingatlanok utáni felújítási hozzájárulás</t>
  </si>
  <si>
    <t>Jogi és igazgatási feladatok:</t>
  </si>
  <si>
    <t xml:space="preserve"> - közterület reklám célú bérbeadásához kapcsolódó kiadás</t>
  </si>
  <si>
    <t xml:space="preserve"> - önkormányzat kezelésében lévő ingatlanok hasznosításához kapcsolódó kiadások</t>
  </si>
  <si>
    <t xml:space="preserve"> - képviselők, bizottsági tagok és tisztségviselők tiszteletdíja</t>
  </si>
  <si>
    <t xml:space="preserve"> - közbeszerzési eljárásokkal és jogi feladatokkal  kapcsolatos díjak</t>
  </si>
  <si>
    <t>031060 Bűnmegelőzés</t>
  </si>
  <si>
    <t xml:space="preserve"> - közbiztonsági feladatok</t>
  </si>
  <si>
    <t xml:space="preserve"> -  Zalaegerszegi Városi Közbiztonsági  Polgárőr Egyesület támogatása</t>
  </si>
  <si>
    <t xml:space="preserve"> - "Rendért" Zalai Közbiztonsági és Polgárőr Egyesület támogatása</t>
  </si>
  <si>
    <t>031030 Közterület rendjének fenntartása</t>
  </si>
  <si>
    <t xml:space="preserve"> - közterületen hagyott gépjárművek elszállítása</t>
  </si>
  <si>
    <t>Jogi és igazgatási feladatok működési kiadásai összesen:</t>
  </si>
  <si>
    <t xml:space="preserve">Beruházási és felújítási kiadások </t>
  </si>
  <si>
    <t>Térfigyelő kamerák bővítése, megújítása</t>
  </si>
  <si>
    <t>Jogi és igazgatási feladatok összesen:</t>
  </si>
  <si>
    <t>Pénzügyi lebonyolítás:</t>
  </si>
  <si>
    <t>018020 Központi költségvetési befizetések</t>
  </si>
  <si>
    <t xml:space="preserve"> - szolidaritási hozzájárulás</t>
  </si>
  <si>
    <t xml:space="preserve"> - ÁFA befizetés</t>
  </si>
  <si>
    <t xml:space="preserve"> - könyvvizsgálat díja</t>
  </si>
  <si>
    <t xml:space="preserve"> - dolgozói lakásépítés és -vásárlás támogatása</t>
  </si>
  <si>
    <t xml:space="preserve"> - vagyonbiztosítás</t>
  </si>
  <si>
    <t>011140 Országos és helyi nemzetiségi önkorm.igazg. tev.</t>
  </si>
  <si>
    <t xml:space="preserve"> - Roma Nemzetiségi Önkormányzat támogatása</t>
  </si>
  <si>
    <t>107013 Hajléktalanok átmeneti ellátása</t>
  </si>
  <si>
    <t xml:space="preserve"> - Zalaegerszegi Szociális Társulás működési hozzájárulás</t>
  </si>
  <si>
    <t xml:space="preserve"> - Fejlesztési célú hitel igénybevételi díj, törlesztés és   kamatfizetési kötelezettség</t>
  </si>
  <si>
    <t>084031 Civil szervezetek működési támogatása</t>
  </si>
  <si>
    <t xml:space="preserve"> - egyéb szervezetek támogatása </t>
  </si>
  <si>
    <t>191 111</t>
  </si>
  <si>
    <t>Pénzügyi lebonyolítás és kp-i  összesen:</t>
  </si>
  <si>
    <t>22.</t>
  </si>
  <si>
    <t xml:space="preserve"> Polgármesteri Kabinet</t>
  </si>
  <si>
    <t xml:space="preserve"> - rendezvények, kommunikáció, reprezentáció</t>
  </si>
  <si>
    <t xml:space="preserve"> - turisztikai feladatok</t>
  </si>
  <si>
    <t xml:space="preserve"> - városmarketing</t>
  </si>
  <si>
    <t xml:space="preserve"> - tagsági díjak ( MJVSZ stb.)</t>
  </si>
  <si>
    <t xml:space="preserve"> - városi hírportál szerkesztése</t>
  </si>
  <si>
    <t xml:space="preserve"> - kulturális városi rendezvények</t>
  </si>
  <si>
    <t xml:space="preserve"> - monográfia</t>
  </si>
  <si>
    <t xml:space="preserve"> - Zalaegerszegi Létesítményfenntartó Kft. működési támogatása</t>
  </si>
  <si>
    <t xml:space="preserve"> - Nemzetközi kapcsolatokra</t>
  </si>
  <si>
    <t>083030 Egyéb kiadói tevékenység</t>
  </si>
  <si>
    <t xml:space="preserve"> - városi újság támogatása</t>
  </si>
  <si>
    <t xml:space="preserve">  - városi kiadvány</t>
  </si>
  <si>
    <t xml:space="preserve"> - Polgármesteri rendelkezésű keret</t>
  </si>
  <si>
    <t xml:space="preserve"> - Településrészi Önkormányzatok</t>
  </si>
  <si>
    <t>2216**</t>
  </si>
  <si>
    <t xml:space="preserve"> - közfoglalkoztatás</t>
  </si>
  <si>
    <t xml:space="preserve"> - Vállalkozás fejlesztés és befektetés támogató program</t>
  </si>
  <si>
    <t>083050 Televízió-műsor szolgáltatása és támogatása</t>
  </si>
  <si>
    <t>Polgármesteri Kabinet működési kiadásai összesen:</t>
  </si>
  <si>
    <t>Beruházási és felújítási kiadások</t>
  </si>
  <si>
    <t>Polgármesteri Kabinet kiadásai összesen:</t>
  </si>
  <si>
    <t>900070 Fejezeti és általános tartalékok elszámolása</t>
  </si>
  <si>
    <t>Általános tartalék</t>
  </si>
  <si>
    <t>Céltartalék</t>
  </si>
  <si>
    <t xml:space="preserve">Év közben jelentkező feladatokra </t>
  </si>
  <si>
    <t>Intézmények egyéb feladatainak évközi finanszírozása</t>
  </si>
  <si>
    <t>Szünidei étkeztetés</t>
  </si>
  <si>
    <t>Elmaradt bevételek pótlására</t>
  </si>
  <si>
    <t>Felhalmozási célú céltartalék</t>
  </si>
  <si>
    <t>Költségvetési szervek felújítási kerete (Vis maior)</t>
  </si>
  <si>
    <t>Tartalék összesen:</t>
  </si>
  <si>
    <t>Önkormányzat összesen költségetési szervek nélkül</t>
  </si>
  <si>
    <t xml:space="preserve"> -  szennyvíz vagyon használati díja és Áfa visszaig.</t>
  </si>
  <si>
    <t xml:space="preserve"> - ivóvíz  vagyon használati díja és  Áfa visszaig.+ KIEFO</t>
  </si>
  <si>
    <t xml:space="preserve"> - Vizslapark üzemeltetése, magasabb szintű fenntartása </t>
  </si>
  <si>
    <t xml:space="preserve"> - Kvártélyház Kft. támogatása</t>
  </si>
  <si>
    <t xml:space="preserve"> - Klímavédelmi konferencia megrendezése</t>
  </si>
  <si>
    <t xml:space="preserve"> - fogászati alapellátás  önkormányzati támogatása</t>
  </si>
  <si>
    <t xml:space="preserve">018030 Támogatási célú finanszírozási műveletek </t>
  </si>
  <si>
    <t xml:space="preserve"> - Helyi önkormányzatok általános működésének és ágazati feladatainak állami támogatása</t>
  </si>
  <si>
    <t xml:space="preserve"> - talált tárgyak felértékeltetése</t>
  </si>
  <si>
    <r>
      <t xml:space="preserve"> - csatorna</t>
    </r>
    <r>
      <rPr>
        <strike/>
        <sz val="9"/>
        <rFont val="Times New Roman"/>
        <family val="1"/>
        <charset val="238"/>
      </rPr>
      <t xml:space="preserve"> </t>
    </r>
    <r>
      <rPr>
        <sz val="9"/>
        <rFont val="Times New Roman"/>
        <family val="1"/>
        <charset val="238"/>
      </rPr>
      <t>diagnosztika</t>
    </r>
  </si>
  <si>
    <t xml:space="preserve"> - önkormányzati tulajdonú közművek felett úthibák javítása </t>
  </si>
  <si>
    <t>Gébárti tó fejlesztési, üzemeltetési, magasabb szintű fenntartási feladatai VÜCS</t>
  </si>
  <si>
    <t>Nem víziközmű vagyon fejlesztése</t>
  </si>
  <si>
    <t xml:space="preserve"> - Városfejlesztő Zrt. működési kiadása</t>
  </si>
  <si>
    <t>1.1. Települési önkormányzatok működésének általános támogatása</t>
  </si>
  <si>
    <t>Település-üzemeltetéshez kapcsolódó feladataellátás támogatása</t>
  </si>
  <si>
    <t>1.2.3. Kiegészítő támogatás az óvodapedagógusok minősítéséből adódó többletkiadásokhoz</t>
  </si>
  <si>
    <t>1.3.2.Szociális és gyermekjóléti alapszolgáltatás feladatai</t>
  </si>
  <si>
    <t>1.3.2.4. Házi segítségnyújtás</t>
  </si>
  <si>
    <t xml:space="preserve">                1.3.2.4.1. Szociális segítés</t>
  </si>
  <si>
    <t xml:space="preserve">        1.3.3.1.1. Felsőfokú végzettségű kisgyermeknevelők, szaktanácsadók bértámogatása</t>
  </si>
  <si>
    <t xml:space="preserve">        1.3.3.1.2. Bölcsődei dajkák,középfokú végzettségű kisgyermeknevelők, szaktanácsadók bértámogatása</t>
  </si>
  <si>
    <t xml:space="preserve">        1.3.3.2. Bölcsődei üzemeltetési támogatás</t>
  </si>
  <si>
    <t>1.4.1. Intézményi gyermekétkeztetés támogatása</t>
  </si>
  <si>
    <t>1.4.1.2. Intézményi gyermekétkeztetés - üzemeltetési támogatás</t>
  </si>
  <si>
    <t>1.4.2. Szünidei étkeztetés támogatása</t>
  </si>
  <si>
    <t>1.5. A települési önkormányzatok kulturális feladatainak támogatása</t>
  </si>
  <si>
    <t>3. melléklet: Helyi önkormányzatok  kiegészítő támogatásai</t>
  </si>
  <si>
    <t xml:space="preserve"> -TOP-6.1.1-16 Zalaegerszegi Logisztikai Központ létrehozása (nettó fin.)</t>
  </si>
  <si>
    <t>2.) Felhalmozási bevételek</t>
  </si>
  <si>
    <t>6.) Egyéb finanszírozási kiadás (államháztartáson belüli megelőlegezés visszafizetése)</t>
  </si>
  <si>
    <t xml:space="preserve"> - Duális Képzőközpont bérleti díj</t>
  </si>
  <si>
    <t xml:space="preserve">  - idegenforgalmi adó</t>
  </si>
  <si>
    <t xml:space="preserve"> - Zala Megyei  Diáksport Szövetség támogatása</t>
  </si>
  <si>
    <t xml:space="preserve"> - elektromos gépkocsik üzemeltetése</t>
  </si>
  <si>
    <t xml:space="preserve"> - Zalaegerszegi Sport és Tanuszoda műk.  támogatása</t>
  </si>
  <si>
    <t xml:space="preserve"> - önkormányzat által alapított díjak</t>
  </si>
  <si>
    <t xml:space="preserve"> - Duális Képzőközpont támogatása</t>
  </si>
  <si>
    <t xml:space="preserve"> - Zalaegerszegi Élménypark Kft. működési támogatása</t>
  </si>
  <si>
    <t xml:space="preserve"> - mezőgazdasági és zártkerti  utak karbantartása, telekrendezés</t>
  </si>
  <si>
    <r>
      <t xml:space="preserve"> - vízbázis</t>
    </r>
    <r>
      <rPr>
        <strike/>
        <sz val="9"/>
        <rFont val="Times New Roman"/>
        <family val="1"/>
        <charset val="238"/>
      </rPr>
      <t xml:space="preserve"> </t>
    </r>
    <r>
      <rPr>
        <sz val="9"/>
        <rFont val="Times New Roman"/>
        <family val="1"/>
        <charset val="238"/>
      </rPr>
      <t>védelemmel kapcsolatos feladatok</t>
    </r>
  </si>
  <si>
    <t xml:space="preserve"> - önkormányzati tulajdonban lévő közvilágítási hálózat passzív elemeinek karbantartása</t>
  </si>
  <si>
    <t xml:space="preserve"> - Modern Városok Program keretében tervezett közúthálózat és kapcsolódó tereinek fejlesztései</t>
  </si>
  <si>
    <t xml:space="preserve">  - Zalaegerszegi Sport- és Tanuszoda bérleti díj</t>
  </si>
  <si>
    <t xml:space="preserve"> - VÁRA-ÉMI 2020-001 Szennyvíz Gépészet Projekt</t>
  </si>
  <si>
    <t>Műszaki ellenőrzések KKVP-hoz kapcsolódóan</t>
  </si>
  <si>
    <t xml:space="preserve"> - ünnepi díszkivilágítás szerelés, elromlott sorok javítása, karbantartása</t>
  </si>
  <si>
    <t>B74</t>
  </si>
  <si>
    <t>B75</t>
  </si>
  <si>
    <t xml:space="preserve"> - Helyi termék piac hasznosítása</t>
  </si>
  <si>
    <t>6.) Forgatási célú értékpapír beváltás</t>
  </si>
  <si>
    <t>7.) Államháztartáson belüli megelőlegezések</t>
  </si>
  <si>
    <t xml:space="preserve"> - Andráshidai mini bölcsőde építése RRF-1.1.2-21-2022-00019</t>
  </si>
  <si>
    <t xml:space="preserve"> - Északi Ipari park infrastuktúra fejlesztésével összefüggő közműfejlesztések és közműcsatlakozások ivóvíz és ipari víz, szennyvízellátás</t>
  </si>
  <si>
    <t xml:space="preserve"> - Északi Ipari park infrastuktúra fejlesztésével összefüggő közműfejlesztések és közműcsatlakozások - csapadékvíz biztonságos kezelése</t>
  </si>
  <si>
    <t xml:space="preserve"> - TOP Plusz-1.2.1-21-ZA2-2022-00006 Zeg-Teskánd kerékpárút projekt</t>
  </si>
  <si>
    <t xml:space="preserve">    - gázártámogatás</t>
  </si>
  <si>
    <t>TOP Plusz-1.2.1-21-ZA2-2022-00006 Zeg-Teskánd kerékpárút projekt</t>
  </si>
  <si>
    <t xml:space="preserve"> Északi Ipari park infrastuktúra fejlesztésével összefüggő közműfejlesztések és közműcsatlakozások ivóvíz és ipari víz, szennyvízellátás</t>
  </si>
  <si>
    <t xml:space="preserve"> Északi Ipari park infrastuktúra fejlesztésével összefüggő közműfejlesztések és közműcsatlakozások - csapadékvíz biztonságos kezelése</t>
  </si>
  <si>
    <t xml:space="preserve"> - Zalaegerszegi Kétkerék SE támogatása</t>
  </si>
  <si>
    <t>10./2.</t>
  </si>
  <si>
    <t>10./2.a/1</t>
  </si>
  <si>
    <t>10./2.a/2</t>
  </si>
  <si>
    <t>10./4.a/1</t>
  </si>
  <si>
    <t xml:space="preserve"> - ZALAVÍZ Zrt. nem víziközmű után fizetendő bérleti díj</t>
  </si>
  <si>
    <t xml:space="preserve"> - ZALA-Müllex Kft.által fizetett bérleti díj </t>
  </si>
  <si>
    <t xml:space="preserve">-  Éves sajtófotó kiállítás </t>
  </si>
  <si>
    <t xml:space="preserve"> - Városi farsang</t>
  </si>
  <si>
    <t>Önkormányzatok működési támogatásai</t>
  </si>
  <si>
    <t>Parkolóórák telepítése</t>
  </si>
  <si>
    <t xml:space="preserve"> -Zalaegerszegi  Adományközpont Alapítvány támogatása</t>
  </si>
  <si>
    <t>Modern Városok Program keretében a zalaegerszegi közúthálózat és kapcsolódó tereinek fejlesztése</t>
  </si>
  <si>
    <t>7.) Forgatási célú értékpapír vásárlás hazai forrásból átmenetileg szabad pénzeszközökből</t>
  </si>
  <si>
    <t xml:space="preserve"> - Északi ipari park bővítése,vízi közművek és feltáró út építése, közvilágítása</t>
  </si>
  <si>
    <t xml:space="preserve">  - állategészségügyi tevékenység</t>
  </si>
  <si>
    <t xml:space="preserve"> - egyszeri nevelési juttatás</t>
  </si>
  <si>
    <t xml:space="preserve"> -   egyéb szociális és egészségügyi szolgáltatás</t>
  </si>
  <si>
    <t xml:space="preserve"> - Zalavolán Női Kosárlabda Klub Kft.támogatása</t>
  </si>
  <si>
    <t xml:space="preserve"> - kerékpárutak fenntartása és felújítása </t>
  </si>
  <si>
    <t>Aquacity és egyéb gébárti létesítmények felújítása</t>
  </si>
  <si>
    <t xml:space="preserve"> - Gébárti fürdő lét. üzemeltetése</t>
  </si>
  <si>
    <t xml:space="preserve"> - Alsóerdei Élménypark bérleti díja</t>
  </si>
  <si>
    <t xml:space="preserve"> - Street Food weekend</t>
  </si>
  <si>
    <t xml:space="preserve"> - Majális</t>
  </si>
  <si>
    <t xml:space="preserve"> - Sörfesztivál támogatása</t>
  </si>
  <si>
    <t xml:space="preserve"> - Restart fesztivál</t>
  </si>
  <si>
    <t xml:space="preserve"> - Gébárti Művésztelep</t>
  </si>
  <si>
    <t xml:space="preserve"> - Zala Open támogatása</t>
  </si>
  <si>
    <t xml:space="preserve"> - Mányoki Attila versenyfelkészülésének támogatása</t>
  </si>
  <si>
    <t xml:space="preserve"> - Ukrajnai testvérvárosaink humanitárius támogatása a háború miatt</t>
  </si>
  <si>
    <t xml:space="preserve"> - Csónakázó tó rendbetétele</t>
  </si>
  <si>
    <t xml:space="preserve"> - Gébárti tó magasabb szintű fenntartása</t>
  </si>
  <si>
    <t xml:space="preserve">  - felnőtt játszóterek karbantartása</t>
  </si>
  <si>
    <t xml:space="preserve"> - szúnyoggyérítés</t>
  </si>
  <si>
    <t xml:space="preserve"> - varjúfészkek eltávolítása</t>
  </si>
  <si>
    <t xml:space="preserve"> - városi hidak hídfővizsgálatai</t>
  </si>
  <si>
    <t>Járdafelújítások</t>
  </si>
  <si>
    <t>Vízelőkészítő gépház és kutak felújítása</t>
  </si>
  <si>
    <t xml:space="preserve"> - Gébárti Népművészeti Fesztivál</t>
  </si>
  <si>
    <t>Andráshidai mini bölcsőde építése RRF-1.1.2-21-2022-00019</t>
  </si>
  <si>
    <t>Északi ipari park bővítése,vízi közművek és feltáró út építése, közvilágítása</t>
  </si>
  <si>
    <t>TOP és TOP Plusz projektek</t>
  </si>
  <si>
    <t>Iskolai, óvodai sportpályák felújítása</t>
  </si>
  <si>
    <t>Játszóterek fejlesztése</t>
  </si>
  <si>
    <t>8./1</t>
  </si>
  <si>
    <t>TOP Plusz -1.3-1-21 FVS TVP projekt</t>
  </si>
  <si>
    <t xml:space="preserve"> - TOP Plusz -1.3-1-21 FVS TVP projekt</t>
  </si>
  <si>
    <t>1.3.2.2.2. Óvodai és iskolai szociális segítő tevékenység támogatása</t>
  </si>
  <si>
    <t xml:space="preserve">        bértámogatás  682/2021. (XII.16.) Korm.rendelet </t>
  </si>
  <si>
    <t xml:space="preserve"> - állampapír beváltás</t>
  </si>
  <si>
    <t>Helyi építészeti értékek védelme alap</t>
  </si>
  <si>
    <t xml:space="preserve"> - forgalmi jutalék, számlavezetési és tranzakciós díj</t>
  </si>
  <si>
    <t xml:space="preserve"> - állampapír  vásárlása átmenetileg szabad pénzeszközökből</t>
  </si>
  <si>
    <t>3.) Közhatalmi bevételek</t>
  </si>
  <si>
    <t>4.) Felhalmozási célú átvett pénzeszközök</t>
  </si>
  <si>
    <t>5.) Fejlesztéshez működési jellegű bevétel (HD, áfa visszaigénylés)</t>
  </si>
  <si>
    <t>7.) Előző év költségvetési maradványának igénybevétele</t>
  </si>
  <si>
    <t xml:space="preserve">1.5.5. Vármegyei hatókörű városi könyvtár kistelepülési könyvtári célú kiegészítő támogatása </t>
  </si>
  <si>
    <t>1.5.1. Vármegyeszékhely megyei jogú városok kulturális feladatainak támogatása</t>
  </si>
  <si>
    <t xml:space="preserve"> - Zalaegerszegi Múzeumok Igazgatósága részére  megelőlegezett ált.forgalmi adó visszafizetése</t>
  </si>
  <si>
    <t>Alsóerdei Sport- és Élménypark fejlesztése</t>
  </si>
  <si>
    <t>Ebergényi úton  útcsatlakozás aszfaltozás munkái</t>
  </si>
  <si>
    <t>Ebergényi úton felújítás</t>
  </si>
  <si>
    <t>Előtervezések magasépítési feladatokhoz</t>
  </si>
  <si>
    <t>TOP_PLUSZ-3.4.1-23-ZL1-2023-00001 Bazitai Óvoda újjáépítése</t>
  </si>
  <si>
    <t xml:space="preserve"> TOP_PLUSZ-3.4.1-23-ZL1-2023-00002 Ságodi Óvoda felújítása</t>
  </si>
  <si>
    <t xml:space="preserve"> TOP_PLUSZ-3.4.1-23-ZL1-2024-00003 Orvosi rendelők felújítása (Kölcsey u.11., Mátyás király u. 16., Gasparich u. 21.)</t>
  </si>
  <si>
    <t xml:space="preserve"> - médiával kapcsolatos szerződések, támogatások</t>
  </si>
  <si>
    <t xml:space="preserve"> - Településrészi önkormányzatok közösségi helyeinek rezsiköltsége</t>
  </si>
  <si>
    <t xml:space="preserve"> - Horvát Nemzetiségi Önkormányzat támogatása</t>
  </si>
  <si>
    <t xml:space="preserve"> - Városi Hangverseny- és Kiállítóteremben rendezvények </t>
  </si>
  <si>
    <t xml:space="preserve"> - Kárpát-medencei ifjúsági tábor</t>
  </si>
  <si>
    <t xml:space="preserve"> - ZTE FC Zrt. támogatása </t>
  </si>
  <si>
    <t xml:space="preserve"> - térinformatika rendszer működtetése</t>
  </si>
  <si>
    <t xml:space="preserve"> - ASP bevezetésének előkészítése</t>
  </si>
  <si>
    <t xml:space="preserve"> - közlekedésbiztonságot veszélyeztető növényzet eltávolítása</t>
  </si>
  <si>
    <t xml:space="preserve">Nyugdíjas otthonházi lakások felújítása </t>
  </si>
  <si>
    <t xml:space="preserve"> - TOP_PLUSZ-3.4.1-23-ZL1-2023-00001 Bazitai Óvoda újjáépítése</t>
  </si>
  <si>
    <t xml:space="preserve"> -  TOP_PLUSZ-3.4.1-23-ZL1-2023-00002 Ságodi Óvoda felújítása</t>
  </si>
  <si>
    <t xml:space="preserve"> -  TOP_PLUSZ-3.4.1-23-ZL1-2024-00003 Orvosi rendelők felújítása (Kölcsey u.11., Mátyás király u. 16., Gasparich u. 21.)</t>
  </si>
  <si>
    <t xml:space="preserve"> Északi Ipari park infrastuktúra fejlesztésével összefüggő közműfejlesztések és közműcsatlakozások - csapadékvíz biztonságos kezelése Nagypáli </t>
  </si>
  <si>
    <t xml:space="preserve"> - Északi Ipari park infrastuktúra fejlesztésével összefüggő közműfejlesztések és közműcsatlakozások - csapadékvíz biztonságos kezelése Nagypáli</t>
  </si>
  <si>
    <t xml:space="preserve"> - városüzemeléssel kapcsolatos pályázati kiadások</t>
  </si>
  <si>
    <t xml:space="preserve"> - helyközi bérletek elfogadása miatti  veszteség megtérítése</t>
  </si>
  <si>
    <t xml:space="preserve"> - köztéri hulladéktárolók és bútorok pótlása</t>
  </si>
  <si>
    <t xml:space="preserve"> - köztéri szobrok karbantartása</t>
  </si>
  <si>
    <t xml:space="preserve"> - Városi Gyermeknap</t>
  </si>
  <si>
    <t xml:space="preserve"> - Városi karácsonyi hangverseny</t>
  </si>
  <si>
    <t xml:space="preserve"> - Zalaegerszegi Médiacentrum Kft. működési támogatása</t>
  </si>
  <si>
    <t>Ady-Petőfi új gyalogátkelőhely és közvilágítás</t>
  </si>
  <si>
    <t>Alsójánkahegyi u. (Mindszenty iskola mellett) gyalogos sétány építés, kerítés átépítés</t>
  </si>
  <si>
    <t>Ebrendészeti telep felújítása önrész</t>
  </si>
  <si>
    <t>Előtervezések út- és közműépítési feladatokhoz (KKVP)</t>
  </si>
  <si>
    <t>Héviz Balaton Airport Kft.  üzletrész vásárlás</t>
  </si>
  <si>
    <t>Arányos városfejlesztés tervezés/előkészítés</t>
  </si>
  <si>
    <t xml:space="preserve">Kjt 77. § (1) bekezdése  szerinti keresetkiegészítés </t>
  </si>
  <si>
    <t xml:space="preserve"> - Armada Szabadidő Egyesület támogatása</t>
  </si>
  <si>
    <t>3.) Egyéb működési célú kiadások (költségvetési szervek és tartalék nélkül)</t>
  </si>
  <si>
    <t>3.a/2</t>
  </si>
  <si>
    <t>2.a/1</t>
  </si>
  <si>
    <t>Önkormányzat tulajdonában lévő bérlakások   teljes vagy részleges  felújítása, korszerűsítése  (Lakásalap)</t>
  </si>
  <si>
    <t>10./2.a/3</t>
  </si>
  <si>
    <t xml:space="preserve"> - Zala Vármegyei Rendőr-főkapitányság támogatása</t>
  </si>
  <si>
    <t>Állami támogatás (Ft)</t>
  </si>
  <si>
    <t>1.1.7. Lakott külterülettel kapcsolatos feladatok támogatása</t>
  </si>
  <si>
    <t xml:space="preserve">1.1.1. Önkormányzati hivatal működésének támogatása - elismert hivatali létszám alapján                    </t>
  </si>
  <si>
    <t xml:space="preserve"> - Mindszentyneum működési támogatásának átadása</t>
  </si>
  <si>
    <t xml:space="preserve"> - faértékesítés bevétele</t>
  </si>
  <si>
    <t xml:space="preserve">  -  környezetvédelmi alap feltöltése</t>
  </si>
  <si>
    <t>042180 Állategészségügy</t>
  </si>
  <si>
    <t xml:space="preserve"> - tesztpálya területének bérleti díja</t>
  </si>
  <si>
    <t xml:space="preserve"> - volt nyomdaépület hasznosítása</t>
  </si>
  <si>
    <t xml:space="preserve"> - munkásszálló bérleti díj</t>
  </si>
  <si>
    <t xml:space="preserve"> - reklámgazda tevékenység</t>
  </si>
  <si>
    <t xml:space="preserve"> - 2025. évi maradvány igénybevétele áthúzódó  és új feladatokhoz</t>
  </si>
  <si>
    <t xml:space="preserve"> - kulturális dolgozók bérnövekménye</t>
  </si>
  <si>
    <t xml:space="preserve"> - építményadó</t>
  </si>
  <si>
    <t xml:space="preserve"> - ZALA-Müllex Kft. osztalék</t>
  </si>
  <si>
    <t xml:space="preserve"> -  igazgatási  bírság</t>
  </si>
  <si>
    <t xml:space="preserve"> - köztemetés megtérítése</t>
  </si>
  <si>
    <t xml:space="preserve"> - TOP_PLUSZ-3.4.1-23-ZL1-2024-00004 Zala Vármegyei Pedagógiai Szakszolgálat fejlesztése</t>
  </si>
  <si>
    <t>TOP_PLUSZ-1.3.2-23-ZL1-2024-00001Páterdombi közösségi tér kialakítása</t>
  </si>
  <si>
    <t xml:space="preserve"> - TOP_PLUSZ-3.4..1-23-ZL1-2025-00005 Tipegő bölcsőde felújítása</t>
  </si>
  <si>
    <t xml:space="preserve"> - TOP_PLUSZ-1.3.2-23-ZL1-2025-00003 Gyermek játszóház kialakítása Zalaegerszegen</t>
  </si>
  <si>
    <t xml:space="preserve"> - TOP_PLUSZ-3.4.1-23-ZL1-2025-00006 Űrhajós utcai óvoda felújítása</t>
  </si>
  <si>
    <t xml:space="preserve"> - TOP_PLUSZ-3.4.1-23-ZL1-2025-00007 Napsugár óvoda felújítása</t>
  </si>
  <si>
    <t>TOP_PLUSZ-3.4.1-23-ZL1-2025-00008 Ady iskola infrastruktúra fejlesztése</t>
  </si>
  <si>
    <t>TOP_PLUSZ-6.2.1-23-ZL1-2025-000007 Ebergényi bekötőút burkolatfelújítása</t>
  </si>
  <si>
    <t>TOP_PLUSZ-1.3.2-23-ZL1-2024-00002 Kaszaházai közösségi tér kialakítása</t>
  </si>
  <si>
    <t>TOP_PLUSZ-3.2.1-23-ZL1-2024-00001 Helyi kulturális közösségfejlesztési folyamat kezdeményezése és megvalósítása Zalaegerszegen</t>
  </si>
  <si>
    <t>Volt Tiszti Klub teljeskörű felújítása, BTTF Nonprofit Zrt. K-473/2025.</t>
  </si>
  <si>
    <t>TOP_PLUSZ-6.2.1-23-ZL1-2025-00004 Zalaegerszeg Logisztikai Park közműfejlesztése (+Natura2000)</t>
  </si>
  <si>
    <t>TOP_PLUSZ-6.2.1-23-ZL1-2025-00005 Északi Ipari Park infrastrukturális fejlesztése</t>
  </si>
  <si>
    <t>DIMOP_PLUSZ-2.1.1-24-2025-00010 Zalaegerszeg MJV energia menedzsment rendszerének bevezetése</t>
  </si>
  <si>
    <t>TOP_PLUSZ-6.2.1-23-ZL1-2025-00003 Parkerdei kerékpárút</t>
  </si>
  <si>
    <t>Versenyképes Járások Program - Deák Ferenc Megyei és Városi Könyvtár fűtéskorszerűsítése</t>
  </si>
  <si>
    <t>Versenyképes Járások Program - Hevesi Sándor Színház infrastrukturális fejlesztése</t>
  </si>
  <si>
    <t xml:space="preserve">    - villamosenergia támogatás</t>
  </si>
  <si>
    <t xml:space="preserve"> - pedagógusnapi rendezvény szervezése</t>
  </si>
  <si>
    <t xml:space="preserve"> - Nemzeti Orvosbiológiai Alapítvány tudósképző akadémia programjának támogatása</t>
  </si>
  <si>
    <t xml:space="preserve"> - "Fiatalok az Egészséges Jövőért"  Alapítvány országos vetélkedője</t>
  </si>
  <si>
    <t xml:space="preserve"> - Magyarország ifjúsági fővárosa</t>
  </si>
  <si>
    <t>Csutor Imre emléktábla</t>
  </si>
  <si>
    <t>Sportcsarnokban eszközfejlesztés</t>
  </si>
  <si>
    <t xml:space="preserve"> - ár- és belvízvédelmi feladatok</t>
  </si>
  <si>
    <t xml:space="preserve"> - csapadékvíz-elvezető és árvízvédelmi létesítmények fenntartása, hibaelhárítás, sürgősségi feladatok</t>
  </si>
  <si>
    <t xml:space="preserve"> - Vízügyi hatóságokkal kapcsolatos feladatok</t>
  </si>
  <si>
    <t xml:space="preserve"> - liberalizált energiapiacra való kilépés műszaki előkészítése</t>
  </si>
  <si>
    <t>Lokális csapadékvízelvezetési munkák elvégzése</t>
  </si>
  <si>
    <t>Kiserdei úti temető locsoló- és tüzivízvezeték felújítása</t>
  </si>
  <si>
    <t>Újhegyi út buszmegálló kialakítása</t>
  </si>
  <si>
    <t>Kovács K. tér mozi parkoló kialakítása</t>
  </si>
  <si>
    <t>Gébárt esőtető és árnyékoló,térburkolás garázs és gazdasági bejárat előtt</t>
  </si>
  <si>
    <t>Hídfelújítások</t>
  </si>
  <si>
    <t>Építők útja hídfelújítás</t>
  </si>
  <si>
    <t>Fügefa utca meredek szakaszának aszfaltozási munkái</t>
  </si>
  <si>
    <t>Bor út útburkolat felújítása</t>
  </si>
  <si>
    <t>Bóbita játszótér eszközök és ütéscsillapító burkolat csere</t>
  </si>
  <si>
    <t>Petőfi iskola előtti utastájékoztató berendezés telepítése</t>
  </si>
  <si>
    <t>Kossuth L.u. felújítás II.ütem</t>
  </si>
  <si>
    <t>Energiaválság csökkentő beruházások</t>
  </si>
  <si>
    <t>Városi Hangverseny és Kiállítóterem új vápaborítás, belső festés, homlokzat javítása</t>
  </si>
  <si>
    <t>Vásárcsarnok tetőszigetelés</t>
  </si>
  <si>
    <t>Jószomszédok parkban létrehozandó közösségi építmény megvalósítására</t>
  </si>
  <si>
    <t>Fehér Hattyú étterem konyhai szellőzés/előmelegítés kiépítése</t>
  </si>
  <si>
    <t>Idősotthon udvari akadálymentes rámpa- és teraszépítés</t>
  </si>
  <si>
    <t xml:space="preserve"> TOP_PLUSZ-3.4.1-23-ZL1-2024-00004 Zala Vármegyei Pedagógiai Szakszolgálat fejlesztése</t>
  </si>
  <si>
    <t>TOP_PLUSZ-3.4..1-23-ZL1-2025-00005 Tipegő bölcsőde felújítása</t>
  </si>
  <si>
    <t>TOP_PLUSZ-1.3.2-23-ZL1-2025-00003 Gyermek játszóház kialakítása Zalaegerszegen</t>
  </si>
  <si>
    <t>TOP_PLUSZ-3.4.1-23-ZL1-2025-00006 Űrhajós utcai óvoda felújítása</t>
  </si>
  <si>
    <t>TOP_PLUSZ-3.4.1-23-ZL1-2025-00007 Napsugár óvoda felújítása</t>
  </si>
  <si>
    <t xml:space="preserve">DIMOP_PLUSZ-2.1.1-24-2025-00010 Zalaegerszeg MJV energia menedzsment rendszerének bevezetése </t>
  </si>
  <si>
    <t>Versenyképes Járások Program előkészítéséhez és megvalósításához kapcsolódó feladatok</t>
  </si>
  <si>
    <t xml:space="preserve"> - Buslakpuszta,Harasztifalu hulladéklerakó területkivonás költségei</t>
  </si>
  <si>
    <t>Ingatlanvásárlások</t>
  </si>
  <si>
    <t xml:space="preserve"> - városi kamerarendszer működtetése, karbantartása</t>
  </si>
  <si>
    <t>Kossuth u. 45-49. sz. épület főbejárati ajtajának cseréje, homlokzatfelújítás</t>
  </si>
  <si>
    <t>Felhalmozási célú pénzeszköz átadás a Z.M. Katasztrófavéd. Igazgatóság részére</t>
  </si>
  <si>
    <t>Zala-Lap Kiadói Kft. üzletrész vásárlás</t>
  </si>
  <si>
    <t>Zalai Közszolgáltató Nonprofit Zrt. értékesítése bevétel elkülönítése</t>
  </si>
  <si>
    <t>Fejlesztési tartalék</t>
  </si>
  <si>
    <t xml:space="preserve"> - tűzifa támogatás</t>
  </si>
  <si>
    <t xml:space="preserve"> - gyógyászati segédeszköz-támogatás</t>
  </si>
  <si>
    <t>Szociális és igazgatási feladatok működési kiadása összesen:</t>
  </si>
  <si>
    <t>2025. évről áthúzódó feladat</t>
  </si>
  <si>
    <t>Szociális és igazgatási feladatok kiadása összesen:</t>
  </si>
  <si>
    <t>Humánigazgatási feladatok működési kiadásai összesen:</t>
  </si>
  <si>
    <t xml:space="preserve"> - filmzenei koncert</t>
  </si>
  <si>
    <t xml:space="preserve"> - Formula Student East</t>
  </si>
  <si>
    <t xml:space="preserve"> - 50 éves a Ho Si Minh szobor</t>
  </si>
  <si>
    <t xml:space="preserve"> - XIII. Gyermekkórus fesztivál</t>
  </si>
  <si>
    <t xml:space="preserve"> - "Mustra" gasztro- és kulturális rendezvény</t>
  </si>
  <si>
    <t xml:space="preserve"> - Egerszegi Advent </t>
  </si>
  <si>
    <t xml:space="preserve">  - Zalai Kamaratánc Fesztivál</t>
  </si>
  <si>
    <t xml:space="preserve"> - Göcseji Prószafesztivál</t>
  </si>
  <si>
    <t xml:space="preserve"> - önálló kulturális egyesületek, együttesek támogatása</t>
  </si>
  <si>
    <t xml:space="preserve"> - Zalai Táncegyüttes Egyesület támogatása</t>
  </si>
  <si>
    <t xml:space="preserve"> - Mindszentyneum állami támogatásának átadása</t>
  </si>
  <si>
    <t>plusz 42 inf. miatt</t>
  </si>
  <si>
    <t xml:space="preserve"> - Idősek Otthona férőhelymegváltás visszafizetése</t>
  </si>
  <si>
    <t>072 312 Fogorvosi ügyeleti ellátás</t>
  </si>
  <si>
    <t xml:space="preserve"> - Hajléktalanok szállása (Vöröskereszt) működési támogatása</t>
  </si>
  <si>
    <t xml:space="preserve"> - Egészséges Zalaegerszeg Program</t>
  </si>
  <si>
    <t xml:space="preserve"> - országos DO zalaegerszegi rendezvényei</t>
  </si>
  <si>
    <t xml:space="preserve"> - ZTE Teke Klub támogatása</t>
  </si>
  <si>
    <t>- Press Dance Táncsport Egyesület WADF European Championships, World Cup International Dance Cup megrendezése</t>
  </si>
  <si>
    <t xml:space="preserve"> - Kertvárosi postahivatal újranyitásának költségei</t>
  </si>
  <si>
    <t xml:space="preserve"> - közterület-felügyelet működési kiadásai</t>
  </si>
  <si>
    <t xml:space="preserve"> - 2025. évi állami hozzájárulás elszámolása </t>
  </si>
  <si>
    <t xml:space="preserve"> - 2026. évi állami hozzájárulás 0. havi előleg visszafizetése </t>
  </si>
  <si>
    <t xml:space="preserve"> - Ágazati felad. postai szolgáltatás és utalvány díja, illeték</t>
  </si>
  <si>
    <t>191-gyel kevesebb</t>
  </si>
  <si>
    <t>97-tel nő (inf)</t>
  </si>
  <si>
    <t xml:space="preserve"> - Zöld Zalaegerszeg Program</t>
  </si>
  <si>
    <t>uszoda napelem</t>
  </si>
  <si>
    <t>ZTE</t>
  </si>
  <si>
    <t xml:space="preserve"> - kerékpáros pihenők, fahidak javítása, karbantartása, festése</t>
  </si>
  <si>
    <t xml:space="preserve"> - Zöldfelületi Stratégia feladatai</t>
  </si>
  <si>
    <t xml:space="preserve"> - buszvárók javítása, karbantartása </t>
  </si>
  <si>
    <t xml:space="preserve"> - viharkárok elhárítása, vis maior önrész</t>
  </si>
  <si>
    <t>szabad vissza</t>
  </si>
  <si>
    <t xml:space="preserve"> -  zárt csapadékvíz-elvezető létesítmények tisztítása</t>
  </si>
  <si>
    <t xml:space="preserve"> -  csapadékvíz-elvezető létesítmények helyreállítása</t>
  </si>
  <si>
    <t xml:space="preserve"> - nyílt csapadékvíz-elvezető létesítmények fenntartása</t>
  </si>
  <si>
    <t xml:space="preserve"> - Önkormányzati Társulás Zalaegerszeg és térsége ivóvízminőségének javítására működési támogatása</t>
  </si>
  <si>
    <t xml:space="preserve"> - közterületek, önkormányzati ingatlanok zöldfelület-gazdálkodása</t>
  </si>
  <si>
    <t xml:space="preserve"> - Gébárti fürdőlétesítmények üzemeltetése</t>
  </si>
  <si>
    <t xml:space="preserve"> - Aquapark üzemeltetése</t>
  </si>
  <si>
    <t xml:space="preserve"> -köztemető-fenntartás és temetői létesítmények  használati díja</t>
  </si>
  <si>
    <t xml:space="preserve"> - közvilágítás villamosenergia-vásárlás</t>
  </si>
  <si>
    <t xml:space="preserve"> - egyéb villamosenergia-vásárlás</t>
  </si>
  <si>
    <t xml:space="preserve"> - gyepmesteri tevékenység ellátásához eszköz és munkaruha biztosítása</t>
  </si>
  <si>
    <t>12000 maradvány</t>
  </si>
  <si>
    <t>013350 Önk-i vagyonnal való gazdálkodáshoz kapcsolatos feladatok</t>
  </si>
  <si>
    <t>mar. Vissza</t>
  </si>
  <si>
    <t>11000 mar</t>
  </si>
  <si>
    <t>mar vissza</t>
  </si>
  <si>
    <t>Energiamenedzsment szoftver</t>
  </si>
  <si>
    <t>VT</t>
  </si>
  <si>
    <t>Versenyképes Járások Program</t>
  </si>
  <si>
    <t xml:space="preserve">Zalaegerszeg nyugati vízbázisról ellátott települések ívóvízminőségének javítása KEHOP projekt </t>
  </si>
  <si>
    <t xml:space="preserve"> - bírtokvédelmi költség megelőlegezése</t>
  </si>
  <si>
    <t xml:space="preserve"> - cserével vegyes ingatlanszerődések</t>
  </si>
  <si>
    <t>Sportcsarnok fejlesztés előkészítő munkái</t>
  </si>
  <si>
    <t>Színház  fejlesztési feladatok</t>
  </si>
  <si>
    <t xml:space="preserve"> - cserével vegyes ingatlanszerződések</t>
  </si>
  <si>
    <t>2026. évi eredeti előirányzat</t>
  </si>
  <si>
    <t>2026. évi  eredeti előirányzat</t>
  </si>
  <si>
    <t>működési hiány</t>
  </si>
  <si>
    <t>felhalmozási hiány</t>
  </si>
  <si>
    <t>költségvetési hiány:</t>
  </si>
  <si>
    <t>költségvetési bevételek  működési</t>
  </si>
  <si>
    <t>költségvetési kiadások  működési</t>
  </si>
  <si>
    <t>költségvetési bevételek  felhalmozási</t>
  </si>
  <si>
    <t>költségvetési kiadások felhalmozási</t>
  </si>
  <si>
    <t>B12</t>
  </si>
  <si>
    <t>Elvonások és befizetések bevételei</t>
  </si>
  <si>
    <t>B54</t>
  </si>
  <si>
    <t>Részesedések értékesítése</t>
  </si>
  <si>
    <t>B814</t>
  </si>
  <si>
    <t>Államháztartáson belüli megelőlegezések</t>
  </si>
  <si>
    <t xml:space="preserve">     1.1.2. zöldterület-gazdálkodás támogatása (hektár)</t>
  </si>
  <si>
    <t xml:space="preserve">     1.1.3. közvilágítás támogatása </t>
  </si>
  <si>
    <t xml:space="preserve">     1.1.4. köztemető támogatása  (m²)</t>
  </si>
  <si>
    <r>
      <t>1.1.8. Nem közművel összegyűjtött háztartási szennyvíz ártalmatlanítása (m</t>
    </r>
    <r>
      <rPr>
        <vertAlign val="superscript"/>
        <sz val="9"/>
        <rFont val="Times New Roman"/>
        <family val="1"/>
        <charset val="238"/>
      </rPr>
      <t>3</t>
    </r>
    <r>
      <rPr>
        <sz val="9"/>
        <rFont val="Times New Roman"/>
        <family val="1"/>
        <charset val="238"/>
      </rPr>
      <t>)</t>
    </r>
  </si>
  <si>
    <t>1.2.1.Óvodaműködtetési támogatás</t>
  </si>
  <si>
    <t xml:space="preserve">     1.2.3.1.1.1. Pedagógus II. kategóriába sorolt pedagógusok kiegészítő támogatása</t>
  </si>
  <si>
    <t xml:space="preserve">     1.2.3.1.1.2. Mesterpedagógus, kutatótanár kategóriába sorolt pedagógusok kiegészítő támogatása</t>
  </si>
  <si>
    <t>1.3.2.1. Család-és gyermekjóléti szolgálat</t>
  </si>
  <si>
    <t xml:space="preserve">                1.3.2.4.2. Személyi gondozás - társulás által történő feladatellátás</t>
  </si>
  <si>
    <t>1.3.3. Bölcsőde, mini bölcsőde támogatása</t>
  </si>
  <si>
    <t>1.3.4. A települési önk. által biztosított egyes szociális szakosított ellátások, valamint a gyermekek átmeneti gondozásával kapcsolatos feladatok támogatása</t>
  </si>
  <si>
    <t>1.3.4.1 Bértámogatás</t>
  </si>
  <si>
    <t>1.3.4.2. Intézményüzemeltetési támogatás</t>
  </si>
  <si>
    <t>1.4.1.1. Intézményi gyermekétkeztetés - bértámogatás</t>
  </si>
  <si>
    <t xml:space="preserve">    1.1.5. közutak  támogatása  (km)</t>
  </si>
  <si>
    <t xml:space="preserve"> - Zalaegerszeg nyugati vízbázisról ellátott települések ivóvízminőségének javítása KEHOP projekt</t>
  </si>
  <si>
    <t>Egyéb közhatalmi bevételek (talajterhelési díj, közterület használati díj, különféle bírságok)</t>
  </si>
  <si>
    <t xml:space="preserve"> - Zeg. Felsőfokú Oktatásáért Közalapítvány támogatása</t>
  </si>
  <si>
    <t>Sportfeladatok</t>
  </si>
  <si>
    <t>TÓ-KA étterem mellett járdatervezés</t>
  </si>
  <si>
    <t>Sütő utca 3. bontás</t>
  </si>
  <si>
    <t>Vásártér bontás</t>
  </si>
  <si>
    <t>Köztársaság u. 74-80. tömbbelső tervezés</t>
  </si>
  <si>
    <t>Falumúzeum utca terv</t>
  </si>
  <si>
    <t>Technoroll melletti út felújítása</t>
  </si>
  <si>
    <t>Ady u.15. alatti hivatali épületben klímaberendezés telepítése</t>
  </si>
  <si>
    <t>Tomori Pál emléktábla</t>
  </si>
  <si>
    <t>Mező utca II. ütem terv</t>
  </si>
  <si>
    <t>Egészségügyi létesítmények karbantartása és felújítása</t>
  </si>
  <si>
    <t>Gasparich utca tömbbelső II. ütem terv</t>
  </si>
  <si>
    <t>1.a./1.</t>
  </si>
  <si>
    <t>4.a/1.</t>
  </si>
  <si>
    <t>4.a/10.</t>
  </si>
  <si>
    <t>4.a/2.</t>
  </si>
  <si>
    <t>4.a/3.</t>
  </si>
  <si>
    <t>4.a/4.</t>
  </si>
  <si>
    <t>4.a/5.</t>
  </si>
  <si>
    <t>4.a/6.</t>
  </si>
  <si>
    <t>4.a/7.</t>
  </si>
  <si>
    <t>4.a/8.</t>
  </si>
  <si>
    <t>4.a/9.</t>
  </si>
  <si>
    <t>5.a/2</t>
  </si>
  <si>
    <t>9.a/1.</t>
  </si>
  <si>
    <t>9.a/2.</t>
  </si>
  <si>
    <t>9.a/3.</t>
  </si>
  <si>
    <t>9.a/4.</t>
  </si>
  <si>
    <t>6.a/1.</t>
  </si>
  <si>
    <t>6.a/2.</t>
  </si>
  <si>
    <t>6.a/3.</t>
  </si>
  <si>
    <t>6.a/4.</t>
  </si>
  <si>
    <t>10./1a/1</t>
  </si>
  <si>
    <t>10./1a/2</t>
  </si>
  <si>
    <t>10./1a/3</t>
  </si>
  <si>
    <t>10./1a/4</t>
  </si>
  <si>
    <t>10./1a/5</t>
  </si>
  <si>
    <t>10./1a/6</t>
  </si>
  <si>
    <t>10./1a/7</t>
  </si>
  <si>
    <t>10./1a/8</t>
  </si>
  <si>
    <t>10./1a/9</t>
  </si>
  <si>
    <t>10./1a/10</t>
  </si>
  <si>
    <t>10./1a/11</t>
  </si>
  <si>
    <t>10./1a/12</t>
  </si>
  <si>
    <t>10./1a/13</t>
  </si>
  <si>
    <t>10./1a/14</t>
  </si>
  <si>
    <t>10./1a/15</t>
  </si>
  <si>
    <t>10./1a/16</t>
  </si>
  <si>
    <t>10./1a/17</t>
  </si>
  <si>
    <t>10./1a/18</t>
  </si>
  <si>
    <t>10./1a/19</t>
  </si>
  <si>
    <t>10./3a./1.</t>
  </si>
  <si>
    <t>10./3a./2.</t>
  </si>
  <si>
    <t>10./4.a/3</t>
  </si>
  <si>
    <t>10./4.a/4</t>
  </si>
  <si>
    <t>10./4.a/5</t>
  </si>
  <si>
    <t>10./4.a/6</t>
  </si>
  <si>
    <t>10./4.a/7</t>
  </si>
  <si>
    <t>10./5.</t>
  </si>
  <si>
    <t>10./5/1</t>
  </si>
  <si>
    <t>10./5a/1</t>
  </si>
  <si>
    <t>10./5a/2</t>
  </si>
  <si>
    <t>10./5a/3</t>
  </si>
  <si>
    <t xml:space="preserve"> - Lakásalap kiadásai</t>
  </si>
  <si>
    <t>2./1.</t>
  </si>
  <si>
    <t>1a/1</t>
  </si>
  <si>
    <t>1a/2</t>
  </si>
  <si>
    <t>Szilágyi Erzsébet utca csapadékcsatorna rekonstrukció</t>
  </si>
  <si>
    <t>Mikes Óvoda kerítés felújítás</t>
  </si>
  <si>
    <t>4./1</t>
  </si>
  <si>
    <t>4./2</t>
  </si>
  <si>
    <t>4./3</t>
  </si>
  <si>
    <t>4./4</t>
  </si>
  <si>
    <t>4./5</t>
  </si>
  <si>
    <t>4./6</t>
  </si>
  <si>
    <t>9./1</t>
  </si>
  <si>
    <t>9./2</t>
  </si>
  <si>
    <t>9./3</t>
  </si>
  <si>
    <t>4./7</t>
  </si>
  <si>
    <t>KKVP nem támogatott munkák</t>
  </si>
  <si>
    <t>9.a/1</t>
  </si>
  <si>
    <t>9.a/2</t>
  </si>
  <si>
    <t>9.a/3</t>
  </si>
  <si>
    <t>9.a/4</t>
  </si>
  <si>
    <t>9.a/5</t>
  </si>
  <si>
    <t>9.a/6</t>
  </si>
  <si>
    <t>9.a/7</t>
  </si>
  <si>
    <t>9.a/8</t>
  </si>
  <si>
    <t>9.a/9</t>
  </si>
  <si>
    <t>9.a/10</t>
  </si>
  <si>
    <t>9.a/11</t>
  </si>
  <si>
    <t>9.a/12</t>
  </si>
  <si>
    <t>9.a/13</t>
  </si>
  <si>
    <t>9.a/14</t>
  </si>
  <si>
    <t>9.a/15</t>
  </si>
  <si>
    <t>9.a/16</t>
  </si>
  <si>
    <t>9.a/17</t>
  </si>
  <si>
    <t>9.a/18</t>
  </si>
  <si>
    <t>9.a/19</t>
  </si>
  <si>
    <t>Ingatlanértékesítéssel kapcsolatos kiadások a Városfejlesztő  Zrt. Lebonyolításában</t>
  </si>
  <si>
    <t xml:space="preserve"> - ingatlanértékesítés</t>
  </si>
  <si>
    <t xml:space="preserve"> - ingatlanértékesítés Városfejlesztő Zrt. bonyolításában</t>
  </si>
  <si>
    <t xml:space="preserve">költségvetési </t>
  </si>
  <si>
    <t>költségvetési</t>
  </si>
  <si>
    <t>8.) Forgatási célú értékpapír beváltás projektekhez kapcsolódóan</t>
  </si>
  <si>
    <t>9.) Forgatási célú értékpapír beváltás</t>
  </si>
  <si>
    <t xml:space="preserve"> - otthontámogatás</t>
  </si>
  <si>
    <t>Magasépítési feladatok</t>
  </si>
  <si>
    <t>2.a/2</t>
  </si>
  <si>
    <t>Út, járda, parkoló beruházások</t>
  </si>
  <si>
    <t xml:space="preserve">Út,  járda, parkoló </t>
  </si>
  <si>
    <t xml:space="preserve">  - ZMJV Vásárcsarnok Gazdálkodási Szervezet és Göcseji Tudásközpont - Helyi Termék piac költségvetési szervek megszüntetésével kapcsolatos feladatok</t>
  </si>
  <si>
    <t>2025. évi tény adat</t>
  </si>
  <si>
    <t>2026. évi módosítás</t>
  </si>
  <si>
    <t>2026. évi módosított előirányzat</t>
  </si>
  <si>
    <t>Módosítás         összege</t>
  </si>
  <si>
    <t>2026. eredeti előirányzat</t>
  </si>
  <si>
    <t>2026. módosított előirányzat</t>
  </si>
  <si>
    <t>változás az I. névben</t>
  </si>
  <si>
    <t>Módosítás összege</t>
  </si>
  <si>
    <t>2.3.2 Szociális ágazati összevont pótlék és egészségügyi kiegészítő pótlék</t>
  </si>
  <si>
    <t>2.4.1 Vármegyei hatókörű városi múzeumok feladatainak támogatása</t>
  </si>
  <si>
    <t>2.4.2 Vármegyei hatókörű városi könyvtárak feladatainak támogatása</t>
  </si>
  <si>
    <t xml:space="preserve">2.4.6 Települési önkormányzatok kulturális feladatainak bérjellegű támogatása </t>
  </si>
  <si>
    <t>2.4.8. Zalaegerszegi Mindszentyneum működtetési támogatása</t>
  </si>
  <si>
    <t>1.1.6. Egyéb önkormányzati feladatok támogatása</t>
  </si>
  <si>
    <t xml:space="preserve">1.2.1. Óvodaműködtetési támogatás </t>
  </si>
  <si>
    <t>1.2.2. Az óvodában foglalkoztatott pedagógusok átlagbéralapú támogatása</t>
  </si>
  <si>
    <t>1.2.5. Az óvodában foglalkoztatott pedagógusok nevelőmunkáját közvetlenül segítők átlagbéralapú támogatása</t>
  </si>
  <si>
    <t>1.3.2.2. Család- és gyermekjóléti központ ( járáshoz tartozó összes településre)</t>
  </si>
  <si>
    <t>1.3.2.3 Szociális étkeztetés - társulás által történő feladatellátás</t>
  </si>
  <si>
    <t>1.3.2.6. Időskorúak nappali intézményi  ellátása társulás által történő feladatellátás</t>
  </si>
  <si>
    <t>1.3.2.8. Demens személyek nappali intézményi ellátása - társulás által történő feladatellátás</t>
  </si>
  <si>
    <t>1.3.2.9. Pszichiátriai betegek nappali intézményi ellátása - társulás által történő feladatellátás</t>
  </si>
  <si>
    <t>1.3.2.10. Szenvedélybetegek nappali intézményi ellátása - társulás által történő feladatellátás</t>
  </si>
  <si>
    <t>1.3.3. Bölcsődei bértámogatás</t>
  </si>
  <si>
    <t>Településrészi Önkormányzatok</t>
  </si>
  <si>
    <t xml:space="preserve"> - Zalaegerszegi Sport és Tanuszoda műk.  támogatása a Honvédelmi Minisztériumtól</t>
  </si>
  <si>
    <t>TOP_PLUSZ-6.2.1-ZL1-2025-00002 Új üzemcsarnok építése</t>
  </si>
  <si>
    <t xml:space="preserve"> - ZMJV Vásárcsarnok Gazdálkodási Szervezet és Göcseji Tudásközpont - Helyi Termék piac költségvetési szervek megszüntetésével kapcsolatos feladatok</t>
  </si>
  <si>
    <t xml:space="preserve"> - VG. Kft. park- és zöldfelület fenntartási  szerződéses munkák</t>
  </si>
  <si>
    <t xml:space="preserve"> - VG. Kft. kommunális szerződéses munkák és nyilvános illemhely üzemeltetése</t>
  </si>
  <si>
    <t xml:space="preserve"> - út- és közműépítési feladatokhoz kapcsolódó kiadások</t>
  </si>
  <si>
    <t>10./1./1</t>
  </si>
  <si>
    <t>Címszám</t>
  </si>
  <si>
    <t>Alcímszám</t>
  </si>
  <si>
    <t>B311</t>
  </si>
  <si>
    <t>Magánszemélyek jövedelemadói</t>
  </si>
  <si>
    <t>B24</t>
  </si>
  <si>
    <t>Felhalmozási célú visszatérítendő támogatások, kölcsönök visszatérülése államháztartáson belülről</t>
  </si>
  <si>
    <t>B15</t>
  </si>
  <si>
    <t>Működési célú visszatérítendő támogatások, kölcsönök igénybevétele államháztartáson belülről</t>
  </si>
  <si>
    <t>módosítás I</t>
  </si>
  <si>
    <t>módosítás II</t>
  </si>
  <si>
    <t>módosítás III</t>
  </si>
  <si>
    <t>módosítás IV</t>
  </si>
  <si>
    <t>módosítás V</t>
  </si>
  <si>
    <t>17194*</t>
  </si>
  <si>
    <t>Módosítás hatáskör szerint</t>
  </si>
  <si>
    <t>költségvetési bevételek</t>
  </si>
  <si>
    <t>költségvetési kiadások</t>
  </si>
  <si>
    <t>költségvetési hiány</t>
  </si>
  <si>
    <t>Versenyképes Járások Program - Zalaegerszegi Gondozási Központ Idősek Otthona felújítása, férőhelybővítésének előkészítése</t>
  </si>
  <si>
    <t>Versenyképes Járások Program - Vásárcsarnok infrastrukturális fejlesztése: komfort hűtés kialakítása és polikarbonát fedés cseréje</t>
  </si>
  <si>
    <t>KÖFÁT/14759-2/2026 TÁMOFO Zalaegerszeg közlekedésfejlesztés és parkoló kialakítás megvalósítása</t>
  </si>
  <si>
    <t>Zalakerámia Sport- és Rendezvénycsarnok felújítási munkálatainak támogatása</t>
  </si>
  <si>
    <t>10/3./1</t>
  </si>
  <si>
    <t>10/3./2</t>
  </si>
  <si>
    <t>10/4./1</t>
  </si>
  <si>
    <t>10/4./2</t>
  </si>
  <si>
    <t xml:space="preserve"> - ELENA projekt</t>
  </si>
  <si>
    <t xml:space="preserve"> - lakásalap bevétele</t>
  </si>
  <si>
    <t xml:space="preserve"> - intézményi elvonás maradvány terhére</t>
  </si>
  <si>
    <t xml:space="preserve"> - Nyugdíjas Otthonházi adomány</t>
  </si>
  <si>
    <t>Zalaegerszegi  Adományközpont Alapítvány támogatása - visszafizetés</t>
  </si>
  <si>
    <t xml:space="preserve"> - Albatrosz International Dance Cup</t>
  </si>
  <si>
    <t>9./4</t>
  </si>
  <si>
    <t>9./5</t>
  </si>
  <si>
    <t>Boksz terem nyílászárócsere</t>
  </si>
  <si>
    <t>Göcseji  Falumúzeum, Malom híd rekonstrukciója</t>
  </si>
  <si>
    <t>Roxy teleklubban tekepálya felújítása</t>
  </si>
  <si>
    <t xml:space="preserve"> - Zalaegerszegi Piac Nonprofit Kft. működési támogatása</t>
  </si>
  <si>
    <t>változás az II. névben</t>
  </si>
  <si>
    <t>Kiegészítő szociális pótlék 427/2025.(XII.23.) Korm. rendelet alapján</t>
  </si>
  <si>
    <t>2025. évi egyszeri kiegészítő tanárbér 36/2026. (III.5.) Korm. rendelet alapján</t>
  </si>
  <si>
    <t>I. névi módosítás</t>
  </si>
  <si>
    <t>II. névi módosítás</t>
  </si>
  <si>
    <t>9./6</t>
  </si>
  <si>
    <t>ZTE Stadion ponyva pótlás</t>
  </si>
  <si>
    <t xml:space="preserve">ZTE Stadion ponyva pótlás </t>
  </si>
  <si>
    <t>B811</t>
  </si>
  <si>
    <t>Hitel-, kölcsönfelvétel államháztartáson kívülről</t>
  </si>
  <si>
    <t xml:space="preserve"> - folyószámlahitel igénybevétele</t>
  </si>
  <si>
    <t>051050 Veszélyes hulladék begyűjtése, szállítása, átrakása</t>
  </si>
  <si>
    <t xml:space="preserve"> - Azbesztmentesítéshez kapcsolódó feladatok</t>
  </si>
  <si>
    <t>2026. évi kötelezettség</t>
  </si>
  <si>
    <t>2027. évi kötelezettség</t>
  </si>
  <si>
    <t>2028. évi kötelezettség</t>
  </si>
  <si>
    <t>2029. évi kötelezettség</t>
  </si>
  <si>
    <t>Megjegyzés</t>
  </si>
  <si>
    <t>I. Hitelek törlesztése és kamatai</t>
  </si>
  <si>
    <t>részletesen a 11. mellékletben</t>
  </si>
  <si>
    <t>II. Támogatási és egyéb megállapodások</t>
  </si>
  <si>
    <t>ZTE Football Club Zrt.</t>
  </si>
  <si>
    <t xml:space="preserve">megállapodás szerint 2034-ig </t>
  </si>
  <si>
    <t>III. Készfizető kezességvállalások</t>
  </si>
  <si>
    <t>Észak-zalai Víz- és Csatornamű Zrt. (fejlesztési célú hitelfelvétel)</t>
  </si>
  <si>
    <t>ZMJVK 45/2019.(III.07.) kgy.határozat  15 éves futamidő</t>
  </si>
  <si>
    <t>IV. Garanciavállalás</t>
  </si>
  <si>
    <t>Zalavíz Zrt. (zártvégű pénzügyi lízing  gépre, berendezésre)</t>
  </si>
  <si>
    <t>garanciavállalás 50.735 E Ft-ra, 2030.06.20.napjáig</t>
  </si>
  <si>
    <t>Zalavíz Zrt. (kezességvállalási megállapodás készfizető kezességre)</t>
  </si>
  <si>
    <t>hitelszerződés garanciakibocsátásra  keret 300.000 E Ft-ra 2030.12.31-ig</t>
  </si>
  <si>
    <t>V. Halasztott fizetési, részletfizetési kötelezettség</t>
  </si>
  <si>
    <t>MÁV Személyszállítási Zrt. (veszteségfinanszírozás átütemezése)</t>
  </si>
  <si>
    <t>ZMJVÖNK 87/2026.(VI.18.) határozat</t>
  </si>
  <si>
    <t>Összes kötelezettség:</t>
  </si>
  <si>
    <t>módosítás július</t>
  </si>
  <si>
    <t>júliusi módosítás</t>
  </si>
  <si>
    <t>2.1.5 Önkormányzati elszámolások</t>
  </si>
  <si>
    <t>változás júliusban</t>
  </si>
  <si>
    <t xml:space="preserve">  - Bogáncs Zalaegerszegi Állatvédő Egyesület részére működési támogatás nyújtása</t>
  </si>
  <si>
    <t xml:space="preserve"> - Bársonytalp a Cicákért Zala Egyesület részére működési támogatás nyújtása</t>
  </si>
  <si>
    <t xml:space="preserve"> - közművesítési hozzájárulás</t>
  </si>
  <si>
    <t>151611</t>
  </si>
  <si>
    <t>pm</t>
  </si>
  <si>
    <t>kgy, pm</t>
  </si>
  <si>
    <t>kgy</t>
  </si>
  <si>
    <t>6.) Hitelfelvétel</t>
  </si>
  <si>
    <t>6.) Hitel- és kölcsöntörlesztések</t>
  </si>
  <si>
    <t xml:space="preserve"> - egyéb város- és községgazdálkodás</t>
  </si>
  <si>
    <t>Hitelező</t>
  </si>
  <si>
    <t>Lejárat éve</t>
  </si>
  <si>
    <t>Hitelek állománya  2025. XII. 31-én</t>
  </si>
  <si>
    <t>2026. évi adósságszolgálat</t>
  </si>
  <si>
    <t>2027. évi adósságszolgálat</t>
  </si>
  <si>
    <t>2028. évi adósságszolgálat</t>
  </si>
  <si>
    <t>Tőketörlesz- tés</t>
  </si>
  <si>
    <t>Kamat és egyéb ktg.</t>
  </si>
  <si>
    <t>Tőketörlesztés</t>
  </si>
  <si>
    <t>Zalaegerszeg  belváros közlekedési rendszerének  komplett átalakítása</t>
  </si>
  <si>
    <t>OTP</t>
  </si>
  <si>
    <t>2038.</t>
  </si>
  <si>
    <t>Zalaegerszegi Járműipari Tesztpályához szükséges területvásárláshoz</t>
  </si>
  <si>
    <t>2036.</t>
  </si>
  <si>
    <t>TOP program keretében megvalósuló projektek nem támogatott munkarészei, többletfeladatai</t>
  </si>
  <si>
    <t>2029.</t>
  </si>
  <si>
    <t>Vizslaparki u. 48. szám alatti ingatlan pályázati forrásból történő felújítása</t>
  </si>
  <si>
    <t>2027.</t>
  </si>
  <si>
    <t>TOP és egyéb uniós projektek keretében megvalósuló projektek nem támogatott munkarészei, többletfeladatai</t>
  </si>
  <si>
    <t>2031.</t>
  </si>
  <si>
    <t>Hitelek összesen:</t>
  </si>
  <si>
    <t>Folyószámla hitelkeret, éven belüli lejárattal</t>
  </si>
  <si>
    <t>2026.</t>
  </si>
  <si>
    <t>Halasztott fizetés, részletfizetés fizetési kötelezettsége</t>
  </si>
  <si>
    <t>2028.</t>
  </si>
  <si>
    <t>Későbbi évek adósságszolgálata</t>
  </si>
  <si>
    <t>Szerződés összege</t>
  </si>
  <si>
    <t>MÁV</t>
  </si>
  <si>
    <t>Állami támogatások  évközi elszámolása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</si>
</sst>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43" formatCode="_-* #,##0.00_-;\-* #,##0.00_-;_-* &quot;-&quot;??_-;_-@_-"/>
    <numFmt numFmtId="164" formatCode="_-* #,##0.00\ _F_t_-;\-* #,##0.00\ _F_t_-;_-* &quot;-&quot;??\ _F_t_-;_-@_-"/>
    <numFmt numFmtId="165" formatCode="#,##0.0"/>
    <numFmt numFmtId="166" formatCode="_-* #,##0\ _F_t_-;\-* #,##0\ _F_t_-;_-* &quot;-&quot;??\ _F_t_-;_-@_-"/>
    <numFmt numFmtId="167" formatCode="#,##0_ ;\-#,##0\ "/>
    <numFmt numFmtId="168" formatCode="_-* #,##0.00\ _F_t_-;\-* #,##0.00\ _F_t_-;_-* \-??\ _F_t_-;_-@_-"/>
    <numFmt numFmtId="169" formatCode="#,##0.000"/>
    <numFmt numFmtId="170" formatCode="_-* #,##0.00_-;\-* #,##0.00_-;_-* \-??_-;_-@_-"/>
  </numFmts>
  <fonts count="88" x14ac:knownFonts="1">
    <font>
      <sz val="10"/>
      <name val="Times New Roman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i/>
      <sz val="10"/>
      <name val="Times New Roman CE"/>
      <charset val="238"/>
    </font>
    <font>
      <sz val="10"/>
      <name val="Times New Roman CE"/>
      <charset val="238"/>
    </font>
    <font>
      <sz val="10"/>
      <name val="Arial CE"/>
      <charset val="238"/>
    </font>
    <font>
      <sz val="10"/>
      <name val="MS Sans Serif"/>
      <family val="2"/>
      <charset val="238"/>
    </font>
    <font>
      <sz val="9"/>
      <name val="Arial CE"/>
      <family val="2"/>
      <charset val="238"/>
    </font>
    <font>
      <b/>
      <i/>
      <sz val="9"/>
      <name val="Arial CE"/>
      <family val="2"/>
      <charset val="238"/>
    </font>
    <font>
      <sz val="10"/>
      <name val="Times New Roman"/>
      <family val="1"/>
      <charset val="238"/>
    </font>
    <font>
      <b/>
      <i/>
      <sz val="10"/>
      <name val="Times New Roman"/>
      <family val="1"/>
      <charset val="238"/>
    </font>
    <font>
      <b/>
      <i/>
      <sz val="9"/>
      <name val="Times New Roman"/>
      <family val="1"/>
      <charset val="238"/>
    </font>
    <font>
      <sz val="9"/>
      <name val="Times New Roman"/>
      <family val="1"/>
      <charset val="238"/>
    </font>
    <font>
      <b/>
      <sz val="9"/>
      <name val="Times New Roman"/>
      <family val="1"/>
      <charset val="238"/>
    </font>
    <font>
      <b/>
      <i/>
      <sz val="8"/>
      <name val="Times New Roman"/>
      <family val="1"/>
      <charset val="238"/>
    </font>
    <font>
      <sz val="9"/>
      <name val="MS Sans Serif"/>
      <family val="2"/>
      <charset val="238"/>
    </font>
    <font>
      <i/>
      <sz val="9"/>
      <name val="Arial CE"/>
      <family val="2"/>
      <charset val="238"/>
    </font>
    <font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10"/>
      <color indexed="9"/>
      <name val="Tahoma"/>
      <family val="2"/>
      <charset val="238"/>
    </font>
    <font>
      <b/>
      <sz val="10"/>
      <color indexed="9"/>
      <name val="Tahoma"/>
      <family val="2"/>
      <charset val="238"/>
    </font>
    <font>
      <sz val="10"/>
      <name val="Arial"/>
      <family val="2"/>
      <charset val="238"/>
    </font>
    <font>
      <sz val="10"/>
      <color indexed="17"/>
      <name val="Tahoma"/>
      <family val="2"/>
      <charset val="238"/>
    </font>
    <font>
      <i/>
      <sz val="10"/>
      <color indexed="23"/>
      <name val="Tahoma"/>
      <family val="2"/>
      <charset val="238"/>
    </font>
    <font>
      <sz val="10"/>
      <color indexed="20"/>
      <name val="Tahoma"/>
      <family val="2"/>
      <charset val="238"/>
    </font>
    <font>
      <sz val="10"/>
      <color indexed="60"/>
      <name val="Tahoma"/>
      <family val="2"/>
      <charset val="238"/>
    </font>
    <font>
      <b/>
      <sz val="10"/>
      <color indexed="52"/>
      <name val="Tahoma"/>
      <family val="2"/>
      <charset val="238"/>
    </font>
    <font>
      <sz val="10"/>
      <name val="Times New Roman CE"/>
      <family val="1"/>
      <charset val="238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 CE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i/>
      <sz val="9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i/>
      <sz val="10"/>
      <name val="MS Sans Serif"/>
      <family val="2"/>
      <charset val="238"/>
    </font>
    <font>
      <sz val="9"/>
      <color rgb="FFFF0000"/>
      <name val="Times New Roman"/>
      <family val="1"/>
      <charset val="238"/>
    </font>
    <font>
      <sz val="10"/>
      <name val="Arial"/>
      <family val="2"/>
    </font>
    <font>
      <b/>
      <i/>
      <sz val="9"/>
      <color rgb="FFFF0000"/>
      <name val="Times New Roman"/>
      <family val="1"/>
      <charset val="238"/>
    </font>
    <font>
      <sz val="9"/>
      <color indexed="10"/>
      <name val="Arial CE"/>
      <family val="2"/>
      <charset val="238"/>
    </font>
    <font>
      <strike/>
      <sz val="9"/>
      <name val="Times New Roman"/>
      <family val="1"/>
      <charset val="238"/>
    </font>
    <font>
      <sz val="8"/>
      <name val="Times New Roman CE"/>
      <charset val="238"/>
    </font>
    <font>
      <sz val="10"/>
      <color rgb="FFFF0000"/>
      <name val="MS Sans Serif"/>
      <family val="2"/>
      <charset val="238"/>
    </font>
    <font>
      <sz val="11"/>
      <color theme="1"/>
      <name val="Calibri"/>
      <family val="2"/>
      <scheme val="minor"/>
    </font>
    <font>
      <vertAlign val="superscript"/>
      <sz val="9"/>
      <name val="Times New Roman"/>
      <family val="1"/>
      <charset val="238"/>
    </font>
    <font>
      <sz val="9"/>
      <color rgb="FF0070C0"/>
      <name val="Times New Roman"/>
      <family val="1"/>
      <charset val="238"/>
    </font>
    <font>
      <sz val="10"/>
      <color rgb="FF0070C0"/>
      <name val="Times New Roman"/>
      <family val="1"/>
      <charset val="238"/>
    </font>
    <font>
      <sz val="9"/>
      <name val="Times New Roman CE"/>
      <charset val="238"/>
    </font>
    <font>
      <sz val="9"/>
      <name val="Times New Roman"/>
      <family val="1"/>
    </font>
    <font>
      <b/>
      <i/>
      <sz val="10"/>
      <color rgb="FFFF0000"/>
      <name val="Times New Roman"/>
      <family val="1"/>
      <charset val="238"/>
    </font>
    <font>
      <i/>
      <sz val="10"/>
      <name val="Times New Roman"/>
      <family val="1"/>
      <charset val="238"/>
    </font>
    <font>
      <i/>
      <sz val="8"/>
      <name val="Segoe UI Light"/>
      <family val="2"/>
      <charset val="238"/>
    </font>
    <font>
      <b/>
      <i/>
      <sz val="8"/>
      <name val="Arial CE"/>
      <family val="2"/>
      <charset val="238"/>
    </font>
    <font>
      <i/>
      <sz val="8"/>
      <name val="Arial CE"/>
      <family val="2"/>
      <charset val="238"/>
    </font>
    <font>
      <i/>
      <sz val="8"/>
      <name val="Times New Roman"/>
      <family val="1"/>
      <charset val="238"/>
    </font>
    <font>
      <b/>
      <sz val="9"/>
      <color rgb="FFFF0000"/>
      <name val="Times New Roman"/>
      <family val="1"/>
      <charset val="238"/>
    </font>
    <font>
      <sz val="10"/>
      <color indexed="10"/>
      <name val="Arial"/>
      <family val="2"/>
      <charset val="238"/>
    </font>
    <font>
      <b/>
      <i/>
      <sz val="10"/>
      <name val="Arial CE"/>
      <family val="2"/>
      <charset val="238"/>
    </font>
  </fonts>
  <fills count="57">
    <fill>
      <patternFill patternType="none"/>
    </fill>
    <fill>
      <patternFill patternType="gray125"/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1"/>
      </patternFill>
    </fill>
    <fill>
      <patternFill patternType="solid">
        <fgColor indexed="31"/>
        <bgColor indexed="22"/>
      </patternFill>
    </fill>
    <fill>
      <patternFill patternType="solid">
        <fgColor indexed="45"/>
      </patternFill>
    </fill>
    <fill>
      <patternFill patternType="solid">
        <fgColor indexed="45"/>
        <bgColor indexed="29"/>
      </patternFill>
    </fill>
    <fill>
      <patternFill patternType="solid">
        <fgColor indexed="42"/>
      </patternFill>
    </fill>
    <fill>
      <patternFill patternType="solid">
        <fgColor indexed="42"/>
        <bgColor indexed="27"/>
      </patternFill>
    </fill>
    <fill>
      <patternFill patternType="solid">
        <fgColor indexed="46"/>
      </patternFill>
    </fill>
    <fill>
      <patternFill patternType="solid">
        <fgColor indexed="46"/>
        <bgColor indexed="45"/>
      </patternFill>
    </fill>
    <fill>
      <patternFill patternType="solid">
        <fgColor indexed="27"/>
      </patternFill>
    </fill>
    <fill>
      <patternFill patternType="solid">
        <fgColor indexed="27"/>
        <bgColor indexed="42"/>
      </patternFill>
    </fill>
    <fill>
      <patternFill patternType="solid">
        <fgColor indexed="47"/>
      </patternFill>
    </fill>
    <fill>
      <patternFill patternType="solid">
        <fgColor indexed="47"/>
        <bgColor indexed="54"/>
      </patternFill>
    </fill>
    <fill>
      <patternFill patternType="solid">
        <fgColor indexed="55"/>
      </patternFill>
    </fill>
    <fill>
      <patternFill patternType="solid">
        <fgColor indexed="51"/>
      </patternFill>
    </fill>
    <fill>
      <patternFill patternType="solid">
        <fgColor indexed="44"/>
      </patternFill>
    </fill>
    <fill>
      <patternFill patternType="solid">
        <fgColor indexed="44"/>
        <bgColor indexed="31"/>
      </patternFill>
    </fill>
    <fill>
      <patternFill patternType="solid">
        <fgColor indexed="29"/>
      </patternFill>
    </fill>
    <fill>
      <patternFill patternType="solid">
        <fgColor indexed="29"/>
        <bgColor indexed="50"/>
      </patternFill>
    </fill>
    <fill>
      <patternFill patternType="solid">
        <fgColor indexed="11"/>
      </patternFill>
    </fill>
    <fill>
      <patternFill patternType="solid">
        <fgColor indexed="11"/>
        <bgColor indexed="35"/>
      </patternFill>
    </fill>
    <fill>
      <patternFill patternType="solid">
        <fgColor indexed="51"/>
        <bgColor indexed="13"/>
      </patternFill>
    </fill>
    <fill>
      <patternFill patternType="solid">
        <fgColor indexed="62"/>
      </patternFill>
    </fill>
    <fill>
      <patternFill patternType="solid">
        <fgColor indexed="57"/>
      </patternFill>
    </fill>
    <fill>
      <patternFill patternType="solid">
        <fgColor indexed="30"/>
      </patternFill>
    </fill>
    <fill>
      <patternFill patternType="solid">
        <fgColor indexed="30"/>
        <bgColor indexed="21"/>
      </patternFill>
    </fill>
    <fill>
      <patternFill patternType="solid">
        <fgColor indexed="36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</patternFill>
    </fill>
    <fill>
      <patternFill patternType="solid">
        <fgColor indexed="52"/>
        <bgColor indexed="19"/>
      </patternFill>
    </fill>
    <fill>
      <patternFill patternType="solid">
        <fgColor indexed="10"/>
      </patternFill>
    </fill>
    <fill>
      <patternFill patternType="solid">
        <fgColor indexed="22"/>
      </patternFill>
    </fill>
    <fill>
      <patternFill patternType="solid">
        <fgColor indexed="55"/>
        <bgColor indexed="23"/>
      </patternFill>
    </fill>
    <fill>
      <patternFill patternType="solid">
        <fgColor indexed="26"/>
      </patternFill>
    </fill>
    <fill>
      <patternFill patternType="solid">
        <fgColor indexed="26"/>
        <bgColor indexed="9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25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19"/>
      </patternFill>
    </fill>
    <fill>
      <patternFill patternType="solid">
        <fgColor indexed="22"/>
        <bgColor indexed="31"/>
      </patternFill>
    </fill>
    <fill>
      <patternFill patternType="solid">
        <fgColor indexed="43"/>
      </patternFill>
    </fill>
    <fill>
      <patternFill patternType="solid">
        <fgColor indexed="43"/>
        <bgColor indexed="26"/>
      </patternFill>
    </fill>
    <fill>
      <patternFill patternType="solid">
        <fgColor indexed="42"/>
        <bgColor indexed="64"/>
      </patternFill>
    </fill>
    <fill>
      <patternFill patternType="solid">
        <fgColor indexed="42"/>
        <bgColor indexed="8"/>
      </patternFill>
    </fill>
    <fill>
      <patternFill patternType="solid">
        <fgColor indexed="9"/>
        <bgColor indexed="26"/>
      </patternFill>
    </fill>
    <fill>
      <patternFill patternType="solid">
        <fgColor rgb="FFCCFFCC"/>
        <bgColor indexed="64"/>
      </patternFill>
    </fill>
    <fill>
      <patternFill patternType="solid">
        <fgColor rgb="FFCCFFCC"/>
        <bgColor indexed="27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8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n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n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n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47">
    <xf numFmtId="0" fontId="0" fillId="0" borderId="0"/>
    <xf numFmtId="0" fontId="48" fillId="2" borderId="0" applyNumberFormat="0" applyBorder="0" applyAlignment="0" applyProtection="0"/>
    <xf numFmtId="0" fontId="48" fillId="3" borderId="0" applyNumberFormat="0" applyBorder="0" applyAlignment="0" applyProtection="0"/>
    <xf numFmtId="0" fontId="47" fillId="5" borderId="0" applyNumberFormat="0" applyBorder="0" applyAlignment="0" applyProtection="0"/>
    <xf numFmtId="0" fontId="47" fillId="7" borderId="0" applyNumberFormat="0" applyBorder="0" applyAlignment="0" applyProtection="0"/>
    <xf numFmtId="0" fontId="47" fillId="9" borderId="0" applyNumberFormat="0" applyBorder="0" applyAlignment="0" applyProtection="0"/>
    <xf numFmtId="0" fontId="47" fillId="11" borderId="0" applyNumberFormat="0" applyBorder="0" applyAlignment="0" applyProtection="0"/>
    <xf numFmtId="0" fontId="47" fillId="13" borderId="0" applyNumberFormat="0" applyBorder="0" applyAlignment="0" applyProtection="0"/>
    <xf numFmtId="0" fontId="47" fillId="15" borderId="0" applyNumberFormat="0" applyBorder="0" applyAlignment="0" applyProtection="0"/>
    <xf numFmtId="0" fontId="35" fillId="4" borderId="0" applyNumberFormat="0" applyBorder="0" applyAlignment="0" applyProtection="0"/>
    <xf numFmtId="0" fontId="35" fillId="6" borderId="0" applyNumberFormat="0" applyBorder="0" applyAlignment="0" applyProtection="0"/>
    <xf numFmtId="0" fontId="35" fillId="8" borderId="0" applyNumberFormat="0" applyBorder="0" applyAlignment="0" applyProtection="0"/>
    <xf numFmtId="0" fontId="35" fillId="10" borderId="0" applyNumberFormat="0" applyBorder="0" applyAlignment="0" applyProtection="0"/>
    <xf numFmtId="0" fontId="35" fillId="12" borderId="0" applyNumberFormat="0" applyBorder="0" applyAlignment="0" applyProtection="0"/>
    <xf numFmtId="0" fontId="35" fillId="14" borderId="0" applyNumberFormat="0" applyBorder="0" applyAlignment="0" applyProtection="0"/>
    <xf numFmtId="0" fontId="48" fillId="16" borderId="0" applyNumberFormat="0" applyBorder="0" applyAlignment="0" applyProtection="0"/>
    <xf numFmtId="0" fontId="48" fillId="17" borderId="0" applyNumberFormat="0" applyBorder="0" applyAlignment="0" applyProtection="0"/>
    <xf numFmtId="0" fontId="47" fillId="19" borderId="0" applyNumberFormat="0" applyBorder="0" applyAlignment="0" applyProtection="0"/>
    <xf numFmtId="0" fontId="47" fillId="21" borderId="0" applyNumberFormat="0" applyBorder="0" applyAlignment="0" applyProtection="0"/>
    <xf numFmtId="0" fontId="47" fillId="23" borderId="0" applyNumberFormat="0" applyBorder="0" applyAlignment="0" applyProtection="0"/>
    <xf numFmtId="0" fontId="47" fillId="11" borderId="0" applyNumberFormat="0" applyBorder="0" applyAlignment="0" applyProtection="0"/>
    <xf numFmtId="0" fontId="47" fillId="19" borderId="0" applyNumberFormat="0" applyBorder="0" applyAlignment="0" applyProtection="0"/>
    <xf numFmtId="0" fontId="47" fillId="24" borderId="0" applyNumberFormat="0" applyBorder="0" applyAlignment="0" applyProtection="0"/>
    <xf numFmtId="0" fontId="35" fillId="18" borderId="0" applyNumberFormat="0" applyBorder="0" applyAlignment="0" applyProtection="0"/>
    <xf numFmtId="0" fontId="35" fillId="20" borderId="0" applyNumberFormat="0" applyBorder="0" applyAlignment="0" applyProtection="0"/>
    <xf numFmtId="0" fontId="35" fillId="22" borderId="0" applyNumberFormat="0" applyBorder="0" applyAlignment="0" applyProtection="0"/>
    <xf numFmtId="0" fontId="35" fillId="10" borderId="0" applyNumberFormat="0" applyBorder="0" applyAlignment="0" applyProtection="0"/>
    <xf numFmtId="0" fontId="35" fillId="18" borderId="0" applyNumberFormat="0" applyBorder="0" applyAlignment="0" applyProtection="0"/>
    <xf numFmtId="0" fontId="35" fillId="17" borderId="0" applyNumberFormat="0" applyBorder="0" applyAlignment="0" applyProtection="0"/>
    <xf numFmtId="0" fontId="48" fillId="25" borderId="0" applyNumberFormat="0" applyBorder="0" applyAlignment="0" applyProtection="0"/>
    <xf numFmtId="0" fontId="48" fillId="26" borderId="0" applyNumberFormat="0" applyBorder="0" applyAlignment="0" applyProtection="0"/>
    <xf numFmtId="0" fontId="48" fillId="28" borderId="0" applyNumberFormat="0" applyBorder="0" applyAlignment="0" applyProtection="0"/>
    <xf numFmtId="0" fontId="48" fillId="21" borderId="0" applyNumberFormat="0" applyBorder="0" applyAlignment="0" applyProtection="0"/>
    <xf numFmtId="0" fontId="48" fillId="23" borderId="0" applyNumberFormat="0" applyBorder="0" applyAlignment="0" applyProtection="0"/>
    <xf numFmtId="0" fontId="48" fillId="30" borderId="0" applyNumberFormat="0" applyBorder="0" applyAlignment="0" applyProtection="0"/>
    <xf numFmtId="0" fontId="48" fillId="31" borderId="0" applyNumberFormat="0" applyBorder="0" applyAlignment="0" applyProtection="0"/>
    <xf numFmtId="0" fontId="48" fillId="33" borderId="0" applyNumberFormat="0" applyBorder="0" applyAlignment="0" applyProtection="0"/>
    <xf numFmtId="0" fontId="36" fillId="27" borderId="0" applyNumberFormat="0" applyBorder="0" applyAlignment="0" applyProtection="0"/>
    <xf numFmtId="0" fontId="36" fillId="20" borderId="0" applyNumberFormat="0" applyBorder="0" applyAlignment="0" applyProtection="0"/>
    <xf numFmtId="0" fontId="36" fillId="22" borderId="0" applyNumberFormat="0" applyBorder="0" applyAlignment="0" applyProtection="0"/>
    <xf numFmtId="0" fontId="36" fillId="29" borderId="0" applyNumberFormat="0" applyBorder="0" applyAlignment="0" applyProtection="0"/>
    <xf numFmtId="0" fontId="36" fillId="2" borderId="0" applyNumberFormat="0" applyBorder="0" applyAlignment="0" applyProtection="0"/>
    <xf numFmtId="0" fontId="36" fillId="32" borderId="0" applyNumberFormat="0" applyBorder="0" applyAlignment="0" applyProtection="0"/>
    <xf numFmtId="0" fontId="36" fillId="25" borderId="0" applyNumberFormat="0" applyBorder="0" applyAlignment="0" applyProtection="0"/>
    <xf numFmtId="0" fontId="36" fillId="34" borderId="0" applyNumberFormat="0" applyBorder="0" applyAlignment="0" applyProtection="0"/>
    <xf numFmtId="0" fontId="36" fillId="26" borderId="0" applyNumberFormat="0" applyBorder="0" applyAlignment="0" applyProtection="0"/>
    <xf numFmtId="0" fontId="36" fillId="29" borderId="0" applyNumberFormat="0" applyBorder="0" applyAlignment="0" applyProtection="0"/>
    <xf numFmtId="0" fontId="36" fillId="2" borderId="0" applyNumberFormat="0" applyBorder="0" applyAlignment="0" applyProtection="0"/>
    <xf numFmtId="0" fontId="36" fillId="3" borderId="0" applyNumberFormat="0" applyBorder="0" applyAlignment="0" applyProtection="0"/>
    <xf numFmtId="0" fontId="49" fillId="15" borderId="1" applyNumberFormat="0" applyAlignment="0" applyProtection="0"/>
    <xf numFmtId="0" fontId="50" fillId="0" borderId="4" applyNumberFormat="0" applyFill="0" applyAlignment="0" applyProtection="0"/>
    <xf numFmtId="0" fontId="51" fillId="0" borderId="6" applyNumberFormat="0" applyFill="0" applyAlignment="0" applyProtection="0"/>
    <xf numFmtId="0" fontId="52" fillId="0" borderId="8" applyNumberFormat="0" applyFill="0" applyAlignment="0" applyProtection="0"/>
    <xf numFmtId="0" fontId="52" fillId="0" borderId="0" applyNumberFormat="0" applyFill="0" applyBorder="0" applyAlignment="0" applyProtection="0"/>
    <xf numFmtId="0" fontId="27" fillId="16" borderId="2" applyNumberFormat="0" applyAlignment="0" applyProtection="0"/>
    <xf numFmtId="0" fontId="53" fillId="36" borderId="2" applyNumberFormat="0" applyAlignment="0" applyProtection="0"/>
    <xf numFmtId="164" fontId="11" fillId="0" borderId="0" applyFont="0" applyFill="0" applyBorder="0" applyAlignment="0" applyProtection="0"/>
    <xf numFmtId="164" fontId="24" fillId="0" borderId="0" applyFont="0" applyFill="0" applyBorder="0" applyAlignment="0" applyProtection="0"/>
    <xf numFmtId="0" fontId="54" fillId="0" borderId="0" applyNumberFormat="0" applyFill="0" applyBorder="0" applyAlignment="0" applyProtection="0"/>
    <xf numFmtId="0" fontId="37" fillId="0" borderId="3" applyNumberFormat="0" applyFill="0" applyAlignment="0" applyProtection="0"/>
    <xf numFmtId="0" fontId="38" fillId="0" borderId="5" applyNumberFormat="0" applyFill="0" applyAlignment="0" applyProtection="0"/>
    <xf numFmtId="0" fontId="39" fillId="0" borderId="7" applyNumberFormat="0" applyFill="0" applyAlignment="0" applyProtection="0"/>
    <xf numFmtId="0" fontId="39" fillId="0" borderId="0" applyNumberFormat="0" applyFill="0" applyBorder="0" applyAlignment="0" applyProtection="0"/>
    <xf numFmtId="0" fontId="55" fillId="0" borderId="9" applyNumberFormat="0" applyFill="0" applyAlignment="0" applyProtection="0"/>
    <xf numFmtId="0" fontId="40" fillId="14" borderId="1" applyNumberFormat="0" applyAlignment="0" applyProtection="0"/>
    <xf numFmtId="0" fontId="46" fillId="38" borderId="10" applyNumberFormat="0" applyAlignment="0" applyProtection="0"/>
    <xf numFmtId="0" fontId="26" fillId="25" borderId="0" applyNumberFormat="0" applyBorder="0" applyAlignment="0" applyProtection="0"/>
    <xf numFmtId="0" fontId="48" fillId="39" borderId="0" applyNumberFormat="0" applyBorder="0" applyAlignment="0" applyProtection="0"/>
    <xf numFmtId="0" fontId="26" fillId="34" borderId="0" applyNumberFormat="0" applyBorder="0" applyAlignment="0" applyProtection="0"/>
    <xf numFmtId="0" fontId="48" fillId="40" borderId="0" applyNumberFormat="0" applyBorder="0" applyAlignment="0" applyProtection="0"/>
    <xf numFmtId="0" fontId="26" fillId="26" borderId="0" applyNumberFormat="0" applyBorder="0" applyAlignment="0" applyProtection="0"/>
    <xf numFmtId="0" fontId="48" fillId="41" borderId="0" applyNumberFormat="0" applyBorder="0" applyAlignment="0" applyProtection="0"/>
    <xf numFmtId="0" fontId="26" fillId="29" borderId="0" applyNumberFormat="0" applyBorder="0" applyAlignment="0" applyProtection="0"/>
    <xf numFmtId="0" fontId="48" fillId="30" borderId="0" applyNumberFormat="0" applyBorder="0" applyAlignment="0" applyProtection="0"/>
    <xf numFmtId="0" fontId="26" fillId="2" borderId="0" applyNumberFormat="0" applyBorder="0" applyAlignment="0" applyProtection="0"/>
    <xf numFmtId="0" fontId="48" fillId="31" borderId="0" applyNumberFormat="0" applyBorder="0" applyAlignment="0" applyProtection="0"/>
    <xf numFmtId="0" fontId="26" fillId="3" borderId="0" applyNumberFormat="0" applyBorder="0" applyAlignment="0" applyProtection="0"/>
    <xf numFmtId="0" fontId="48" fillId="42" borderId="0" applyNumberFormat="0" applyBorder="0" applyAlignment="0" applyProtection="0"/>
    <xf numFmtId="0" fontId="48" fillId="25" borderId="0" applyNumberFormat="0" applyBorder="0" applyAlignment="0" applyProtection="0"/>
    <xf numFmtId="0" fontId="48" fillId="3" borderId="0" applyNumberFormat="0" applyBorder="0" applyAlignment="0" applyProtection="0"/>
    <xf numFmtId="0" fontId="48" fillId="16" borderId="0" applyNumberFormat="0" applyBorder="0" applyAlignment="0" applyProtection="0"/>
    <xf numFmtId="0" fontId="48" fillId="17" borderId="0" applyNumberFormat="0" applyBorder="0" applyAlignment="0" applyProtection="0"/>
    <xf numFmtId="0" fontId="48" fillId="2" borderId="0" applyNumberFormat="0" applyBorder="0" applyAlignment="0" applyProtection="0"/>
    <xf numFmtId="0" fontId="48" fillId="26" borderId="0" applyNumberFormat="0" applyBorder="0" applyAlignment="0" applyProtection="0"/>
    <xf numFmtId="0" fontId="29" fillId="8" borderId="0" applyNumberFormat="0" applyBorder="0" applyAlignment="0" applyProtection="0"/>
    <xf numFmtId="0" fontId="56" fillId="9" borderId="0" applyNumberFormat="0" applyBorder="0" applyAlignment="0" applyProtection="0"/>
    <xf numFmtId="0" fontId="57" fillId="43" borderId="11" applyNumberFormat="0" applyAlignment="0" applyProtection="0"/>
    <xf numFmtId="0" fontId="41" fillId="0" borderId="9" applyNumberFormat="0" applyFill="0" applyAlignment="0" applyProtection="0"/>
    <xf numFmtId="0" fontId="30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28" fillId="0" borderId="0"/>
    <xf numFmtId="0" fontId="46" fillId="0" borderId="0"/>
    <xf numFmtId="0" fontId="24" fillId="0" borderId="0"/>
    <xf numFmtId="0" fontId="13" fillId="0" borderId="0"/>
    <xf numFmtId="0" fontId="13" fillId="0" borderId="0"/>
    <xf numFmtId="0" fontId="13" fillId="0" borderId="0"/>
    <xf numFmtId="0" fontId="12" fillId="0" borderId="0"/>
    <xf numFmtId="0" fontId="11" fillId="0" borderId="0"/>
    <xf numFmtId="0" fontId="13" fillId="0" borderId="0"/>
    <xf numFmtId="0" fontId="12" fillId="0" borderId="0"/>
    <xf numFmtId="0" fontId="35" fillId="37" borderId="10" applyNumberFormat="0" applyFont="0" applyAlignment="0" applyProtection="0"/>
    <xf numFmtId="0" fontId="42" fillId="35" borderId="11" applyNumberFormat="0" applyAlignment="0" applyProtection="0"/>
    <xf numFmtId="0" fontId="59" fillId="0" borderId="12" applyNumberFormat="0" applyFill="0" applyAlignment="0" applyProtection="0"/>
    <xf numFmtId="0" fontId="31" fillId="6" borderId="0" applyNumberFormat="0" applyBorder="0" applyAlignment="0" applyProtection="0"/>
    <xf numFmtId="0" fontId="60" fillId="7" borderId="0" applyNumberFormat="0" applyBorder="0" applyAlignment="0" applyProtection="0"/>
    <xf numFmtId="0" fontId="32" fillId="44" borderId="0" applyNumberFormat="0" applyBorder="0" applyAlignment="0" applyProtection="0"/>
    <xf numFmtId="0" fontId="61" fillId="45" borderId="0" applyNumberFormat="0" applyBorder="0" applyAlignment="0" applyProtection="0"/>
    <xf numFmtId="0" fontId="33" fillId="35" borderId="1" applyNumberFormat="0" applyAlignment="0" applyProtection="0"/>
    <xf numFmtId="0" fontId="62" fillId="43" borderId="1" applyNumberFormat="0" applyAlignment="0" applyProtection="0"/>
    <xf numFmtId="0" fontId="43" fillId="0" borderId="0" applyNumberFormat="0" applyFill="0" applyBorder="0" applyAlignment="0" applyProtection="0"/>
    <xf numFmtId="0" fontId="44" fillId="0" borderId="12" applyNumberFormat="0" applyFill="0" applyAlignment="0" applyProtection="0"/>
    <xf numFmtId="0" fontId="45" fillId="0" borderId="0" applyNumberFormat="0" applyFill="0" applyBorder="0" applyAlignment="0" applyProtection="0"/>
    <xf numFmtId="0" fontId="13" fillId="0" borderId="0"/>
    <xf numFmtId="0" fontId="9" fillId="0" borderId="0"/>
    <xf numFmtId="43" fontId="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67" fillId="0" borderId="0"/>
    <xf numFmtId="0" fontId="34" fillId="0" borderId="0"/>
    <xf numFmtId="0" fontId="13" fillId="0" borderId="0"/>
    <xf numFmtId="0" fontId="46" fillId="0" borderId="0"/>
    <xf numFmtId="0" fontId="34" fillId="0" borderId="0"/>
    <xf numFmtId="0" fontId="13" fillId="0" borderId="0"/>
    <xf numFmtId="0" fontId="13" fillId="0" borderId="0"/>
    <xf numFmtId="0" fontId="13" fillId="0" borderId="0"/>
    <xf numFmtId="0" fontId="8" fillId="0" borderId="0"/>
    <xf numFmtId="43" fontId="8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168" fontId="11" fillId="0" borderId="0" applyBorder="0" applyProtection="0"/>
    <xf numFmtId="43" fontId="11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73" fillId="0" borderId="0" applyFont="0" applyFill="0" applyBorder="0" applyAlignment="0" applyProtection="0"/>
    <xf numFmtId="170" fontId="11" fillId="0" borderId="0" applyBorder="0" applyProtection="0"/>
    <xf numFmtId="0" fontId="4" fillId="0" borderId="0"/>
    <xf numFmtId="0" fontId="3" fillId="0" borderId="0"/>
    <xf numFmtId="0" fontId="2" fillId="0" borderId="0"/>
    <xf numFmtId="0" fontId="1" fillId="0" borderId="0"/>
    <xf numFmtId="0" fontId="24" fillId="0" borderId="0"/>
    <xf numFmtId="0" fontId="24" fillId="0" borderId="0"/>
    <xf numFmtId="0" fontId="34" fillId="0" borderId="0"/>
  </cellStyleXfs>
  <cellXfs count="852">
    <xf numFmtId="0" fontId="0" fillId="0" borderId="0" xfId="0"/>
    <xf numFmtId="3" fontId="14" fillId="0" borderId="0" xfId="0" applyNumberFormat="1" applyFont="1" applyAlignment="1">
      <alignment vertical="center"/>
    </xf>
    <xf numFmtId="0" fontId="14" fillId="0" borderId="0" xfId="0" applyFont="1"/>
    <xf numFmtId="0" fontId="15" fillId="0" borderId="0" xfId="0" applyFont="1"/>
    <xf numFmtId="3" fontId="14" fillId="0" borderId="0" xfId="0" applyNumberFormat="1" applyFont="1" applyAlignment="1">
      <alignment vertical="center" wrapText="1"/>
    </xf>
    <xf numFmtId="3" fontId="14" fillId="0" borderId="0" xfId="0" applyNumberFormat="1" applyFont="1" applyAlignment="1">
      <alignment horizontal="center" vertical="center" wrapText="1"/>
    </xf>
    <xf numFmtId="0" fontId="13" fillId="0" borderId="0" xfId="93" applyAlignment="1">
      <alignment vertical="center"/>
    </xf>
    <xf numFmtId="0" fontId="13" fillId="0" borderId="0" xfId="93" applyAlignment="1">
      <alignment vertical="top"/>
    </xf>
    <xf numFmtId="0" fontId="22" fillId="0" borderId="0" xfId="93" applyFont="1" applyAlignment="1">
      <alignment vertical="center"/>
    </xf>
    <xf numFmtId="3" fontId="13" fillId="0" borderId="0" xfId="93" applyNumberFormat="1" applyAlignment="1">
      <alignment vertical="center"/>
    </xf>
    <xf numFmtId="3" fontId="23" fillId="0" borderId="0" xfId="99" applyNumberFormat="1" applyFont="1" applyAlignment="1">
      <alignment vertical="center"/>
    </xf>
    <xf numFmtId="3" fontId="14" fillId="0" borderId="0" xfId="99" applyNumberFormat="1" applyFont="1" applyAlignment="1">
      <alignment vertical="center"/>
    </xf>
    <xf numFmtId="3" fontId="19" fillId="0" borderId="0" xfId="0" applyNumberFormat="1" applyFont="1" applyAlignment="1">
      <alignment vertical="center"/>
    </xf>
    <xf numFmtId="3" fontId="18" fillId="46" borderId="13" xfId="0" applyNumberFormat="1" applyFont="1" applyFill="1" applyBorder="1" applyAlignment="1">
      <alignment vertical="center"/>
    </xf>
    <xf numFmtId="3" fontId="17" fillId="47" borderId="15" xfId="99" applyNumberFormat="1" applyFont="1" applyFill="1" applyBorder="1" applyAlignment="1">
      <alignment horizontal="center" vertical="center" wrapText="1"/>
    </xf>
    <xf numFmtId="3" fontId="16" fillId="0" borderId="0" xfId="0" applyNumberFormat="1" applyFont="1" applyAlignment="1">
      <alignment vertical="center"/>
    </xf>
    <xf numFmtId="0" fontId="16" fillId="0" borderId="0" xfId="0" applyFont="1"/>
    <xf numFmtId="3" fontId="14" fillId="0" borderId="0" xfId="0" applyNumberFormat="1" applyFont="1"/>
    <xf numFmtId="0" fontId="14" fillId="0" borderId="0" xfId="112" applyFont="1" applyAlignment="1">
      <alignment vertical="center"/>
    </xf>
    <xf numFmtId="0" fontId="13" fillId="0" borderId="0" xfId="115"/>
    <xf numFmtId="0" fontId="13" fillId="0" borderId="0" xfId="115" applyAlignment="1">
      <alignment vertical="center"/>
    </xf>
    <xf numFmtId="0" fontId="16" fillId="0" borderId="13" xfId="98" applyFont="1" applyBorder="1" applyAlignment="1">
      <alignment horizontal="center" vertical="center"/>
    </xf>
    <xf numFmtId="0" fontId="65" fillId="0" borderId="0" xfId="115" applyFont="1" applyAlignment="1">
      <alignment vertical="center"/>
    </xf>
    <xf numFmtId="3" fontId="18" fillId="46" borderId="22" xfId="99" applyNumberFormat="1" applyFont="1" applyFill="1" applyBorder="1" applyAlignment="1">
      <alignment horizontal="center" vertical="center" wrapText="1"/>
    </xf>
    <xf numFmtId="3" fontId="18" fillId="46" borderId="13" xfId="99" applyNumberFormat="1" applyFont="1" applyFill="1" applyBorder="1" applyAlignment="1">
      <alignment horizontal="center" vertical="center" wrapText="1"/>
    </xf>
    <xf numFmtId="3" fontId="18" fillId="46" borderId="17" xfId="99" applyNumberFormat="1" applyFont="1" applyFill="1" applyBorder="1" applyAlignment="1">
      <alignment horizontal="center" vertical="center" wrapText="1"/>
    </xf>
    <xf numFmtId="3" fontId="19" fillId="0" borderId="13" xfId="99" applyNumberFormat="1" applyFont="1" applyBorder="1" applyAlignment="1">
      <alignment horizontal="center" vertical="center" wrapText="1"/>
    </xf>
    <xf numFmtId="3" fontId="19" fillId="0" borderId="13" xfId="0" applyNumberFormat="1" applyFont="1" applyBorder="1" applyAlignment="1">
      <alignment vertical="center"/>
    </xf>
    <xf numFmtId="3" fontId="19" fillId="0" borderId="13" xfId="0" applyNumberFormat="1" applyFont="1" applyBorder="1" applyAlignment="1">
      <alignment horizontal="center" vertical="center"/>
    </xf>
    <xf numFmtId="3" fontId="19" fillId="0" borderId="17" xfId="0" applyNumberFormat="1" applyFont="1" applyBorder="1" applyAlignment="1">
      <alignment horizontal="center" vertical="center"/>
    </xf>
    <xf numFmtId="3" fontId="18" fillId="46" borderId="18" xfId="0" applyNumberFormat="1" applyFont="1" applyFill="1" applyBorder="1" applyAlignment="1">
      <alignment vertical="center"/>
    </xf>
    <xf numFmtId="3" fontId="18" fillId="46" borderId="18" xfId="0" applyNumberFormat="1" applyFont="1" applyFill="1" applyBorder="1" applyAlignment="1">
      <alignment horizontal="center" vertical="center"/>
    </xf>
    <xf numFmtId="3" fontId="69" fillId="0" borderId="0" xfId="0" applyNumberFormat="1" applyFont="1" applyAlignment="1">
      <alignment vertical="center"/>
    </xf>
    <xf numFmtId="3" fontId="18" fillId="46" borderId="24" xfId="99" applyNumberFormat="1" applyFont="1" applyFill="1" applyBorder="1" applyAlignment="1">
      <alignment horizontal="center" vertical="center" wrapText="1"/>
    </xf>
    <xf numFmtId="0" fontId="13" fillId="0" borderId="0" xfId="115" applyAlignment="1">
      <alignment horizontal="center"/>
    </xf>
    <xf numFmtId="0" fontId="17" fillId="0" borderId="13" xfId="98" applyFont="1" applyBorder="1" applyAlignment="1">
      <alignment horizontal="center" vertical="center"/>
    </xf>
    <xf numFmtId="0" fontId="16" fillId="0" borderId="13" xfId="98" applyFont="1" applyBorder="1" applyAlignment="1">
      <alignment vertical="center"/>
    </xf>
    <xf numFmtId="3" fontId="19" fillId="0" borderId="20" xfId="0" applyNumberFormat="1" applyFont="1" applyBorder="1" applyAlignment="1">
      <alignment horizontal="left" vertical="center"/>
    </xf>
    <xf numFmtId="0" fontId="19" fillId="0" borderId="0" xfId="0" applyFont="1" applyAlignment="1">
      <alignment vertical="center" wrapText="1"/>
    </xf>
    <xf numFmtId="3" fontId="18" fillId="48" borderId="13" xfId="0" applyNumberFormat="1" applyFont="1" applyFill="1" applyBorder="1" applyAlignment="1">
      <alignment horizontal="center" vertical="center"/>
    </xf>
    <xf numFmtId="3" fontId="18" fillId="49" borderId="17" xfId="0" applyNumberFormat="1" applyFont="1" applyFill="1" applyBorder="1" applyAlignment="1">
      <alignment vertical="center"/>
    </xf>
    <xf numFmtId="3" fontId="19" fillId="49" borderId="18" xfId="0" applyNumberFormat="1" applyFont="1" applyFill="1" applyBorder="1" applyAlignment="1">
      <alignment vertical="center"/>
    </xf>
    <xf numFmtId="3" fontId="19" fillId="0" borderId="17" xfId="0" applyNumberFormat="1" applyFont="1" applyBorder="1" applyAlignment="1">
      <alignment horizontal="left" vertical="center"/>
    </xf>
    <xf numFmtId="0" fontId="72" fillId="0" borderId="0" xfId="115" applyFont="1" applyAlignment="1">
      <alignment vertical="center"/>
    </xf>
    <xf numFmtId="3" fontId="16" fillId="0" borderId="28" xfId="98" applyNumberFormat="1" applyFont="1" applyBorder="1" applyAlignment="1">
      <alignment vertical="center" wrapText="1"/>
    </xf>
    <xf numFmtId="3" fontId="19" fillId="0" borderId="28" xfId="0" applyNumberFormat="1" applyFont="1" applyBorder="1" applyAlignment="1">
      <alignment horizontal="center" vertical="center"/>
    </xf>
    <xf numFmtId="3" fontId="19" fillId="0" borderId="30" xfId="0" applyNumberFormat="1" applyFont="1" applyBorder="1" applyAlignment="1">
      <alignment vertical="center"/>
    </xf>
    <xf numFmtId="3" fontId="19" fillId="0" borderId="28" xfId="99" applyNumberFormat="1" applyFont="1" applyBorder="1" applyAlignment="1">
      <alignment horizontal="right" vertical="center"/>
    </xf>
    <xf numFmtId="3" fontId="19" fillId="0" borderId="28" xfId="0" applyNumberFormat="1" applyFont="1" applyBorder="1" applyAlignment="1">
      <alignment vertical="center"/>
    </xf>
    <xf numFmtId="0" fontId="16" fillId="0" borderId="28" xfId="98" applyFont="1" applyBorder="1" applyAlignment="1">
      <alignment horizontal="center" vertical="center"/>
    </xf>
    <xf numFmtId="3" fontId="16" fillId="0" borderId="28" xfId="98" applyNumberFormat="1" applyFont="1" applyBorder="1" applyAlignment="1">
      <alignment vertical="center"/>
    </xf>
    <xf numFmtId="3" fontId="18" fillId="0" borderId="28" xfId="0" applyNumberFormat="1" applyFont="1" applyBorder="1" applyAlignment="1">
      <alignment horizontal="center" vertical="center"/>
    </xf>
    <xf numFmtId="3" fontId="18" fillId="0" borderId="28" xfId="0" applyNumberFormat="1" applyFont="1" applyBorder="1" applyAlignment="1">
      <alignment vertical="center"/>
    </xf>
    <xf numFmtId="3" fontId="18" fillId="0" borderId="29" xfId="0" applyNumberFormat="1" applyFont="1" applyBorder="1" applyAlignment="1">
      <alignment vertical="center"/>
    </xf>
    <xf numFmtId="3" fontId="18" fillId="0" borderId="30" xfId="0" applyNumberFormat="1" applyFont="1" applyBorder="1" applyAlignment="1">
      <alignment vertical="center"/>
    </xf>
    <xf numFmtId="3" fontId="19" fillId="0" borderId="27" xfId="99" applyNumberFormat="1" applyFont="1" applyBorder="1" applyAlignment="1">
      <alignment horizontal="right" vertical="center"/>
    </xf>
    <xf numFmtId="3" fontId="19" fillId="0" borderId="29" xfId="0" applyNumberFormat="1" applyFont="1" applyBorder="1" applyAlignment="1">
      <alignment horizontal="center" vertical="center"/>
    </xf>
    <xf numFmtId="0" fontId="19" fillId="0" borderId="28" xfId="0" applyFont="1" applyBorder="1" applyAlignment="1">
      <alignment vertical="center" wrapText="1"/>
    </xf>
    <xf numFmtId="3" fontId="19" fillId="0" borderId="28" xfId="0" applyNumberFormat="1" applyFont="1" applyBorder="1" applyAlignment="1">
      <alignment vertical="center" wrapText="1"/>
    </xf>
    <xf numFmtId="3" fontId="19" fillId="0" borderId="29" xfId="0" applyNumberFormat="1" applyFont="1" applyBorder="1" applyAlignment="1">
      <alignment vertical="center" wrapText="1"/>
    </xf>
    <xf numFmtId="3" fontId="19" fillId="0" borderId="28" xfId="0" applyNumberFormat="1" applyFont="1" applyBorder="1" applyAlignment="1">
      <alignment horizontal="right" vertical="center"/>
    </xf>
    <xf numFmtId="3" fontId="19" fillId="0" borderId="29" xfId="0" applyNumberFormat="1" applyFont="1" applyBorder="1" applyAlignment="1">
      <alignment vertical="center"/>
    </xf>
    <xf numFmtId="3" fontId="19" fillId="0" borderId="29" xfId="0" applyNumberFormat="1" applyFont="1" applyBorder="1" applyAlignment="1">
      <alignment horizontal="left" vertical="center"/>
    </xf>
    <xf numFmtId="3" fontId="19" fillId="48" borderId="28" xfId="0" applyNumberFormat="1" applyFont="1" applyFill="1" applyBorder="1" applyAlignment="1">
      <alignment horizontal="center" vertical="center"/>
    </xf>
    <xf numFmtId="3" fontId="18" fillId="46" borderId="30" xfId="0" applyNumberFormat="1" applyFont="1" applyFill="1" applyBorder="1" applyAlignment="1">
      <alignment vertical="center"/>
    </xf>
    <xf numFmtId="0" fontId="19" fillId="0" borderId="30" xfId="0" applyFont="1" applyBorder="1" applyAlignment="1">
      <alignment vertical="center"/>
    </xf>
    <xf numFmtId="0" fontId="19" fillId="0" borderId="18" xfId="0" applyFont="1" applyBorder="1" applyAlignment="1">
      <alignment vertical="center"/>
    </xf>
    <xf numFmtId="3" fontId="19" fillId="0" borderId="29" xfId="0" applyNumberFormat="1" applyFont="1" applyBorder="1" applyAlignment="1">
      <alignment horizontal="left" vertical="center" wrapText="1"/>
    </xf>
    <xf numFmtId="3" fontId="18" fillId="46" borderId="28" xfId="0" applyNumberFormat="1" applyFont="1" applyFill="1" applyBorder="1" applyAlignment="1">
      <alignment vertical="center"/>
    </xf>
    <xf numFmtId="0" fontId="19" fillId="0" borderId="28" xfId="0" applyFont="1" applyBorder="1" applyAlignment="1">
      <alignment vertical="center"/>
    </xf>
    <xf numFmtId="49" fontId="19" fillId="0" borderId="20" xfId="0" applyNumberFormat="1" applyFont="1" applyBorder="1" applyAlignment="1">
      <alignment horizontal="left" vertical="center" wrapText="1"/>
    </xf>
    <xf numFmtId="3" fontId="19" fillId="51" borderId="28" xfId="0" applyNumberFormat="1" applyFont="1" applyFill="1" applyBorder="1" applyAlignment="1">
      <alignment horizontal="right" vertical="center"/>
    </xf>
    <xf numFmtId="3" fontId="18" fillId="51" borderId="28" xfId="0" applyNumberFormat="1" applyFont="1" applyFill="1" applyBorder="1" applyAlignment="1">
      <alignment horizontal="center" vertical="center"/>
    </xf>
    <xf numFmtId="3" fontId="18" fillId="51" borderId="29" xfId="0" applyNumberFormat="1" applyFont="1" applyFill="1" applyBorder="1" applyAlignment="1">
      <alignment horizontal="center" vertical="center"/>
    </xf>
    <xf numFmtId="3" fontId="19" fillId="0" borderId="28" xfId="0" applyNumberFormat="1" applyFont="1" applyBorder="1" applyAlignment="1">
      <alignment horizontal="left" vertical="center"/>
    </xf>
    <xf numFmtId="0" fontId="18" fillId="0" borderId="29" xfId="119" applyFont="1" applyBorder="1" applyAlignment="1">
      <alignment horizontal="center" vertical="center"/>
    </xf>
    <xf numFmtId="3" fontId="19" fillId="0" borderId="32" xfId="0" applyNumberFormat="1" applyFont="1" applyBorder="1" applyAlignment="1">
      <alignment horizontal="center" vertical="center"/>
    </xf>
    <xf numFmtId="3" fontId="18" fillId="0" borderId="29" xfId="0" applyNumberFormat="1" applyFont="1" applyBorder="1" applyAlignment="1">
      <alignment horizontal="center" vertical="center"/>
    </xf>
    <xf numFmtId="0" fontId="19" fillId="48" borderId="29" xfId="119" applyFont="1" applyFill="1" applyBorder="1" applyAlignment="1">
      <alignment horizontal="center" vertical="center" wrapText="1"/>
    </xf>
    <xf numFmtId="49" fontId="16" fillId="0" borderId="28" xfId="0" applyNumberFormat="1" applyFont="1" applyBorder="1" applyAlignment="1">
      <alignment horizontal="center" vertical="center" wrapText="1"/>
    </xf>
    <xf numFmtId="0" fontId="19" fillId="0" borderId="28" xfId="0" applyFont="1" applyBorder="1" applyAlignment="1">
      <alignment horizontal="right" wrapText="1"/>
    </xf>
    <xf numFmtId="3" fontId="19" fillId="0" borderId="28" xfId="0" applyNumberFormat="1" applyFont="1" applyBorder="1" applyAlignment="1">
      <alignment wrapText="1"/>
    </xf>
    <xf numFmtId="3" fontId="19" fillId="51" borderId="28" xfId="0" applyNumberFormat="1" applyFont="1" applyFill="1" applyBorder="1" applyAlignment="1">
      <alignment vertical="center"/>
    </xf>
    <xf numFmtId="3" fontId="18" fillId="0" borderId="28" xfId="0" applyNumberFormat="1" applyFont="1" applyBorder="1" applyAlignment="1">
      <alignment horizontal="right" vertical="center"/>
    </xf>
    <xf numFmtId="0" fontId="19" fillId="0" borderId="29" xfId="0" applyFont="1" applyBorder="1" applyAlignment="1">
      <alignment horizontal="left" vertical="center"/>
    </xf>
    <xf numFmtId="3" fontId="16" fillId="0" borderId="28" xfId="0" applyNumberFormat="1" applyFont="1" applyBorder="1" applyAlignment="1">
      <alignment horizontal="center" vertical="center" wrapText="1"/>
    </xf>
    <xf numFmtId="3" fontId="14" fillId="0" borderId="28" xfId="0" applyNumberFormat="1" applyFont="1" applyBorder="1" applyAlignment="1">
      <alignment vertical="center"/>
    </xf>
    <xf numFmtId="0" fontId="19" fillId="0" borderId="29" xfId="98" applyFont="1" applyBorder="1" applyAlignment="1">
      <alignment vertical="center"/>
    </xf>
    <xf numFmtId="3" fontId="19" fillId="51" borderId="29" xfId="0" applyNumberFormat="1" applyFont="1" applyFill="1" applyBorder="1" applyAlignment="1">
      <alignment vertical="center"/>
    </xf>
    <xf numFmtId="3" fontId="19" fillId="0" borderId="34" xfId="0" applyNumberFormat="1" applyFont="1" applyBorder="1" applyAlignment="1">
      <alignment vertical="center"/>
    </xf>
    <xf numFmtId="3" fontId="19" fillId="0" borderId="35" xfId="0" applyNumberFormat="1" applyFont="1" applyBorder="1" applyAlignment="1">
      <alignment vertical="center"/>
    </xf>
    <xf numFmtId="3" fontId="19" fillId="0" borderId="35" xfId="0" applyNumberFormat="1" applyFont="1" applyBorder="1" applyAlignment="1">
      <alignment vertical="center" wrapText="1"/>
    </xf>
    <xf numFmtId="0" fontId="19" fillId="0" borderId="36" xfId="0" applyFont="1" applyBorder="1" applyAlignment="1">
      <alignment vertical="center"/>
    </xf>
    <xf numFmtId="3" fontId="19" fillId="0" borderId="35" xfId="0" applyNumberFormat="1" applyFont="1" applyBorder="1" applyAlignment="1">
      <alignment horizontal="left" vertical="center"/>
    </xf>
    <xf numFmtId="3" fontId="19" fillId="0" borderId="36" xfId="0" applyNumberFormat="1" applyFont="1" applyBorder="1" applyAlignment="1">
      <alignment vertical="center"/>
    </xf>
    <xf numFmtId="3" fontId="19" fillId="0" borderId="35" xfId="0" applyNumberFormat="1" applyFont="1" applyBorder="1" applyAlignment="1">
      <alignment horizontal="center" vertical="center"/>
    </xf>
    <xf numFmtId="3" fontId="19" fillId="0" borderId="35" xfId="0" applyNumberFormat="1" applyFont="1" applyBorder="1" applyAlignment="1">
      <alignment horizontal="left" vertical="center" wrapText="1"/>
    </xf>
    <xf numFmtId="3" fontId="20" fillId="0" borderId="35" xfId="0" applyNumberFormat="1" applyFont="1" applyBorder="1" applyAlignment="1">
      <alignment vertical="center" wrapText="1"/>
    </xf>
    <xf numFmtId="3" fontId="20" fillId="0" borderId="35" xfId="0" applyNumberFormat="1" applyFont="1" applyBorder="1" applyAlignment="1">
      <alignment vertical="center"/>
    </xf>
    <xf numFmtId="0" fontId="19" fillId="0" borderId="28" xfId="0" applyFont="1" applyBorder="1" applyAlignment="1">
      <alignment horizontal="right" vertical="center" wrapText="1"/>
    </xf>
    <xf numFmtId="49" fontId="19" fillId="0" borderId="35" xfId="0" applyNumberFormat="1" applyFont="1" applyBorder="1" applyAlignment="1">
      <alignment vertical="center"/>
    </xf>
    <xf numFmtId="3" fontId="18" fillId="0" borderId="34" xfId="0" applyNumberFormat="1" applyFont="1" applyBorder="1" applyAlignment="1">
      <alignment horizontal="center" vertical="center"/>
    </xf>
    <xf numFmtId="3" fontId="18" fillId="0" borderId="36" xfId="0" applyNumberFormat="1" applyFont="1" applyBorder="1" applyAlignment="1">
      <alignment vertical="center"/>
    </xf>
    <xf numFmtId="0" fontId="19" fillId="0" borderId="36" xfId="0" applyFont="1" applyBorder="1" applyAlignment="1">
      <alignment vertical="center" wrapText="1"/>
    </xf>
    <xf numFmtId="3" fontId="16" fillId="0" borderId="35" xfId="0" applyNumberFormat="1" applyFont="1" applyBorder="1" applyAlignment="1">
      <alignment vertical="center" wrapText="1"/>
    </xf>
    <xf numFmtId="3" fontId="19" fillId="0" borderId="38" xfId="0" applyNumberFormat="1" applyFont="1" applyBorder="1" applyAlignment="1">
      <alignment horizontal="left" vertical="center" wrapText="1"/>
    </xf>
    <xf numFmtId="3" fontId="19" fillId="0" borderId="39" xfId="0" applyNumberFormat="1" applyFont="1" applyBorder="1" applyAlignment="1">
      <alignment vertical="center"/>
    </xf>
    <xf numFmtId="3" fontId="19" fillId="0" borderId="39" xfId="0" applyNumberFormat="1" applyFont="1" applyBorder="1" applyAlignment="1">
      <alignment horizontal="center" vertical="center"/>
    </xf>
    <xf numFmtId="3" fontId="19" fillId="0" borderId="40" xfId="0" applyNumberFormat="1" applyFont="1" applyBorder="1" applyAlignment="1">
      <alignment horizontal="center" vertical="center"/>
    </xf>
    <xf numFmtId="3" fontId="18" fillId="0" borderId="33" xfId="0" applyNumberFormat="1" applyFont="1" applyBorder="1" applyAlignment="1">
      <alignment horizontal="center" vertical="center"/>
    </xf>
    <xf numFmtId="49" fontId="19" fillId="0" borderId="20" xfId="0" applyNumberFormat="1" applyFont="1" applyBorder="1" applyAlignment="1">
      <alignment vertical="center"/>
    </xf>
    <xf numFmtId="3" fontId="19" fillId="0" borderId="44" xfId="0" applyNumberFormat="1" applyFont="1" applyBorder="1" applyAlignment="1">
      <alignment vertical="center"/>
    </xf>
    <xf numFmtId="0" fontId="19" fillId="0" borderId="43" xfId="0" applyFont="1" applyBorder="1" applyAlignment="1">
      <alignment vertical="center"/>
    </xf>
    <xf numFmtId="3" fontId="20" fillId="0" borderId="44" xfId="0" applyNumberFormat="1" applyFont="1" applyBorder="1" applyAlignment="1">
      <alignment vertical="center"/>
    </xf>
    <xf numFmtId="0" fontId="20" fillId="0" borderId="43" xfId="0" applyFont="1" applyBorder="1" applyAlignment="1">
      <alignment vertical="center"/>
    </xf>
    <xf numFmtId="3" fontId="19" fillId="0" borderId="44" xfId="99" applyNumberFormat="1" applyFont="1" applyBorder="1" applyAlignment="1">
      <alignment vertical="center"/>
    </xf>
    <xf numFmtId="3" fontId="19" fillId="0" borderId="43" xfId="0" applyNumberFormat="1" applyFont="1" applyBorder="1" applyAlignment="1">
      <alignment vertical="center"/>
    </xf>
    <xf numFmtId="0" fontId="19" fillId="0" borderId="43" xfId="0" applyFont="1" applyBorder="1" applyAlignment="1">
      <alignment vertical="center" wrapText="1"/>
    </xf>
    <xf numFmtId="3" fontId="18" fillId="0" borderId="43" xfId="0" applyNumberFormat="1" applyFont="1" applyBorder="1" applyAlignment="1">
      <alignment vertical="center"/>
    </xf>
    <xf numFmtId="0" fontId="19" fillId="0" borderId="39" xfId="0" applyFont="1" applyBorder="1" applyAlignment="1">
      <alignment vertical="center" wrapText="1"/>
    </xf>
    <xf numFmtId="0" fontId="16" fillId="0" borderId="26" xfId="98" applyFont="1" applyBorder="1" applyAlignment="1">
      <alignment vertical="center"/>
    </xf>
    <xf numFmtId="0" fontId="16" fillId="0" borderId="19" xfId="98" applyFont="1" applyBorder="1" applyAlignment="1">
      <alignment vertical="center" wrapText="1"/>
    </xf>
    <xf numFmtId="0" fontId="19" fillId="0" borderId="29" xfId="0" applyFont="1" applyBorder="1" applyAlignment="1">
      <alignment horizontal="left" vertical="center" wrapText="1"/>
    </xf>
    <xf numFmtId="0" fontId="16" fillId="0" borderId="44" xfId="98" applyFont="1" applyBorder="1" applyAlignment="1">
      <alignment vertical="center"/>
    </xf>
    <xf numFmtId="3" fontId="16" fillId="0" borderId="44" xfId="0" applyNumberFormat="1" applyFont="1" applyBorder="1" applyAlignment="1">
      <alignment vertical="center" wrapText="1"/>
    </xf>
    <xf numFmtId="0" fontId="16" fillId="0" borderId="0" xfId="94" applyFont="1" applyAlignment="1">
      <alignment vertical="center" wrapText="1"/>
    </xf>
    <xf numFmtId="0" fontId="16" fillId="0" borderId="44" xfId="94" applyFont="1" applyBorder="1" applyAlignment="1">
      <alignment vertical="center" wrapText="1"/>
    </xf>
    <xf numFmtId="3" fontId="19" fillId="0" borderId="39" xfId="0" applyNumberFormat="1" applyFont="1" applyBorder="1" applyAlignment="1">
      <alignment vertical="center" wrapText="1"/>
    </xf>
    <xf numFmtId="3" fontId="16" fillId="0" borderId="28" xfId="94" applyNumberFormat="1" applyFont="1" applyBorder="1" applyAlignment="1">
      <alignment horizontal="center" vertical="center" wrapText="1"/>
    </xf>
    <xf numFmtId="3" fontId="19" fillId="0" borderId="39" xfId="99" applyNumberFormat="1" applyFont="1" applyBorder="1" applyAlignment="1">
      <alignment horizontal="center" vertical="center" wrapText="1"/>
    </xf>
    <xf numFmtId="3" fontId="18" fillId="0" borderId="39" xfId="99" applyNumberFormat="1" applyFont="1" applyBorder="1" applyAlignment="1">
      <alignment horizontal="center" vertical="center" wrapText="1"/>
    </xf>
    <xf numFmtId="3" fontId="19" fillId="0" borderId="39" xfId="99" applyNumberFormat="1" applyFont="1" applyBorder="1" applyAlignment="1">
      <alignment horizontal="center" vertical="center"/>
    </xf>
    <xf numFmtId="3" fontId="19" fillId="0" borderId="39" xfId="99" applyNumberFormat="1" applyFont="1" applyBorder="1" applyAlignment="1">
      <alignment horizontal="right" vertical="center"/>
    </xf>
    <xf numFmtId="0" fontId="19" fillId="0" borderId="39" xfId="0" applyFont="1" applyBorder="1" applyAlignment="1">
      <alignment vertical="center"/>
    </xf>
    <xf numFmtId="3" fontId="19" fillId="0" borderId="28" xfId="99" applyNumberFormat="1" applyFont="1" applyBorder="1" applyAlignment="1">
      <alignment horizontal="center" vertical="center"/>
    </xf>
    <xf numFmtId="3" fontId="20" fillId="0" borderId="28" xfId="0" applyNumberFormat="1" applyFont="1" applyBorder="1" applyAlignment="1">
      <alignment horizontal="center" vertical="center"/>
    </xf>
    <xf numFmtId="3" fontId="18" fillId="46" borderId="28" xfId="0" applyNumberFormat="1" applyFont="1" applyFill="1" applyBorder="1" applyAlignment="1">
      <alignment horizontal="center" vertical="center"/>
    </xf>
    <xf numFmtId="3" fontId="18" fillId="46" borderId="35" xfId="0" applyNumberFormat="1" applyFont="1" applyFill="1" applyBorder="1" applyAlignment="1">
      <alignment horizontal="center" vertical="center"/>
    </xf>
    <xf numFmtId="3" fontId="18" fillId="46" borderId="35" xfId="0" applyNumberFormat="1" applyFont="1" applyFill="1" applyBorder="1" applyAlignment="1">
      <alignment vertical="center"/>
    </xf>
    <xf numFmtId="3" fontId="18" fillId="46" borderId="36" xfId="0" applyNumberFormat="1" applyFont="1" applyFill="1" applyBorder="1" applyAlignment="1">
      <alignment vertical="center"/>
    </xf>
    <xf numFmtId="0" fontId="19" fillId="0" borderId="35" xfId="93" applyFont="1" applyBorder="1" applyAlignment="1">
      <alignment vertical="center"/>
    </xf>
    <xf numFmtId="0" fontId="20" fillId="0" borderId="35" xfId="93" applyFont="1" applyBorder="1" applyAlignment="1">
      <alignment vertical="center"/>
    </xf>
    <xf numFmtId="0" fontId="20" fillId="0" borderId="28" xfId="0" applyFont="1" applyBorder="1" applyAlignment="1">
      <alignment vertical="center" wrapText="1"/>
    </xf>
    <xf numFmtId="49" fontId="19" fillId="0" borderId="35" xfId="0" applyNumberFormat="1" applyFont="1" applyBorder="1" applyAlignment="1">
      <alignment vertical="center" wrapText="1"/>
    </xf>
    <xf numFmtId="49" fontId="19" fillId="0" borderId="47" xfId="0" applyNumberFormat="1" applyFont="1" applyBorder="1" applyAlignment="1">
      <alignment horizontal="left" vertical="center" wrapText="1"/>
    </xf>
    <xf numFmtId="3" fontId="19" fillId="0" borderId="44" xfId="0" applyNumberFormat="1" applyFont="1" applyBorder="1" applyAlignment="1">
      <alignment horizontal="center" vertical="center"/>
    </xf>
    <xf numFmtId="3" fontId="19" fillId="0" borderId="47" xfId="0" applyNumberFormat="1" applyFont="1" applyBorder="1" applyAlignment="1">
      <alignment horizontal="left" vertical="center" wrapText="1"/>
    </xf>
    <xf numFmtId="3" fontId="19" fillId="0" borderId="39" xfId="0" applyNumberFormat="1" applyFont="1" applyBorder="1" applyAlignment="1">
      <alignment horizontal="left" vertical="center" wrapText="1"/>
    </xf>
    <xf numFmtId="3" fontId="19" fillId="0" borderId="44" xfId="0" applyNumberFormat="1" applyFont="1" applyBorder="1" applyAlignment="1">
      <alignment horizontal="left" vertical="center" wrapText="1"/>
    </xf>
    <xf numFmtId="3" fontId="19" fillId="0" borderId="44" xfId="0" applyNumberFormat="1" applyFont="1" applyBorder="1" applyAlignment="1">
      <alignment vertical="center" wrapText="1"/>
    </xf>
    <xf numFmtId="3" fontId="19" fillId="0" borderId="40" xfId="0" applyNumberFormat="1" applyFont="1" applyBorder="1" applyAlignment="1">
      <alignment vertical="center"/>
    </xf>
    <xf numFmtId="3" fontId="19" fillId="0" borderId="39" xfId="0" applyNumberFormat="1" applyFont="1" applyBorder="1" applyAlignment="1">
      <alignment horizontal="right" vertical="center" wrapText="1"/>
    </xf>
    <xf numFmtId="0" fontId="19" fillId="0" borderId="44" xfId="98" applyFont="1" applyBorder="1" applyAlignment="1">
      <alignment vertical="center" wrapText="1"/>
    </xf>
    <xf numFmtId="3" fontId="19" fillId="0" borderId="43" xfId="0" applyNumberFormat="1" applyFont="1" applyBorder="1" applyAlignment="1">
      <alignment horizontal="right" vertical="center" wrapText="1"/>
    </xf>
    <xf numFmtId="0" fontId="20" fillId="0" borderId="39" xfId="0" applyFont="1" applyBorder="1" applyAlignment="1">
      <alignment vertical="center"/>
    </xf>
    <xf numFmtId="3" fontId="19" fillId="0" borderId="44" xfId="0" applyNumberFormat="1" applyFont="1" applyBorder="1" applyAlignment="1">
      <alignment horizontal="left" vertical="center"/>
    </xf>
    <xf numFmtId="3" fontId="19" fillId="0" borderId="44" xfId="94" applyNumberFormat="1" applyFont="1" applyBorder="1" applyAlignment="1">
      <alignment vertical="center" wrapText="1"/>
    </xf>
    <xf numFmtId="0" fontId="19" fillId="0" borderId="44" xfId="0" applyFont="1" applyBorder="1" applyAlignment="1">
      <alignment horizontal="left" wrapText="1"/>
    </xf>
    <xf numFmtId="0" fontId="19" fillId="0" borderId="39" xfId="0" applyFont="1" applyBorder="1" applyAlignment="1">
      <alignment wrapText="1"/>
    </xf>
    <xf numFmtId="0" fontId="19" fillId="0" borderId="39" xfId="0" applyFont="1" applyBorder="1" applyAlignment="1">
      <alignment horizontal="right" wrapText="1"/>
    </xf>
    <xf numFmtId="3" fontId="19" fillId="0" borderId="39" xfId="0" applyNumberFormat="1" applyFont="1" applyBorder="1" applyAlignment="1">
      <alignment wrapText="1"/>
    </xf>
    <xf numFmtId="3" fontId="19" fillId="0" borderId="47" xfId="0" applyNumberFormat="1" applyFont="1" applyBorder="1" applyAlignment="1">
      <alignment vertical="center"/>
    </xf>
    <xf numFmtId="3" fontId="19" fillId="0" borderId="38" xfId="0" applyNumberFormat="1" applyFont="1" applyBorder="1" applyAlignment="1">
      <alignment vertical="center"/>
    </xf>
    <xf numFmtId="49" fontId="19" fillId="0" borderId="28" xfId="0" applyNumberFormat="1" applyFont="1" applyBorder="1" applyAlignment="1">
      <alignment horizontal="left" vertical="center" wrapText="1"/>
    </xf>
    <xf numFmtId="49" fontId="19" fillId="0" borderId="47" xfId="0" applyNumberFormat="1" applyFont="1" applyBorder="1" applyAlignment="1">
      <alignment vertical="center"/>
    </xf>
    <xf numFmtId="3" fontId="19" fillId="0" borderId="39" xfId="0" applyNumberFormat="1" applyFont="1" applyBorder="1" applyAlignment="1">
      <alignment horizontal="left" wrapText="1"/>
    </xf>
    <xf numFmtId="0" fontId="19" fillId="0" borderId="44" xfId="0" applyFont="1" applyBorder="1" applyAlignment="1">
      <alignment horizontal="left" vertical="center"/>
    </xf>
    <xf numFmtId="3" fontId="19" fillId="0" borderId="39" xfId="0" applyNumberFormat="1" applyFont="1" applyBorder="1" applyAlignment="1">
      <alignment horizontal="right" vertical="center"/>
    </xf>
    <xf numFmtId="3" fontId="19" fillId="51" borderId="39" xfId="0" applyNumberFormat="1" applyFont="1" applyFill="1" applyBorder="1" applyAlignment="1">
      <alignment horizontal="right" vertical="center"/>
    </xf>
    <xf numFmtId="3" fontId="18" fillId="46" borderId="39" xfId="0" applyNumberFormat="1" applyFont="1" applyFill="1" applyBorder="1" applyAlignment="1">
      <alignment horizontal="center" vertical="center"/>
    </xf>
    <xf numFmtId="3" fontId="18" fillId="46" borderId="44" xfId="0" applyNumberFormat="1" applyFont="1" applyFill="1" applyBorder="1" applyAlignment="1">
      <alignment horizontal="center" vertical="center"/>
    </xf>
    <xf numFmtId="3" fontId="18" fillId="46" borderId="44" xfId="0" applyNumberFormat="1" applyFont="1" applyFill="1" applyBorder="1" applyAlignment="1">
      <alignment vertical="center"/>
    </xf>
    <xf numFmtId="3" fontId="18" fillId="46" borderId="43" xfId="0" applyNumberFormat="1" applyFont="1" applyFill="1" applyBorder="1" applyAlignment="1">
      <alignment vertical="center"/>
    </xf>
    <xf numFmtId="3" fontId="18" fillId="46" borderId="39" xfId="0" applyNumberFormat="1" applyFont="1" applyFill="1" applyBorder="1" applyAlignment="1">
      <alignment vertical="center"/>
    </xf>
    <xf numFmtId="3" fontId="18" fillId="46" borderId="43" xfId="0" applyNumberFormat="1" applyFont="1" applyFill="1" applyBorder="1" applyAlignment="1">
      <alignment horizontal="right" vertical="center"/>
    </xf>
    <xf numFmtId="3" fontId="18" fillId="0" borderId="39" xfId="0" applyNumberFormat="1" applyFont="1" applyBorder="1" applyAlignment="1">
      <alignment horizontal="center" vertical="center"/>
    </xf>
    <xf numFmtId="3" fontId="18" fillId="0" borderId="44" xfId="0" applyNumberFormat="1" applyFont="1" applyBorder="1" applyAlignment="1">
      <alignment horizontal="center" vertical="center"/>
    </xf>
    <xf numFmtId="3" fontId="18" fillId="0" borderId="39" xfId="0" applyNumberFormat="1" applyFont="1" applyBorder="1" applyAlignment="1">
      <alignment vertical="center"/>
    </xf>
    <xf numFmtId="3" fontId="18" fillId="0" borderId="43" xfId="0" applyNumberFormat="1" applyFont="1" applyBorder="1" applyAlignment="1">
      <alignment horizontal="right" vertical="center"/>
    </xf>
    <xf numFmtId="3" fontId="18" fillId="0" borderId="18" xfId="0" applyNumberFormat="1" applyFont="1" applyBorder="1" applyAlignment="1">
      <alignment vertical="center"/>
    </xf>
    <xf numFmtId="3" fontId="19" fillId="0" borderId="43" xfId="0" applyNumberFormat="1" applyFont="1" applyBorder="1" applyAlignment="1">
      <alignment horizontal="right" vertical="center"/>
    </xf>
    <xf numFmtId="3" fontId="18" fillId="0" borderId="44" xfId="0" applyNumberFormat="1" applyFont="1" applyBorder="1" applyAlignment="1">
      <alignment vertical="center"/>
    </xf>
    <xf numFmtId="0" fontId="19" fillId="0" borderId="44" xfId="98" applyFont="1" applyBorder="1" applyAlignment="1">
      <alignment vertical="center"/>
    </xf>
    <xf numFmtId="3" fontId="19" fillId="46" borderId="43" xfId="0" applyNumberFormat="1" applyFont="1" applyFill="1" applyBorder="1" applyAlignment="1">
      <alignment vertical="center"/>
    </xf>
    <xf numFmtId="3" fontId="19" fillId="46" borderId="39" xfId="0" applyNumberFormat="1" applyFont="1" applyFill="1" applyBorder="1" applyAlignment="1">
      <alignment vertical="center"/>
    </xf>
    <xf numFmtId="3" fontId="19" fillId="46" borderId="39" xfId="99" applyNumberFormat="1" applyFont="1" applyFill="1" applyBorder="1" applyAlignment="1">
      <alignment horizontal="right" vertical="center"/>
    </xf>
    <xf numFmtId="3" fontId="18" fillId="0" borderId="47" xfId="0" applyNumberFormat="1" applyFont="1" applyBorder="1" applyAlignment="1">
      <alignment horizontal="center" vertical="center"/>
    </xf>
    <xf numFmtId="3" fontId="19" fillId="0" borderId="50" xfId="0" applyNumberFormat="1" applyFont="1" applyBorder="1" applyAlignment="1">
      <alignment vertical="center"/>
    </xf>
    <xf numFmtId="3" fontId="19" fillId="0" borderId="47" xfId="0" applyNumberFormat="1" applyFont="1" applyBorder="1" applyAlignment="1">
      <alignment horizontal="center" vertical="center"/>
    </xf>
    <xf numFmtId="0" fontId="19" fillId="0" borderId="47" xfId="118" applyFont="1" applyBorder="1" applyAlignment="1">
      <alignment vertical="center" wrapText="1"/>
    </xf>
    <xf numFmtId="3" fontId="19" fillId="46" borderId="36" xfId="0" applyNumberFormat="1" applyFont="1" applyFill="1" applyBorder="1" applyAlignment="1">
      <alignment vertical="center"/>
    </xf>
    <xf numFmtId="3" fontId="19" fillId="46" borderId="28" xfId="0" applyNumberFormat="1" applyFont="1" applyFill="1" applyBorder="1" applyAlignment="1">
      <alignment vertical="center"/>
    </xf>
    <xf numFmtId="3" fontId="18" fillId="46" borderId="28" xfId="99" applyNumberFormat="1" applyFont="1" applyFill="1" applyBorder="1" applyAlignment="1">
      <alignment horizontal="right" vertical="center"/>
    </xf>
    <xf numFmtId="3" fontId="18" fillId="0" borderId="35" xfId="0" applyNumberFormat="1" applyFont="1" applyBorder="1" applyAlignment="1">
      <alignment vertical="center"/>
    </xf>
    <xf numFmtId="3" fontId="19" fillId="0" borderId="51" xfId="0" applyNumberFormat="1" applyFont="1" applyBorder="1" applyAlignment="1">
      <alignment horizontal="left" vertical="center"/>
    </xf>
    <xf numFmtId="3" fontId="19" fillId="0" borderId="52" xfId="0" applyNumberFormat="1" applyFont="1" applyBorder="1" applyAlignment="1">
      <alignment horizontal="left" vertical="center" wrapText="1"/>
    </xf>
    <xf numFmtId="3" fontId="19" fillId="0" borderId="51" xfId="0" applyNumberFormat="1" applyFont="1" applyBorder="1" applyAlignment="1">
      <alignment vertical="center" wrapText="1"/>
    </xf>
    <xf numFmtId="3" fontId="18" fillId="46" borderId="35" xfId="0" applyNumberFormat="1" applyFont="1" applyFill="1" applyBorder="1" applyAlignment="1">
      <alignment horizontal="left" vertical="center"/>
    </xf>
    <xf numFmtId="0" fontId="18" fillId="0" borderId="53" xfId="122" applyFont="1" applyBorder="1" applyAlignment="1">
      <alignment horizontal="center" vertical="center"/>
    </xf>
    <xf numFmtId="3" fontId="19" fillId="0" borderId="54" xfId="0" applyNumberFormat="1" applyFont="1" applyBorder="1" applyAlignment="1">
      <alignment horizontal="center" vertical="center"/>
    </xf>
    <xf numFmtId="3" fontId="18" fillId="0" borderId="56" xfId="0" applyNumberFormat="1" applyFont="1" applyBorder="1" applyAlignment="1">
      <alignment vertical="center"/>
    </xf>
    <xf numFmtId="3" fontId="19" fillId="0" borderId="56" xfId="0" applyNumberFormat="1" applyFont="1" applyBorder="1" applyAlignment="1">
      <alignment vertical="center"/>
    </xf>
    <xf numFmtId="3" fontId="19" fillId="0" borderId="57" xfId="0" applyNumberFormat="1" applyFont="1" applyBorder="1" applyAlignment="1">
      <alignment vertical="center"/>
    </xf>
    <xf numFmtId="3" fontId="18" fillId="0" borderId="57" xfId="0" applyNumberFormat="1" applyFont="1" applyBorder="1" applyAlignment="1">
      <alignment horizontal="center" vertical="center"/>
    </xf>
    <xf numFmtId="0" fontId="18" fillId="0" borderId="58" xfId="119" applyFont="1" applyBorder="1" applyAlignment="1">
      <alignment horizontal="center" vertical="center"/>
    </xf>
    <xf numFmtId="3" fontId="18" fillId="48" borderId="57" xfId="0" applyNumberFormat="1" applyFont="1" applyFill="1" applyBorder="1" applyAlignment="1">
      <alignment horizontal="center" vertical="center"/>
    </xf>
    <xf numFmtId="0" fontId="18" fillId="0" borderId="55" xfId="95" applyFont="1" applyBorder="1" applyAlignment="1">
      <alignment horizontal="center" vertical="top" wrapText="1"/>
    </xf>
    <xf numFmtId="3" fontId="19" fillId="0" borderId="57" xfId="0" applyNumberFormat="1" applyFont="1" applyBorder="1" applyAlignment="1">
      <alignment horizontal="center" vertical="center"/>
    </xf>
    <xf numFmtId="3" fontId="19" fillId="0" borderId="55" xfId="0" applyNumberFormat="1" applyFont="1" applyBorder="1" applyAlignment="1">
      <alignment vertical="center"/>
    </xf>
    <xf numFmtId="0" fontId="18" fillId="0" borderId="55" xfId="119" applyFont="1" applyBorder="1" applyAlignment="1">
      <alignment horizontal="center" vertical="top"/>
    </xf>
    <xf numFmtId="3" fontId="18" fillId="48" borderId="17" xfId="0" applyNumberFormat="1" applyFont="1" applyFill="1" applyBorder="1" applyAlignment="1">
      <alignment horizontal="center" vertical="center"/>
    </xf>
    <xf numFmtId="3" fontId="18" fillId="0" borderId="34" xfId="0" applyNumberFormat="1" applyFont="1" applyBorder="1" applyAlignment="1">
      <alignment vertical="center"/>
    </xf>
    <xf numFmtId="0" fontId="18" fillId="0" borderId="35" xfId="119" applyFont="1" applyBorder="1" applyAlignment="1">
      <alignment horizontal="center" vertical="center"/>
    </xf>
    <xf numFmtId="3" fontId="18" fillId="0" borderId="35" xfId="0" applyNumberFormat="1" applyFont="1" applyBorder="1" applyAlignment="1">
      <alignment horizontal="center" vertical="center"/>
    </xf>
    <xf numFmtId="3" fontId="19" fillId="48" borderId="34" xfId="0" applyNumberFormat="1" applyFont="1" applyFill="1" applyBorder="1" applyAlignment="1">
      <alignment horizontal="center" vertical="center"/>
    </xf>
    <xf numFmtId="3" fontId="18" fillId="46" borderId="29" xfId="0" applyNumberFormat="1" applyFont="1" applyFill="1" applyBorder="1" applyAlignment="1">
      <alignment horizontal="center" vertical="center"/>
    </xf>
    <xf numFmtId="3" fontId="19" fillId="0" borderId="19" xfId="0" applyNumberFormat="1" applyFont="1" applyBorder="1" applyAlignment="1">
      <alignment vertical="center"/>
    </xf>
    <xf numFmtId="3" fontId="19" fillId="0" borderId="62" xfId="0" applyNumberFormat="1" applyFont="1" applyBorder="1" applyAlignment="1">
      <alignment horizontal="left" vertical="center" wrapText="1"/>
    </xf>
    <xf numFmtId="3" fontId="19" fillId="46" borderId="28" xfId="0" applyNumberFormat="1" applyFont="1" applyFill="1" applyBorder="1" applyAlignment="1">
      <alignment horizontal="center" vertical="center"/>
    </xf>
    <xf numFmtId="3" fontId="19" fillId="46" borderId="29" xfId="0" applyNumberFormat="1" applyFont="1" applyFill="1" applyBorder="1" applyAlignment="1">
      <alignment horizontal="center" vertical="center"/>
    </xf>
    <xf numFmtId="3" fontId="18" fillId="46" borderId="29" xfId="0" applyNumberFormat="1" applyFont="1" applyFill="1" applyBorder="1" applyAlignment="1">
      <alignment horizontal="left" vertical="center"/>
    </xf>
    <xf numFmtId="3" fontId="19" fillId="46" borderId="30" xfId="0" applyNumberFormat="1" applyFont="1" applyFill="1" applyBorder="1" applyAlignment="1">
      <alignment vertical="center"/>
    </xf>
    <xf numFmtId="3" fontId="19" fillId="46" borderId="28" xfId="99" applyNumberFormat="1" applyFont="1" applyFill="1" applyBorder="1" applyAlignment="1">
      <alignment horizontal="right" vertical="center"/>
    </xf>
    <xf numFmtId="3" fontId="20" fillId="0" borderId="29" xfId="0" applyNumberFormat="1" applyFont="1" applyBorder="1" applyAlignment="1">
      <alignment vertical="center"/>
    </xf>
    <xf numFmtId="0" fontId="19" fillId="0" borderId="29" xfId="119" applyFont="1" applyBorder="1" applyAlignment="1">
      <alignment horizontal="center" vertical="center"/>
    </xf>
    <xf numFmtId="3" fontId="19" fillId="0" borderId="61" xfId="0" applyNumberFormat="1" applyFont="1" applyBorder="1" applyAlignment="1">
      <alignment horizontal="center" vertical="center"/>
    </xf>
    <xf numFmtId="3" fontId="20" fillId="0" borderId="29" xfId="0" applyNumberFormat="1" applyFont="1" applyBorder="1" applyAlignment="1">
      <alignment horizontal="center" vertical="center"/>
    </xf>
    <xf numFmtId="3" fontId="19" fillId="49" borderId="28" xfId="0" applyNumberFormat="1" applyFont="1" applyFill="1" applyBorder="1" applyAlignment="1">
      <alignment horizontal="center" vertical="center"/>
    </xf>
    <xf numFmtId="3" fontId="19" fillId="49" borderId="29" xfId="0" applyNumberFormat="1" applyFont="1" applyFill="1" applyBorder="1" applyAlignment="1">
      <alignment horizontal="center" vertical="center"/>
    </xf>
    <xf numFmtId="3" fontId="19" fillId="49" borderId="28" xfId="0" applyNumberFormat="1" applyFont="1" applyFill="1" applyBorder="1" applyAlignment="1">
      <alignment vertical="center"/>
    </xf>
    <xf numFmtId="3" fontId="18" fillId="49" borderId="28" xfId="99" applyNumberFormat="1" applyFont="1" applyFill="1" applyBorder="1" applyAlignment="1">
      <alignment horizontal="right" vertical="center"/>
    </xf>
    <xf numFmtId="3" fontId="18" fillId="49" borderId="29" xfId="0" applyNumberFormat="1" applyFont="1" applyFill="1" applyBorder="1" applyAlignment="1">
      <alignment horizontal="center" vertical="center"/>
    </xf>
    <xf numFmtId="3" fontId="18" fillId="46" borderId="29" xfId="0" applyNumberFormat="1" applyFont="1" applyFill="1" applyBorder="1" applyAlignment="1">
      <alignment vertical="center"/>
    </xf>
    <xf numFmtId="3" fontId="19" fillId="0" borderId="28" xfId="126" applyNumberFormat="1" applyFont="1" applyBorder="1" applyAlignment="1">
      <alignment vertical="center" wrapText="1"/>
    </xf>
    <xf numFmtId="3" fontId="18" fillId="0" borderId="28" xfId="99" applyNumberFormat="1" applyFont="1" applyBorder="1" applyAlignment="1">
      <alignment horizontal="center" vertical="top" wrapText="1"/>
    </xf>
    <xf numFmtId="1" fontId="20" fillId="0" borderId="28" xfId="0" applyNumberFormat="1" applyFont="1" applyBorder="1" applyAlignment="1">
      <alignment vertical="center"/>
    </xf>
    <xf numFmtId="49" fontId="19" fillId="0" borderId="28" xfId="0" applyNumberFormat="1" applyFont="1" applyBorder="1" applyAlignment="1">
      <alignment horizontal="right" vertical="center"/>
    </xf>
    <xf numFmtId="3" fontId="18" fillId="51" borderId="29" xfId="0" applyNumberFormat="1" applyFont="1" applyFill="1" applyBorder="1" applyAlignment="1">
      <alignment vertical="center"/>
    </xf>
    <xf numFmtId="3" fontId="18" fillId="51" borderId="30" xfId="0" applyNumberFormat="1" applyFont="1" applyFill="1" applyBorder="1" applyAlignment="1">
      <alignment vertical="center"/>
    </xf>
    <xf numFmtId="3" fontId="18" fillId="51" borderId="28" xfId="0" applyNumberFormat="1" applyFont="1" applyFill="1" applyBorder="1" applyAlignment="1">
      <alignment vertical="center"/>
    </xf>
    <xf numFmtId="3" fontId="19" fillId="0" borderId="61" xfId="0" applyNumberFormat="1" applyFont="1" applyBorder="1" applyAlignment="1">
      <alignment vertical="center" wrapText="1"/>
    </xf>
    <xf numFmtId="3" fontId="18" fillId="51" borderId="30" xfId="0" applyNumberFormat="1" applyFont="1" applyFill="1" applyBorder="1" applyAlignment="1">
      <alignment horizontal="center" vertical="center"/>
    </xf>
    <xf numFmtId="3" fontId="18" fillId="51" borderId="31" xfId="0" applyNumberFormat="1" applyFont="1" applyFill="1" applyBorder="1" applyAlignment="1">
      <alignment horizontal="center" vertical="center"/>
    </xf>
    <xf numFmtId="3" fontId="18" fillId="46" borderId="30" xfId="0" applyNumberFormat="1" applyFont="1" applyFill="1" applyBorder="1" applyAlignment="1">
      <alignment horizontal="left" vertical="center"/>
    </xf>
    <xf numFmtId="3" fontId="18" fillId="46" borderId="28" xfId="0" applyNumberFormat="1" applyFont="1" applyFill="1" applyBorder="1" applyAlignment="1">
      <alignment horizontal="right" vertical="center"/>
    </xf>
    <xf numFmtId="3" fontId="18" fillId="51" borderId="28" xfId="99" applyNumberFormat="1" applyFont="1" applyFill="1" applyBorder="1" applyAlignment="1">
      <alignment horizontal="center" vertical="top" wrapText="1"/>
    </xf>
    <xf numFmtId="3" fontId="19" fillId="51" borderId="29" xfId="99" applyNumberFormat="1" applyFont="1" applyFill="1" applyBorder="1" applyAlignment="1">
      <alignment horizontal="left" vertical="center"/>
    </xf>
    <xf numFmtId="3" fontId="19" fillId="51" borderId="28" xfId="99" applyNumberFormat="1" applyFont="1" applyFill="1" applyBorder="1" applyAlignment="1">
      <alignment horizontal="right" vertical="top" wrapText="1"/>
    </xf>
    <xf numFmtId="3" fontId="19" fillId="51" borderId="28" xfId="99" applyNumberFormat="1" applyFont="1" applyFill="1" applyBorder="1" applyAlignment="1">
      <alignment vertical="top" wrapText="1"/>
    </xf>
    <xf numFmtId="3" fontId="19" fillId="0" borderId="55" xfId="0" applyNumberFormat="1" applyFont="1" applyBorder="1" applyAlignment="1">
      <alignment horizontal="center" vertical="center"/>
    </xf>
    <xf numFmtId="3" fontId="19" fillId="0" borderId="63" xfId="0" applyNumberFormat="1" applyFont="1" applyBorder="1" applyAlignment="1">
      <alignment vertical="center" wrapText="1"/>
    </xf>
    <xf numFmtId="3" fontId="18" fillId="46" borderId="30" xfId="0" applyNumberFormat="1" applyFont="1" applyFill="1" applyBorder="1" applyAlignment="1">
      <alignment horizontal="center" vertical="center"/>
    </xf>
    <xf numFmtId="0" fontId="18" fillId="46" borderId="29" xfId="93" applyFont="1" applyFill="1" applyBorder="1" applyAlignment="1">
      <alignment vertical="center" wrapText="1"/>
    </xf>
    <xf numFmtId="0" fontId="19" fillId="46" borderId="41" xfId="0" applyFont="1" applyFill="1" applyBorder="1" applyAlignment="1">
      <alignment vertical="center"/>
    </xf>
    <xf numFmtId="0" fontId="19" fillId="46" borderId="41" xfId="0" applyFont="1" applyFill="1" applyBorder="1" applyAlignment="1">
      <alignment horizontal="center" vertical="center"/>
    </xf>
    <xf numFmtId="3" fontId="18" fillId="46" borderId="32" xfId="0" applyNumberFormat="1" applyFont="1" applyFill="1" applyBorder="1" applyAlignment="1">
      <alignment vertical="center"/>
    </xf>
    <xf numFmtId="3" fontId="19" fillId="0" borderId="28" xfId="96" applyNumberFormat="1" applyFont="1" applyBorder="1" applyAlignment="1">
      <alignment horizontal="right" vertical="center"/>
    </xf>
    <xf numFmtId="3" fontId="66" fillId="0" borderId="56" xfId="0" applyNumberFormat="1" applyFont="1" applyBorder="1" applyAlignment="1">
      <alignment vertical="center"/>
    </xf>
    <xf numFmtId="3" fontId="66" fillId="0" borderId="57" xfId="0" applyNumberFormat="1" applyFont="1" applyBorder="1" applyAlignment="1">
      <alignment vertical="center"/>
    </xf>
    <xf numFmtId="49" fontId="19" fillId="0" borderId="29" xfId="0" applyNumberFormat="1" applyFont="1" applyBorder="1" applyAlignment="1">
      <alignment vertical="center"/>
    </xf>
    <xf numFmtId="3" fontId="66" fillId="0" borderId="28" xfId="0" applyNumberFormat="1" applyFont="1" applyBorder="1" applyAlignment="1">
      <alignment horizontal="center" vertical="center"/>
    </xf>
    <xf numFmtId="3" fontId="18" fillId="51" borderId="57" xfId="0" applyNumberFormat="1" applyFont="1" applyFill="1" applyBorder="1" applyAlignment="1">
      <alignment horizontal="center" vertical="center"/>
    </xf>
    <xf numFmtId="3" fontId="18" fillId="51" borderId="55" xfId="0" applyNumberFormat="1" applyFont="1" applyFill="1" applyBorder="1" applyAlignment="1">
      <alignment horizontal="center" vertical="center"/>
    </xf>
    <xf numFmtId="49" fontId="19" fillId="0" borderId="0" xfId="0" applyNumberFormat="1" applyFont="1" applyAlignment="1">
      <alignment vertical="center" wrapText="1"/>
    </xf>
    <xf numFmtId="3" fontId="19" fillId="0" borderId="55" xfId="0" applyNumberFormat="1" applyFont="1" applyBorder="1" applyAlignment="1">
      <alignment vertical="center" wrapText="1"/>
    </xf>
    <xf numFmtId="0" fontId="19" fillId="0" borderId="57" xfId="0" applyFont="1" applyBorder="1" applyAlignment="1">
      <alignment vertical="center"/>
    </xf>
    <xf numFmtId="0" fontId="19" fillId="0" borderId="56" xfId="0" applyFont="1" applyBorder="1" applyAlignment="1">
      <alignment vertical="center"/>
    </xf>
    <xf numFmtId="3" fontId="19" fillId="51" borderId="57" xfId="0" applyNumberFormat="1" applyFont="1" applyFill="1" applyBorder="1" applyAlignment="1">
      <alignment horizontal="right" vertical="center"/>
    </xf>
    <xf numFmtId="3" fontId="18" fillId="0" borderId="54" xfId="0" applyNumberFormat="1" applyFont="1" applyBorder="1" applyAlignment="1">
      <alignment horizontal="center" vertical="center"/>
    </xf>
    <xf numFmtId="3" fontId="68" fillId="0" borderId="57" xfId="0" applyNumberFormat="1" applyFont="1" applyBorder="1" applyAlignment="1">
      <alignment vertical="center"/>
    </xf>
    <xf numFmtId="3" fontId="18" fillId="0" borderId="30" xfId="0" applyNumberFormat="1" applyFont="1" applyBorder="1" applyAlignment="1">
      <alignment horizontal="left" vertical="center"/>
    </xf>
    <xf numFmtId="0" fontId="18" fillId="0" borderId="29" xfId="122" applyFont="1" applyBorder="1" applyAlignment="1">
      <alignment horizontal="center" vertical="center"/>
    </xf>
    <xf numFmtId="3" fontId="19" fillId="0" borderId="57" xfId="99" applyNumberFormat="1" applyFont="1" applyBorder="1" applyAlignment="1">
      <alignment horizontal="right" vertical="center"/>
    </xf>
    <xf numFmtId="0" fontId="18" fillId="48" borderId="55" xfId="119" applyFont="1" applyFill="1" applyBorder="1" applyAlignment="1">
      <alignment horizontal="center" vertical="center" wrapText="1"/>
    </xf>
    <xf numFmtId="0" fontId="18" fillId="0" borderId="31" xfId="119" applyFont="1" applyBorder="1" applyAlignment="1">
      <alignment horizontal="center" vertical="center"/>
    </xf>
    <xf numFmtId="3" fontId="20" fillId="0" borderId="31" xfId="0" applyNumberFormat="1" applyFont="1" applyBorder="1" applyAlignment="1">
      <alignment vertical="center"/>
    </xf>
    <xf numFmtId="3" fontId="20" fillId="0" borderId="57" xfId="0" applyNumberFormat="1" applyFont="1" applyBorder="1" applyAlignment="1">
      <alignment horizontal="center" vertical="center"/>
    </xf>
    <xf numFmtId="3" fontId="20" fillId="0" borderId="29" xfId="0" applyNumberFormat="1" applyFont="1" applyBorder="1" applyAlignment="1">
      <alignment horizontal="left" vertical="center" wrapText="1"/>
    </xf>
    <xf numFmtId="3" fontId="20" fillId="0" borderId="47" xfId="0" applyNumberFormat="1" applyFont="1" applyBorder="1" applyAlignment="1">
      <alignment horizontal="center" vertical="center"/>
    </xf>
    <xf numFmtId="0" fontId="20" fillId="0" borderId="40" xfId="94" applyFont="1" applyBorder="1" applyAlignment="1">
      <alignment vertical="center" wrapText="1"/>
    </xf>
    <xf numFmtId="3" fontId="19" fillId="0" borderId="48" xfId="0" applyNumberFormat="1" applyFont="1" applyBorder="1" applyAlignment="1">
      <alignment vertical="center"/>
    </xf>
    <xf numFmtId="3" fontId="18" fillId="0" borderId="48" xfId="0" applyNumberFormat="1" applyFont="1" applyBorder="1" applyAlignment="1">
      <alignment vertical="center"/>
    </xf>
    <xf numFmtId="3" fontId="20" fillId="0" borderId="29" xfId="0" applyNumberFormat="1" applyFont="1" applyBorder="1" applyAlignment="1">
      <alignment horizontal="left" vertical="center"/>
    </xf>
    <xf numFmtId="3" fontId="18" fillId="0" borderId="43" xfId="0" applyNumberFormat="1" applyFont="1" applyBorder="1" applyAlignment="1">
      <alignment horizontal="left" vertical="center"/>
    </xf>
    <xf numFmtId="3" fontId="75" fillId="0" borderId="43" xfId="0" applyNumberFormat="1" applyFont="1" applyBorder="1" applyAlignment="1">
      <alignment vertical="center"/>
    </xf>
    <xf numFmtId="3" fontId="75" fillId="0" borderId="28" xfId="0" applyNumberFormat="1" applyFont="1" applyBorder="1" applyAlignment="1">
      <alignment vertical="center"/>
    </xf>
    <xf numFmtId="3" fontId="75" fillId="0" borderId="28" xfId="99" applyNumberFormat="1" applyFont="1" applyBorder="1" applyAlignment="1">
      <alignment horizontal="right" vertical="center"/>
    </xf>
    <xf numFmtId="3" fontId="76" fillId="0" borderId="28" xfId="98" applyNumberFormat="1" applyFont="1" applyBorder="1" applyAlignment="1">
      <alignment vertical="center" wrapText="1"/>
    </xf>
    <xf numFmtId="3" fontId="76" fillId="0" borderId="28" xfId="98" applyNumberFormat="1" applyFont="1" applyBorder="1" applyAlignment="1">
      <alignment vertical="center"/>
    </xf>
    <xf numFmtId="3" fontId="16" fillId="0" borderId="28" xfId="94" applyNumberFormat="1" applyFont="1" applyBorder="1" applyAlignment="1">
      <alignment horizontal="center" vertical="top" wrapText="1"/>
    </xf>
    <xf numFmtId="3" fontId="75" fillId="0" borderId="47" xfId="0" applyNumberFormat="1" applyFont="1" applyBorder="1" applyAlignment="1">
      <alignment horizontal="center" vertical="center"/>
    </xf>
    <xf numFmtId="3" fontId="14" fillId="52" borderId="0" xfId="0" applyNumberFormat="1" applyFont="1" applyFill="1" applyAlignment="1">
      <alignment vertical="center"/>
    </xf>
    <xf numFmtId="3" fontId="13" fillId="0" borderId="0" xfId="115" applyNumberFormat="1" applyAlignment="1">
      <alignment vertical="center"/>
    </xf>
    <xf numFmtId="3" fontId="19" fillId="0" borderId="0" xfId="0" applyNumberFormat="1" applyFont="1" applyAlignment="1">
      <alignment horizontal="center" vertical="center"/>
    </xf>
    <xf numFmtId="3" fontId="19" fillId="0" borderId="57" xfId="94" applyNumberFormat="1" applyFont="1" applyBorder="1" applyAlignment="1">
      <alignment horizontal="right" vertical="center" wrapText="1"/>
    </xf>
    <xf numFmtId="3" fontId="19" fillId="0" borderId="30" xfId="0" applyNumberFormat="1" applyFont="1" applyBorder="1" applyAlignment="1">
      <alignment vertical="center" wrapText="1"/>
    </xf>
    <xf numFmtId="3" fontId="78" fillId="0" borderId="28" xfId="0" applyNumberFormat="1" applyFont="1" applyBorder="1" applyAlignment="1">
      <alignment horizontal="center" vertical="center"/>
    </xf>
    <xf numFmtId="3" fontId="78" fillId="0" borderId="28" xfId="99" applyNumberFormat="1" applyFont="1" applyBorder="1" applyAlignment="1">
      <alignment horizontal="right" vertical="center"/>
    </xf>
    <xf numFmtId="3" fontId="78" fillId="0" borderId="28" xfId="0" applyNumberFormat="1" applyFont="1" applyBorder="1" applyAlignment="1">
      <alignment vertical="center"/>
    </xf>
    <xf numFmtId="0" fontId="19" fillId="0" borderId="29" xfId="125" applyFont="1" applyBorder="1" applyAlignment="1">
      <alignment vertical="center" wrapText="1"/>
    </xf>
    <xf numFmtId="0" fontId="19" fillId="0" borderId="29" xfId="122" applyFont="1" applyBorder="1" applyAlignment="1">
      <alignment vertical="center"/>
    </xf>
    <xf numFmtId="3" fontId="18" fillId="0" borderId="56" xfId="0" applyNumberFormat="1" applyFont="1" applyBorder="1" applyAlignment="1">
      <alignment horizontal="right" vertical="center"/>
    </xf>
    <xf numFmtId="3" fontId="19" fillId="0" borderId="56" xfId="0" applyNumberFormat="1" applyFont="1" applyBorder="1" applyAlignment="1">
      <alignment horizontal="right" vertical="center"/>
    </xf>
    <xf numFmtId="0" fontId="19" fillId="0" borderId="64" xfId="0" applyFont="1" applyBorder="1" applyAlignment="1">
      <alignment vertical="center"/>
    </xf>
    <xf numFmtId="0" fontId="19" fillId="0" borderId="55" xfId="122" applyFont="1" applyBorder="1" applyAlignment="1">
      <alignment horizontal="left" vertical="center"/>
    </xf>
    <xf numFmtId="3" fontId="19" fillId="48" borderId="13" xfId="0" applyNumberFormat="1" applyFont="1" applyFill="1" applyBorder="1" applyAlignment="1">
      <alignment horizontal="center" vertical="center"/>
    </xf>
    <xf numFmtId="0" fontId="19" fillId="0" borderId="55" xfId="0" applyFont="1" applyBorder="1" applyAlignment="1">
      <alignment vertical="center" wrapText="1"/>
    </xf>
    <xf numFmtId="0" fontId="19" fillId="0" borderId="55" xfId="119" applyFont="1" applyBorder="1" applyAlignment="1">
      <alignment horizontal="left" vertical="center" wrapText="1"/>
    </xf>
    <xf numFmtId="3" fontId="19" fillId="0" borderId="57" xfId="124" applyNumberFormat="1" applyFont="1" applyBorder="1" applyAlignment="1">
      <alignment horizontal="left" vertical="center" wrapText="1"/>
    </xf>
    <xf numFmtId="3" fontId="19" fillId="0" borderId="55" xfId="124" applyNumberFormat="1" applyFont="1" applyBorder="1" applyAlignment="1">
      <alignment horizontal="left" vertical="center" wrapText="1"/>
    </xf>
    <xf numFmtId="3" fontId="19" fillId="48" borderId="57" xfId="0" applyNumberFormat="1" applyFont="1" applyFill="1" applyBorder="1" applyAlignment="1">
      <alignment horizontal="center" vertical="center"/>
    </xf>
    <xf numFmtId="0" fontId="19" fillId="0" borderId="55" xfId="119" applyFont="1" applyBorder="1" applyAlignment="1">
      <alignment horizontal="left" vertical="center"/>
    </xf>
    <xf numFmtId="49" fontId="19" fillId="0" borderId="35" xfId="123" applyNumberFormat="1" applyFont="1" applyBorder="1" applyAlignment="1">
      <alignment horizontal="left" vertical="center" wrapText="1"/>
    </xf>
    <xf numFmtId="3" fontId="18" fillId="0" borderId="61" xfId="0" applyNumberFormat="1" applyFont="1" applyBorder="1" applyAlignment="1">
      <alignment horizontal="center" vertical="center"/>
    </xf>
    <xf numFmtId="0" fontId="19" fillId="0" borderId="29" xfId="0" applyFont="1" applyBorder="1" applyAlignment="1">
      <alignment vertical="center"/>
    </xf>
    <xf numFmtId="3" fontId="14" fillId="0" borderId="30" xfId="0" applyNumberFormat="1" applyFont="1" applyBorder="1" applyAlignment="1">
      <alignment vertical="center"/>
    </xf>
    <xf numFmtId="0" fontId="19" fillId="48" borderId="29" xfId="119" applyFont="1" applyFill="1" applyBorder="1" applyAlignment="1">
      <alignment horizontal="center" vertical="top" wrapText="1"/>
    </xf>
    <xf numFmtId="0" fontId="19" fillId="0" borderId="29" xfId="0" applyFont="1" applyBorder="1" applyAlignment="1">
      <alignment vertical="center" wrapText="1"/>
    </xf>
    <xf numFmtId="3" fontId="19" fillId="0" borderId="13" xfId="99" applyNumberFormat="1" applyFont="1" applyBorder="1" applyAlignment="1">
      <alignment horizontal="right" vertical="center"/>
    </xf>
    <xf numFmtId="3" fontId="19" fillId="0" borderId="49" xfId="121" applyNumberFormat="1" applyFont="1" applyBorder="1" applyAlignment="1">
      <alignment vertical="center" wrapText="1"/>
    </xf>
    <xf numFmtId="3" fontId="19" fillId="0" borderId="35" xfId="121" applyNumberFormat="1" applyFont="1" applyBorder="1" applyAlignment="1">
      <alignment vertical="center" wrapText="1"/>
    </xf>
    <xf numFmtId="3" fontId="63" fillId="0" borderId="44" xfId="0" applyNumberFormat="1" applyFont="1" applyBorder="1" applyAlignment="1">
      <alignment horizontal="center" vertical="center"/>
    </xf>
    <xf numFmtId="3" fontId="18" fillId="0" borderId="64" xfId="0" applyNumberFormat="1" applyFont="1" applyBorder="1" applyAlignment="1">
      <alignment vertical="center"/>
    </xf>
    <xf numFmtId="3" fontId="20" fillId="0" borderId="44" xfId="0" applyNumberFormat="1" applyFont="1" applyBorder="1" applyAlignment="1">
      <alignment horizontal="left" vertical="center" wrapText="1"/>
    </xf>
    <xf numFmtId="0" fontId="20" fillId="0" borderId="44" xfId="94" applyFont="1" applyBorder="1" applyAlignment="1">
      <alignment vertical="center" wrapText="1"/>
    </xf>
    <xf numFmtId="3" fontId="19" fillId="0" borderId="30" xfId="0" applyNumberFormat="1" applyFont="1" applyBorder="1" applyAlignment="1">
      <alignment horizontal="left" vertical="center"/>
    </xf>
    <xf numFmtId="0" fontId="17" fillId="46" borderId="28" xfId="93" applyFont="1" applyFill="1" applyBorder="1" applyAlignment="1">
      <alignment horizontal="center" vertical="center" wrapText="1"/>
    </xf>
    <xf numFmtId="0" fontId="17" fillId="0" borderId="26" xfId="98" applyFont="1" applyBorder="1" applyAlignment="1">
      <alignment vertical="center"/>
    </xf>
    <xf numFmtId="0" fontId="17" fillId="0" borderId="44" xfId="98" applyFont="1" applyBorder="1" applyAlignment="1">
      <alignment vertical="center"/>
    </xf>
    <xf numFmtId="0" fontId="17" fillId="0" borderId="28" xfId="98" applyFont="1" applyBorder="1" applyAlignment="1">
      <alignment horizontal="center" vertical="center"/>
    </xf>
    <xf numFmtId="0" fontId="16" fillId="0" borderId="28" xfId="98" applyFont="1" applyBorder="1" applyAlignment="1">
      <alignment vertical="center"/>
    </xf>
    <xf numFmtId="3" fontId="16" fillId="0" borderId="28" xfId="0" applyNumberFormat="1" applyFont="1" applyBorder="1" applyAlignment="1">
      <alignment horizontal="center" vertical="center"/>
    </xf>
    <xf numFmtId="0" fontId="16" fillId="0" borderId="44" xfId="93" applyFont="1" applyBorder="1" applyAlignment="1">
      <alignment vertical="center"/>
    </xf>
    <xf numFmtId="0" fontId="16" fillId="0" borderId="28" xfId="93" applyFont="1" applyBorder="1" applyAlignment="1">
      <alignment horizontal="center" vertical="center"/>
    </xf>
    <xf numFmtId="3" fontId="17" fillId="0" borderId="28" xfId="0" applyNumberFormat="1" applyFont="1" applyBorder="1" applyAlignment="1">
      <alignment vertical="center"/>
    </xf>
    <xf numFmtId="0" fontId="16" fillId="0" borderId="44" xfId="98" applyFont="1" applyBorder="1" applyAlignment="1">
      <alignment vertical="center" wrapText="1"/>
    </xf>
    <xf numFmtId="0" fontId="16" fillId="0" borderId="28" xfId="98" applyFont="1" applyBorder="1" applyAlignment="1">
      <alignment horizontal="center" vertical="center" wrapText="1"/>
    </xf>
    <xf numFmtId="166" fontId="16" fillId="0" borderId="28" xfId="56" applyNumberFormat="1" applyFont="1" applyBorder="1" applyAlignment="1">
      <alignment horizontal="center" vertical="center"/>
    </xf>
    <xf numFmtId="167" fontId="16" fillId="0" borderId="28" xfId="56" applyNumberFormat="1" applyFont="1" applyBorder="1" applyAlignment="1">
      <alignment horizontal="center" vertical="center"/>
    </xf>
    <xf numFmtId="3" fontId="16" fillId="0" borderId="28" xfId="99" applyNumberFormat="1" applyFont="1" applyBorder="1" applyAlignment="1">
      <alignment vertical="center" wrapText="1"/>
    </xf>
    <xf numFmtId="0" fontId="17" fillId="46" borderId="28" xfId="98" applyFont="1" applyFill="1" applyBorder="1" applyAlignment="1">
      <alignment horizontal="center" vertical="center"/>
    </xf>
    <xf numFmtId="3" fontId="17" fillId="46" borderId="44" xfId="0" applyNumberFormat="1" applyFont="1" applyFill="1" applyBorder="1" applyAlignment="1">
      <alignment vertical="center"/>
    </xf>
    <xf numFmtId="3" fontId="17" fillId="46" borderId="28" xfId="98" applyNumberFormat="1" applyFont="1" applyFill="1" applyBorder="1" applyAlignment="1">
      <alignment vertical="center"/>
    </xf>
    <xf numFmtId="3" fontId="17" fillId="0" borderId="28" xfId="98" applyNumberFormat="1" applyFont="1" applyBorder="1" applyAlignment="1">
      <alignment vertical="center"/>
    </xf>
    <xf numFmtId="0" fontId="16" fillId="0" borderId="44" xfId="116" applyFont="1" applyBorder="1" applyAlignment="1">
      <alignment vertical="center" wrapText="1"/>
    </xf>
    <xf numFmtId="3" fontId="16" fillId="0" borderId="28" xfId="56" applyNumberFormat="1" applyFont="1" applyBorder="1" applyAlignment="1">
      <alignment horizontal="center" vertical="center"/>
    </xf>
    <xf numFmtId="0" fontId="16" fillId="0" borderId="28" xfId="56" applyNumberFormat="1" applyFont="1" applyBorder="1" applyAlignment="1">
      <alignment horizontal="center" vertical="center"/>
    </xf>
    <xf numFmtId="3" fontId="64" fillId="0" borderId="28" xfId="98" applyNumberFormat="1" applyFont="1" applyBorder="1" applyAlignment="1">
      <alignment vertical="center"/>
    </xf>
    <xf numFmtId="3" fontId="16" fillId="0" borderId="44" xfId="0" applyNumberFormat="1" applyFont="1" applyBorder="1" applyAlignment="1">
      <alignment horizontal="left" vertical="center" wrapText="1"/>
    </xf>
    <xf numFmtId="3" fontId="17" fillId="46" borderId="28" xfId="0" applyNumberFormat="1" applyFont="1" applyFill="1" applyBorder="1" applyAlignment="1">
      <alignment horizontal="center" vertical="center"/>
    </xf>
    <xf numFmtId="3" fontId="17" fillId="0" borderId="28" xfId="0" applyNumberFormat="1" applyFont="1" applyBorder="1" applyAlignment="1">
      <alignment horizontal="center" vertical="center"/>
    </xf>
    <xf numFmtId="3" fontId="17" fillId="0" borderId="44" xfId="0" applyNumberFormat="1" applyFont="1" applyBorder="1" applyAlignment="1">
      <alignment vertical="center"/>
    </xf>
    <xf numFmtId="0" fontId="16" fillId="0" borderId="44" xfId="117" applyFont="1" applyBorder="1" applyAlignment="1">
      <alignment vertical="center" wrapText="1"/>
    </xf>
    <xf numFmtId="49" fontId="16" fillId="0" borderId="28" xfId="98" applyNumberFormat="1" applyFont="1" applyBorder="1" applyAlignment="1">
      <alignment horizontal="center" vertical="center"/>
    </xf>
    <xf numFmtId="49" fontId="16" fillId="0" borderId="28" xfId="94" applyNumberFormat="1" applyFont="1" applyBorder="1" applyAlignment="1">
      <alignment horizontal="center" vertical="center" wrapText="1"/>
    </xf>
    <xf numFmtId="3" fontId="16" fillId="0" borderId="28" xfId="98" applyNumberFormat="1" applyFont="1" applyBorder="1" applyAlignment="1">
      <alignment horizontal="center" vertical="center"/>
    </xf>
    <xf numFmtId="0" fontId="16" fillId="0" borderId="28" xfId="98" applyFont="1" applyBorder="1" applyAlignment="1">
      <alignment horizontal="left" vertical="center"/>
    </xf>
    <xf numFmtId="3" fontId="16" fillId="0" borderId="44" xfId="0" applyNumberFormat="1" applyFont="1" applyBorder="1" applyAlignment="1">
      <alignment vertical="center"/>
    </xf>
    <xf numFmtId="3" fontId="16" fillId="0" borderId="44" xfId="0" applyNumberFormat="1" applyFont="1" applyBorder="1" applyAlignment="1">
      <alignment horizontal="left" vertical="center"/>
    </xf>
    <xf numFmtId="49" fontId="16" fillId="0" borderId="28" xfId="98" applyNumberFormat="1" applyFont="1" applyBorder="1" applyAlignment="1">
      <alignment horizontal="center" vertical="center" wrapText="1"/>
    </xf>
    <xf numFmtId="0" fontId="17" fillId="46" borderId="44" xfId="98" applyFont="1" applyFill="1" applyBorder="1" applyAlignment="1">
      <alignment vertical="center"/>
    </xf>
    <xf numFmtId="3" fontId="16" fillId="0" borderId="28" xfId="0" applyNumberFormat="1" applyFont="1" applyBorder="1" applyAlignment="1">
      <alignment vertical="center"/>
    </xf>
    <xf numFmtId="3" fontId="16" fillId="0" borderId="28" xfId="98" applyNumberFormat="1" applyFont="1" applyBorder="1" applyAlignment="1">
      <alignment horizontal="center" vertical="center" wrapText="1"/>
    </xf>
    <xf numFmtId="0" fontId="72" fillId="0" borderId="0" xfId="115" applyFont="1" applyAlignment="1">
      <alignment horizontal="center" vertical="center" wrapText="1"/>
    </xf>
    <xf numFmtId="0" fontId="16" fillId="0" borderId="44" xfId="0" applyFont="1" applyBorder="1" applyAlignment="1">
      <alignment horizontal="left" vertical="center" wrapText="1"/>
    </xf>
    <xf numFmtId="3" fontId="20" fillId="0" borderId="48" xfId="0" applyNumberFormat="1" applyFont="1" applyBorder="1" applyAlignment="1">
      <alignment vertical="center"/>
    </xf>
    <xf numFmtId="3" fontId="16" fillId="0" borderId="28" xfId="0" applyNumberFormat="1" applyFont="1" applyBorder="1" applyAlignment="1">
      <alignment vertical="center" wrapText="1"/>
    </xf>
    <xf numFmtId="3" fontId="16" fillId="0" borderId="65" xfId="0" applyNumberFormat="1" applyFont="1" applyBorder="1" applyAlignment="1">
      <alignment horizontal="left" vertical="center" wrapText="1"/>
    </xf>
    <xf numFmtId="3" fontId="16" fillId="0" borderId="38" xfId="0" applyNumberFormat="1" applyFont="1" applyBorder="1" applyAlignment="1">
      <alignment horizontal="left" vertical="center" wrapText="1"/>
    </xf>
    <xf numFmtId="3" fontId="16" fillId="0" borderId="36" xfId="0" applyNumberFormat="1" applyFont="1" applyBorder="1" applyAlignment="1">
      <alignment horizontal="center" vertical="center"/>
    </xf>
    <xf numFmtId="0" fontId="16" fillId="0" borderId="28" xfId="94" applyFont="1" applyBorder="1" applyAlignment="1">
      <alignment vertical="center" wrapText="1"/>
    </xf>
    <xf numFmtId="0" fontId="16" fillId="0" borderId="66" xfId="94" applyFont="1" applyBorder="1" applyAlignment="1">
      <alignment vertical="center" wrapText="1"/>
    </xf>
    <xf numFmtId="3" fontId="16" fillId="0" borderId="13" xfId="94" applyNumberFormat="1" applyFont="1" applyBorder="1" applyAlignment="1">
      <alignment horizontal="center" vertical="center" wrapText="1"/>
    </xf>
    <xf numFmtId="0" fontId="16" fillId="0" borderId="35" xfId="94" applyFont="1" applyBorder="1" applyAlignment="1">
      <alignment vertical="center" wrapText="1"/>
    </xf>
    <xf numFmtId="3" fontId="20" fillId="0" borderId="35" xfId="0" applyNumberFormat="1" applyFont="1" applyBorder="1" applyAlignment="1">
      <alignment horizontal="left" vertical="center" wrapText="1"/>
    </xf>
    <xf numFmtId="3" fontId="76" fillId="0" borderId="13" xfId="94" applyNumberFormat="1" applyFont="1" applyBorder="1" applyAlignment="1">
      <alignment horizontal="center" vertical="center" wrapText="1"/>
    </xf>
    <xf numFmtId="0" fontId="16" fillId="0" borderId="67" xfId="94" applyFont="1" applyBorder="1" applyAlignment="1">
      <alignment vertical="center" wrapText="1"/>
    </xf>
    <xf numFmtId="3" fontId="16" fillId="0" borderId="35" xfId="0" applyNumberFormat="1" applyFont="1" applyBorder="1" applyAlignment="1">
      <alignment horizontal="left" vertical="center" wrapText="1"/>
    </xf>
    <xf numFmtId="3" fontId="25" fillId="0" borderId="35" xfId="0" applyNumberFormat="1" applyFont="1" applyBorder="1" applyAlignment="1">
      <alignment horizontal="left" vertical="center" wrapText="1"/>
    </xf>
    <xf numFmtId="0" fontId="20" fillId="0" borderId="35" xfId="94" applyFont="1" applyBorder="1" applyAlignment="1">
      <alignment vertical="center" wrapText="1"/>
    </xf>
    <xf numFmtId="3" fontId="16" fillId="0" borderId="28" xfId="56" applyNumberFormat="1" applyFont="1" applyFill="1" applyBorder="1" applyAlignment="1">
      <alignment horizontal="center" vertical="center"/>
    </xf>
    <xf numFmtId="3" fontId="19" fillId="0" borderId="28" xfId="94" applyNumberFormat="1" applyFont="1" applyBorder="1" applyAlignment="1">
      <alignment horizontal="center" vertical="center" wrapText="1"/>
    </xf>
    <xf numFmtId="0" fontId="16" fillId="0" borderId="35" xfId="0" applyFont="1" applyBorder="1" applyAlignment="1">
      <alignment horizontal="left" vertical="center" wrapText="1"/>
    </xf>
    <xf numFmtId="0" fontId="17" fillId="46" borderId="35" xfId="98" applyFont="1" applyFill="1" applyBorder="1" applyAlignment="1">
      <alignment vertical="center"/>
    </xf>
    <xf numFmtId="0" fontId="17" fillId="0" borderId="35" xfId="98" applyFont="1" applyBorder="1" applyAlignment="1">
      <alignment vertical="center"/>
    </xf>
    <xf numFmtId="0" fontId="16" fillId="0" borderId="35" xfId="98" applyFont="1" applyBorder="1" applyAlignment="1">
      <alignment vertical="center" wrapText="1"/>
    </xf>
    <xf numFmtId="0" fontId="16" fillId="0" borderId="35" xfId="115" applyFont="1" applyBorder="1" applyAlignment="1">
      <alignment vertical="center"/>
    </xf>
    <xf numFmtId="3" fontId="16" fillId="0" borderId="28" xfId="115" applyNumberFormat="1" applyFont="1" applyBorder="1" applyAlignment="1">
      <alignment horizontal="center" vertical="center"/>
    </xf>
    <xf numFmtId="0" fontId="16" fillId="0" borderId="37" xfId="98" applyFont="1" applyBorder="1" applyAlignment="1">
      <alignment horizontal="center" vertical="center"/>
    </xf>
    <xf numFmtId="0" fontId="16" fillId="0" borderId="28" xfId="98" applyFont="1" applyBorder="1" applyAlignment="1">
      <alignment vertical="center" wrapText="1"/>
    </xf>
    <xf numFmtId="0" fontId="16" fillId="0" borderId="26" xfId="98" applyFont="1" applyBorder="1" applyAlignment="1">
      <alignment vertical="center" wrapText="1"/>
    </xf>
    <xf numFmtId="0" fontId="16" fillId="0" borderId="35" xfId="115" applyFont="1" applyBorder="1" applyAlignment="1">
      <alignment vertical="center" wrapText="1"/>
    </xf>
    <xf numFmtId="0" fontId="16" fillId="0" borderId="28" xfId="115" applyFont="1" applyBorder="1" applyAlignment="1">
      <alignment horizontal="center" vertical="center" wrapText="1"/>
    </xf>
    <xf numFmtId="0" fontId="25" fillId="0" borderId="68" xfId="115" applyFont="1" applyBorder="1" applyAlignment="1">
      <alignment vertical="center"/>
    </xf>
    <xf numFmtId="3" fontId="17" fillId="46" borderId="28" xfId="98" applyNumberFormat="1" applyFont="1" applyFill="1" applyBorder="1" applyAlignment="1">
      <alignment vertical="center" wrapText="1"/>
    </xf>
    <xf numFmtId="0" fontId="16" fillId="0" borderId="68" xfId="115" applyFont="1" applyBorder="1" applyAlignment="1">
      <alignment vertical="center" wrapText="1"/>
    </xf>
    <xf numFmtId="0" fontId="16" fillId="0" borderId="35" xfId="98" applyFont="1" applyBorder="1" applyAlignment="1">
      <alignment vertical="center"/>
    </xf>
    <xf numFmtId="3" fontId="16" fillId="0" borderId="35" xfId="0" applyNumberFormat="1" applyFont="1" applyBorder="1" applyAlignment="1">
      <alignment vertical="center"/>
    </xf>
    <xf numFmtId="0" fontId="16" fillId="46" borderId="28" xfId="98" applyFont="1" applyFill="1" applyBorder="1" applyAlignment="1">
      <alignment horizontal="center" vertical="center"/>
    </xf>
    <xf numFmtId="0" fontId="17" fillId="46" borderId="35" xfId="93" applyFont="1" applyFill="1" applyBorder="1" applyAlignment="1">
      <alignment vertical="center" wrapText="1"/>
    </xf>
    <xf numFmtId="0" fontId="17" fillId="46" borderId="28" xfId="98" applyFont="1" applyFill="1" applyBorder="1" applyAlignment="1">
      <alignment vertical="center"/>
    </xf>
    <xf numFmtId="3" fontId="16" fillId="0" borderId="0" xfId="115" applyNumberFormat="1" applyFont="1"/>
    <xf numFmtId="3" fontId="18" fillId="46" borderId="28" xfId="0" applyNumberFormat="1" applyFont="1" applyFill="1" applyBorder="1" applyAlignment="1">
      <alignment horizontal="center" vertical="center" wrapText="1"/>
    </xf>
    <xf numFmtId="3" fontId="18" fillId="0" borderId="28" xfId="0" applyNumberFormat="1" applyFont="1" applyBorder="1" applyAlignment="1">
      <alignment vertical="center" wrapText="1"/>
    </xf>
    <xf numFmtId="3" fontId="18" fillId="46" borderId="28" xfId="0" applyNumberFormat="1" applyFont="1" applyFill="1" applyBorder="1" applyAlignment="1">
      <alignment horizontal="left" vertical="center" wrapText="1"/>
    </xf>
    <xf numFmtId="3" fontId="18" fillId="49" borderId="28" xfId="0" applyNumberFormat="1" applyFont="1" applyFill="1" applyBorder="1" applyAlignment="1">
      <alignment vertical="center"/>
    </xf>
    <xf numFmtId="3" fontId="18" fillId="46" borderId="28" xfId="0" applyNumberFormat="1" applyFont="1" applyFill="1" applyBorder="1" applyAlignment="1">
      <alignment vertical="center" wrapText="1"/>
    </xf>
    <xf numFmtId="3" fontId="14" fillId="0" borderId="28" xfId="0" applyNumberFormat="1" applyFont="1" applyBorder="1" applyAlignment="1">
      <alignment vertical="center" wrapText="1"/>
    </xf>
    <xf numFmtId="3" fontId="18" fillId="0" borderId="37" xfId="0" applyNumberFormat="1" applyFont="1" applyBorder="1" applyAlignment="1">
      <alignment vertical="center" wrapText="1"/>
    </xf>
    <xf numFmtId="3" fontId="18" fillId="0" borderId="14" xfId="0" applyNumberFormat="1" applyFont="1" applyBorder="1" applyAlignment="1">
      <alignment vertical="center"/>
    </xf>
    <xf numFmtId="3" fontId="19" fillId="0" borderId="14" xfId="0" applyNumberFormat="1" applyFont="1" applyBorder="1" applyAlignment="1">
      <alignment vertical="center"/>
    </xf>
    <xf numFmtId="0" fontId="19" fillId="0" borderId="69" xfId="0" applyFont="1" applyBorder="1"/>
    <xf numFmtId="3" fontId="16" fillId="0" borderId="69" xfId="0" applyNumberFormat="1" applyFont="1" applyBorder="1" applyAlignment="1">
      <alignment horizontal="center" vertical="center" wrapText="1"/>
    </xf>
    <xf numFmtId="0" fontId="19" fillId="0" borderId="69" xfId="112" applyFont="1" applyBorder="1" applyAlignment="1">
      <alignment vertical="center"/>
    </xf>
    <xf numFmtId="3" fontId="18" fillId="50" borderId="69" xfId="112" applyNumberFormat="1" applyFont="1" applyFill="1" applyBorder="1" applyAlignment="1">
      <alignment horizontal="center" vertical="center" wrapText="1"/>
    </xf>
    <xf numFmtId="0" fontId="18" fillId="0" borderId="69" xfId="112" applyFont="1" applyBorder="1" applyAlignment="1">
      <alignment horizontal="left" vertical="top"/>
    </xf>
    <xf numFmtId="3" fontId="19" fillId="0" borderId="69" xfId="112" applyNumberFormat="1" applyFont="1" applyBorder="1" applyAlignment="1">
      <alignment vertical="center"/>
    </xf>
    <xf numFmtId="0" fontId="20" fillId="0" borderId="69" xfId="112" applyFont="1" applyBorder="1" applyAlignment="1">
      <alignment vertical="center"/>
    </xf>
    <xf numFmtId="0" fontId="19" fillId="0" borderId="69" xfId="112" applyFont="1" applyBorder="1" applyAlignment="1">
      <alignment vertical="center" wrapText="1"/>
    </xf>
    <xf numFmtId="0" fontId="20" fillId="0" borderId="69" xfId="112" applyFont="1" applyBorder="1" applyAlignment="1">
      <alignment vertical="center" wrapText="1"/>
    </xf>
    <xf numFmtId="0" fontId="18" fillId="0" borderId="69" xfId="112" applyFont="1" applyBorder="1" applyAlignment="1">
      <alignment vertical="center" wrapText="1"/>
    </xf>
    <xf numFmtId="3" fontId="66" fillId="0" borderId="69" xfId="112" applyNumberFormat="1" applyFont="1" applyBorder="1" applyAlignment="1">
      <alignment vertical="center"/>
    </xf>
    <xf numFmtId="0" fontId="18" fillId="49" borderId="69" xfId="112" applyFont="1" applyFill="1" applyBorder="1" applyAlignment="1">
      <alignment vertical="center"/>
    </xf>
    <xf numFmtId="3" fontId="19" fillId="0" borderId="69" xfId="112" applyNumberFormat="1" applyFont="1" applyBorder="1" applyAlignment="1">
      <alignment horizontal="right" vertical="center"/>
    </xf>
    <xf numFmtId="4" fontId="19" fillId="0" borderId="69" xfId="112" applyNumberFormat="1" applyFont="1" applyBorder="1" applyAlignment="1">
      <alignment horizontal="right" vertical="center"/>
    </xf>
    <xf numFmtId="165" fontId="19" fillId="0" borderId="69" xfId="112" applyNumberFormat="1" applyFont="1" applyBorder="1" applyAlignment="1">
      <alignment horizontal="right" vertical="center"/>
    </xf>
    <xf numFmtId="165" fontId="66" fillId="0" borderId="69" xfId="112" applyNumberFormat="1" applyFont="1" applyBorder="1" applyAlignment="1">
      <alignment horizontal="right" vertical="center"/>
    </xf>
    <xf numFmtId="169" fontId="19" fillId="0" borderId="69" xfId="112" applyNumberFormat="1" applyFont="1" applyBorder="1" applyAlignment="1">
      <alignment horizontal="right" vertical="center"/>
    </xf>
    <xf numFmtId="3" fontId="66" fillId="0" borderId="69" xfId="112" applyNumberFormat="1" applyFont="1" applyBorder="1" applyAlignment="1">
      <alignment horizontal="right" vertical="center"/>
    </xf>
    <xf numFmtId="3" fontId="18" fillId="49" borderId="69" xfId="112" applyNumberFormat="1" applyFont="1" applyFill="1" applyBorder="1" applyAlignment="1">
      <alignment horizontal="right" vertical="center"/>
    </xf>
    <xf numFmtId="0" fontId="16" fillId="0" borderId="69" xfId="98" applyFont="1" applyBorder="1" applyAlignment="1">
      <alignment horizontal="center" vertical="center"/>
    </xf>
    <xf numFmtId="0" fontId="19" fillId="0" borderId="69" xfId="93" applyFont="1" applyBorder="1" applyAlignment="1">
      <alignment vertical="center"/>
    </xf>
    <xf numFmtId="0" fontId="19" fillId="0" borderId="69" xfId="93" applyFont="1" applyBorder="1" applyAlignment="1">
      <alignment vertical="center" wrapText="1"/>
    </xf>
    <xf numFmtId="0" fontId="18" fillId="46" borderId="69" xfId="93" applyFont="1" applyFill="1" applyBorder="1" applyAlignment="1">
      <alignment vertical="center" wrapText="1"/>
    </xf>
    <xf numFmtId="0" fontId="18" fillId="46" borderId="69" xfId="93" applyFont="1" applyFill="1" applyBorder="1" applyAlignment="1">
      <alignment vertical="center"/>
    </xf>
    <xf numFmtId="0" fontId="18" fillId="46" borderId="69" xfId="93" applyFont="1" applyFill="1" applyBorder="1" applyAlignment="1">
      <alignment horizontal="center" vertical="center" wrapText="1"/>
    </xf>
    <xf numFmtId="0" fontId="19" fillId="0" borderId="69" xfId="93" applyFont="1" applyBorder="1" applyAlignment="1">
      <alignment horizontal="center" vertical="center"/>
    </xf>
    <xf numFmtId="3" fontId="19" fillId="0" borderId="69" xfId="93" applyNumberFormat="1" applyFont="1" applyBorder="1" applyAlignment="1">
      <alignment vertical="center"/>
    </xf>
    <xf numFmtId="3" fontId="19" fillId="0" borderId="69" xfId="0" applyNumberFormat="1" applyFont="1" applyBorder="1" applyAlignment="1">
      <alignment horizontal="center" vertical="center"/>
    </xf>
    <xf numFmtId="3" fontId="19" fillId="0" borderId="69" xfId="0" applyNumberFormat="1" applyFont="1" applyBorder="1" applyAlignment="1">
      <alignment vertical="center"/>
    </xf>
    <xf numFmtId="0" fontId="18" fillId="46" borderId="69" xfId="93" applyFont="1" applyFill="1" applyBorder="1" applyAlignment="1">
      <alignment horizontal="center" vertical="center"/>
    </xf>
    <xf numFmtId="3" fontId="18" fillId="46" borderId="69" xfId="93" applyNumberFormat="1" applyFont="1" applyFill="1" applyBorder="1" applyAlignment="1">
      <alignment vertical="center"/>
    </xf>
    <xf numFmtId="3" fontId="18" fillId="46" borderId="69" xfId="99" applyNumberFormat="1" applyFont="1" applyFill="1" applyBorder="1" applyAlignment="1">
      <alignment horizontal="center" vertical="center" wrapText="1"/>
    </xf>
    <xf numFmtId="3" fontId="19" fillId="0" borderId="69" xfId="99" applyNumberFormat="1" applyFont="1" applyBorder="1" applyAlignment="1">
      <alignment vertical="center"/>
    </xf>
    <xf numFmtId="3" fontId="19" fillId="0" borderId="69" xfId="99" applyNumberFormat="1" applyFont="1" applyBorder="1" applyAlignment="1">
      <alignment horizontal="left" vertical="center"/>
    </xf>
    <xf numFmtId="3" fontId="19" fillId="0" borderId="69" xfId="99" applyNumberFormat="1" applyFont="1" applyBorder="1" applyAlignment="1">
      <alignment horizontal="left" vertical="center" wrapText="1"/>
    </xf>
    <xf numFmtId="0" fontId="19" fillId="0" borderId="69" xfId="98" applyFont="1" applyBorder="1" applyAlignment="1">
      <alignment vertical="center" wrapText="1"/>
    </xf>
    <xf numFmtId="3" fontId="18" fillId="46" borderId="69" xfId="99" applyNumberFormat="1" applyFont="1" applyFill="1" applyBorder="1" applyAlignment="1">
      <alignment vertical="center"/>
    </xf>
    <xf numFmtId="3" fontId="19" fillId="0" borderId="69" xfId="99" applyNumberFormat="1" applyFont="1" applyBorder="1" applyAlignment="1">
      <alignment horizontal="right" vertical="center"/>
    </xf>
    <xf numFmtId="0" fontId="18" fillId="46" borderId="69" xfId="0" applyFont="1" applyFill="1" applyBorder="1" applyAlignment="1">
      <alignment horizontal="center" vertical="center" wrapText="1"/>
    </xf>
    <xf numFmtId="0" fontId="19" fillId="0" borderId="69" xfId="98" applyFont="1" applyBorder="1" applyAlignment="1">
      <alignment vertical="center"/>
    </xf>
    <xf numFmtId="3" fontId="19" fillId="0" borderId="69" xfId="99" applyNumberFormat="1" applyFont="1" applyBorder="1" applyAlignment="1">
      <alignment horizontal="center" vertical="center" wrapText="1"/>
    </xf>
    <xf numFmtId="3" fontId="18" fillId="0" borderId="69" xfId="99" applyNumberFormat="1" applyFont="1" applyBorder="1" applyAlignment="1">
      <alignment horizontal="center" vertical="center" wrapText="1"/>
    </xf>
    <xf numFmtId="3" fontId="19" fillId="0" borderId="69" xfId="99" applyNumberFormat="1" applyFont="1" applyBorder="1" applyAlignment="1">
      <alignment horizontal="center" vertical="center"/>
    </xf>
    <xf numFmtId="41" fontId="19" fillId="0" borderId="69" xfId="99" applyNumberFormat="1" applyFont="1" applyBorder="1" applyAlignment="1">
      <alignment horizontal="right" vertical="center"/>
    </xf>
    <xf numFmtId="3" fontId="19" fillId="46" borderId="69" xfId="99" applyNumberFormat="1" applyFont="1" applyFill="1" applyBorder="1" applyAlignment="1">
      <alignment horizontal="center" vertical="center"/>
    </xf>
    <xf numFmtId="3" fontId="18" fillId="46" borderId="69" xfId="99" applyNumberFormat="1" applyFont="1" applyFill="1" applyBorder="1" applyAlignment="1">
      <alignment horizontal="right" vertical="center"/>
    </xf>
    <xf numFmtId="3" fontId="18" fillId="0" borderId="69" xfId="99" applyNumberFormat="1" applyFont="1" applyBorder="1" applyAlignment="1">
      <alignment horizontal="center" vertical="center"/>
    </xf>
    <xf numFmtId="0" fontId="0" fillId="0" borderId="28" xfId="0" applyBorder="1" applyAlignment="1">
      <alignment wrapText="1"/>
    </xf>
    <xf numFmtId="0" fontId="0" fillId="0" borderId="35" xfId="0" applyBorder="1" applyAlignment="1">
      <alignment wrapText="1"/>
    </xf>
    <xf numFmtId="3" fontId="19" fillId="0" borderId="69" xfId="0" applyNumberFormat="1" applyFont="1" applyBorder="1" applyAlignment="1">
      <alignment vertical="center" wrapText="1"/>
    </xf>
    <xf numFmtId="3" fontId="19" fillId="0" borderId="69" xfId="0" applyNumberFormat="1" applyFont="1" applyBorder="1" applyAlignment="1">
      <alignment horizontal="left" vertical="center" wrapText="1"/>
    </xf>
    <xf numFmtId="3" fontId="18" fillId="0" borderId="69" xfId="0" applyNumberFormat="1" applyFont="1" applyBorder="1" applyAlignment="1">
      <alignment horizontal="center" vertical="center"/>
    </xf>
    <xf numFmtId="3" fontId="18" fillId="0" borderId="69" xfId="0" applyNumberFormat="1" applyFont="1" applyBorder="1" applyAlignment="1">
      <alignment vertical="center"/>
    </xf>
    <xf numFmtId="0" fontId="19" fillId="0" borderId="70" xfId="119" applyFont="1" applyBorder="1" applyAlignment="1">
      <alignment horizontal="center" vertical="center"/>
    </xf>
    <xf numFmtId="0" fontId="18" fillId="48" borderId="70" xfId="119" applyFont="1" applyFill="1" applyBorder="1" applyAlignment="1">
      <alignment horizontal="center" vertical="top" wrapText="1"/>
    </xf>
    <xf numFmtId="3" fontId="19" fillId="0" borderId="70" xfId="0" applyNumberFormat="1" applyFont="1" applyBorder="1" applyAlignment="1">
      <alignment horizontal="center" vertical="center"/>
    </xf>
    <xf numFmtId="3" fontId="19" fillId="0" borderId="66" xfId="0" applyNumberFormat="1" applyFont="1" applyBorder="1" applyAlignment="1">
      <alignment vertical="center"/>
    </xf>
    <xf numFmtId="3" fontId="19" fillId="0" borderId="70" xfId="0" applyNumberFormat="1" applyFont="1" applyBorder="1" applyAlignment="1">
      <alignment vertical="center"/>
    </xf>
    <xf numFmtId="0" fontId="19" fillId="48" borderId="70" xfId="119" applyFont="1" applyFill="1" applyBorder="1" applyAlignment="1">
      <alignment horizontal="center" vertical="center" wrapText="1"/>
    </xf>
    <xf numFmtId="3" fontId="19" fillId="0" borderId="71" xfId="0" applyNumberFormat="1" applyFont="1" applyBorder="1" applyAlignment="1">
      <alignment vertical="center"/>
    </xf>
    <xf numFmtId="3" fontId="19" fillId="0" borderId="37" xfId="0" applyNumberFormat="1" applyFont="1" applyBorder="1" applyAlignment="1">
      <alignment horizontal="center" vertical="center"/>
    </xf>
    <xf numFmtId="3" fontId="19" fillId="48" borderId="25" xfId="0" applyNumberFormat="1" applyFont="1" applyFill="1" applyBorder="1" applyAlignment="1">
      <alignment horizontal="center" vertical="center"/>
    </xf>
    <xf numFmtId="3" fontId="19" fillId="48" borderId="42" xfId="0" applyNumberFormat="1" applyFont="1" applyFill="1" applyBorder="1" applyAlignment="1">
      <alignment horizontal="center" vertical="center"/>
    </xf>
    <xf numFmtId="0" fontId="19" fillId="48" borderId="34" xfId="119" applyFont="1" applyFill="1" applyBorder="1" applyAlignment="1">
      <alignment horizontal="center" vertical="top" wrapText="1"/>
    </xf>
    <xf numFmtId="3" fontId="19" fillId="48" borderId="33" xfId="0" applyNumberFormat="1" applyFont="1" applyFill="1" applyBorder="1" applyAlignment="1">
      <alignment horizontal="center" vertical="center"/>
    </xf>
    <xf numFmtId="0" fontId="19" fillId="0" borderId="28" xfId="119" applyFont="1" applyBorder="1" applyAlignment="1">
      <alignment horizontal="center" vertical="center"/>
    </xf>
    <xf numFmtId="0" fontId="19" fillId="0" borderId="69" xfId="0" applyFont="1" applyBorder="1" applyAlignment="1">
      <alignment vertical="center"/>
    </xf>
    <xf numFmtId="0" fontId="19" fillId="0" borderId="69" xfId="0" applyFont="1" applyBorder="1" applyAlignment="1">
      <alignment vertical="center" wrapText="1"/>
    </xf>
    <xf numFmtId="0" fontId="19" fillId="0" borderId="69" xfId="119" applyFont="1" applyBorder="1" applyAlignment="1">
      <alignment vertical="center" wrapText="1"/>
    </xf>
    <xf numFmtId="3" fontId="19" fillId="0" borderId="20" xfId="0" applyNumberFormat="1" applyFont="1" applyBorder="1" applyAlignment="1">
      <alignment horizontal="center" vertical="center"/>
    </xf>
    <xf numFmtId="0" fontId="19" fillId="0" borderId="69" xfId="94" applyFont="1" applyBorder="1" applyAlignment="1">
      <alignment vertical="center" wrapText="1"/>
    </xf>
    <xf numFmtId="0" fontId="77" fillId="0" borderId="69" xfId="0" applyFont="1" applyBorder="1" applyAlignment="1">
      <alignment wrapText="1"/>
    </xf>
    <xf numFmtId="3" fontId="14" fillId="0" borderId="69" xfId="0" applyNumberFormat="1" applyFont="1" applyBorder="1" applyAlignment="1">
      <alignment vertical="center"/>
    </xf>
    <xf numFmtId="0" fontId="78" fillId="0" borderId="69" xfId="0" applyFont="1" applyBorder="1" applyAlignment="1">
      <alignment horizontal="left" vertical="center" wrapText="1"/>
    </xf>
    <xf numFmtId="3" fontId="78" fillId="0" borderId="69" xfId="0" applyNumberFormat="1" applyFont="1" applyBorder="1" applyAlignment="1">
      <alignment vertical="center"/>
    </xf>
    <xf numFmtId="0" fontId="19" fillId="0" borderId="69" xfId="126" applyFont="1" applyBorder="1" applyAlignment="1">
      <alignment vertical="center" wrapText="1"/>
    </xf>
    <xf numFmtId="0" fontId="19" fillId="0" borderId="56" xfId="0" applyFont="1" applyBorder="1" applyAlignment="1">
      <alignment vertical="center" wrapText="1"/>
    </xf>
    <xf numFmtId="0" fontId="19" fillId="0" borderId="70" xfId="98" applyFont="1" applyBorder="1" applyAlignment="1">
      <alignment vertical="center"/>
    </xf>
    <xf numFmtId="3" fontId="19" fillId="0" borderId="70" xfId="0" applyNumberFormat="1" applyFont="1" applyBorder="1" applyAlignment="1">
      <alignment vertical="center" wrapText="1"/>
    </xf>
    <xf numFmtId="3" fontId="19" fillId="0" borderId="72" xfId="0" applyNumberFormat="1" applyFont="1" applyBorder="1" applyAlignment="1">
      <alignment vertical="center"/>
    </xf>
    <xf numFmtId="3" fontId="18" fillId="48" borderId="69" xfId="0" applyNumberFormat="1" applyFont="1" applyFill="1" applyBorder="1" applyAlignment="1">
      <alignment horizontal="center" vertical="center"/>
    </xf>
    <xf numFmtId="3" fontId="19" fillId="0" borderId="73" xfId="99" applyNumberFormat="1" applyFont="1" applyBorder="1" applyAlignment="1">
      <alignment horizontal="center" vertical="center" wrapText="1"/>
    </xf>
    <xf numFmtId="3" fontId="19" fillId="0" borderId="70" xfId="99" applyNumberFormat="1" applyFont="1" applyBorder="1" applyAlignment="1">
      <alignment horizontal="center" vertical="center" wrapText="1"/>
    </xf>
    <xf numFmtId="3" fontId="19" fillId="0" borderId="70" xfId="99" applyNumberFormat="1" applyFont="1" applyBorder="1" applyAlignment="1">
      <alignment horizontal="center" vertical="center"/>
    </xf>
    <xf numFmtId="3" fontId="20" fillId="0" borderId="66" xfId="0" applyNumberFormat="1" applyFont="1" applyBorder="1" applyAlignment="1">
      <alignment horizontal="center" vertical="center"/>
    </xf>
    <xf numFmtId="3" fontId="18" fillId="0" borderId="69" xfId="99" applyNumberFormat="1" applyFont="1" applyBorder="1" applyAlignment="1">
      <alignment vertical="center"/>
    </xf>
    <xf numFmtId="3" fontId="18" fillId="0" borderId="69" xfId="99" applyNumberFormat="1" applyFont="1" applyBorder="1" applyAlignment="1">
      <alignment horizontal="left" vertical="center"/>
    </xf>
    <xf numFmtId="0" fontId="19" fillId="0" borderId="69" xfId="0" applyFont="1" applyBorder="1" applyAlignment="1">
      <alignment horizontal="right" vertical="center"/>
    </xf>
    <xf numFmtId="0" fontId="19" fillId="0" borderId="69" xfId="0" applyFont="1" applyBorder="1" applyAlignment="1">
      <alignment horizontal="center" vertical="center"/>
    </xf>
    <xf numFmtId="3" fontId="19" fillId="0" borderId="69" xfId="99" applyNumberFormat="1" applyFont="1" applyBorder="1" applyAlignment="1">
      <alignment vertical="center" wrapText="1"/>
    </xf>
    <xf numFmtId="0" fontId="19" fillId="0" borderId="69" xfId="120" applyFont="1" applyBorder="1" applyAlignment="1">
      <alignment horizontal="left" vertical="center" wrapText="1"/>
    </xf>
    <xf numFmtId="3" fontId="19" fillId="0" borderId="69" xfId="0" applyNumberFormat="1" applyFont="1" applyBorder="1" applyAlignment="1">
      <alignment horizontal="left" vertical="center"/>
    </xf>
    <xf numFmtId="3" fontId="19" fillId="51" borderId="69" xfId="0" applyNumberFormat="1" applyFont="1" applyFill="1" applyBorder="1" applyAlignment="1">
      <alignment vertical="center"/>
    </xf>
    <xf numFmtId="3" fontId="19" fillId="51" borderId="69" xfId="0" applyNumberFormat="1" applyFont="1" applyFill="1" applyBorder="1" applyAlignment="1">
      <alignment horizontal="left" vertical="center"/>
    </xf>
    <xf numFmtId="0" fontId="19" fillId="0" borderId="29" xfId="0" applyFont="1" applyBorder="1" applyAlignment="1">
      <alignment wrapText="1"/>
    </xf>
    <xf numFmtId="0" fontId="19" fillId="0" borderId="29" xfId="93" applyFont="1" applyBorder="1" applyAlignment="1">
      <alignment vertical="center"/>
    </xf>
    <xf numFmtId="3" fontId="19" fillId="0" borderId="30" xfId="0" applyNumberFormat="1" applyFont="1" applyBorder="1" applyAlignment="1">
      <alignment horizontal="center" vertical="center"/>
    </xf>
    <xf numFmtId="0" fontId="16" fillId="0" borderId="68" xfId="93" applyFont="1" applyBorder="1" applyAlignment="1">
      <alignment vertical="center"/>
    </xf>
    <xf numFmtId="3" fontId="16" fillId="0" borderId="70" xfId="0" applyNumberFormat="1" applyFont="1" applyBorder="1" applyAlignment="1">
      <alignment vertical="center" wrapText="1"/>
    </xf>
    <xf numFmtId="0" fontId="19" fillId="0" borderId="44" xfId="0" applyFont="1" applyBorder="1" applyAlignment="1">
      <alignment vertical="center"/>
    </xf>
    <xf numFmtId="0" fontId="19" fillId="0" borderId="55" xfId="95" applyFont="1" applyBorder="1" applyAlignment="1">
      <alignment horizontal="left" vertical="center" wrapText="1"/>
    </xf>
    <xf numFmtId="49" fontId="19" fillId="0" borderId="59" xfId="124" applyNumberFormat="1" applyFont="1" applyBorder="1" applyAlignment="1">
      <alignment horizontal="left" vertical="center" wrapText="1"/>
    </xf>
    <xf numFmtId="0" fontId="19" fillId="0" borderId="35" xfId="0" applyFont="1" applyBorder="1" applyAlignment="1">
      <alignment horizontal="left" vertical="center" wrapText="1"/>
    </xf>
    <xf numFmtId="0" fontId="19" fillId="0" borderId="60" xfId="0" applyFont="1" applyBorder="1" applyAlignment="1">
      <alignment horizontal="left" vertical="center" wrapText="1"/>
    </xf>
    <xf numFmtId="0" fontId="19" fillId="0" borderId="17" xfId="0" applyFont="1" applyBorder="1" applyAlignment="1">
      <alignment vertical="center" wrapText="1"/>
    </xf>
    <xf numFmtId="3" fontId="19" fillId="0" borderId="60" xfId="0" applyNumberFormat="1" applyFont="1" applyBorder="1" applyAlignment="1">
      <alignment horizontal="left" vertical="center" wrapText="1"/>
    </xf>
    <xf numFmtId="0" fontId="19" fillId="0" borderId="17" xfId="0" applyFont="1" applyBorder="1" applyAlignment="1">
      <alignment horizontal="left" vertical="center" wrapText="1"/>
    </xf>
    <xf numFmtId="3" fontId="19" fillId="0" borderId="17" xfId="0" applyNumberFormat="1" applyFont="1" applyBorder="1" applyAlignment="1">
      <alignment horizontal="left" vertical="center" wrapText="1"/>
    </xf>
    <xf numFmtId="0" fontId="19" fillId="0" borderId="69" xfId="119" applyFont="1" applyBorder="1" applyAlignment="1">
      <alignment vertical="center"/>
    </xf>
    <xf numFmtId="0" fontId="19" fillId="0" borderId="69" xfId="0" applyFont="1" applyBorder="1" applyAlignment="1">
      <alignment horizontal="left" vertical="center" wrapText="1"/>
    </xf>
    <xf numFmtId="0" fontId="19" fillId="0" borderId="69" xfId="0" applyFont="1" applyBorder="1" applyAlignment="1">
      <alignment wrapText="1"/>
    </xf>
    <xf numFmtId="0" fontId="19" fillId="0" borderId="69" xfId="0" applyFont="1" applyBorder="1" applyAlignment="1">
      <alignment horizontal="left" vertical="center"/>
    </xf>
    <xf numFmtId="0" fontId="19" fillId="0" borderId="69" xfId="118" applyFont="1" applyBorder="1" applyAlignment="1">
      <alignment vertical="center" wrapText="1"/>
    </xf>
    <xf numFmtId="0" fontId="19" fillId="0" borderId="29" xfId="0" applyFont="1" applyBorder="1"/>
    <xf numFmtId="0" fontId="19" fillId="0" borderId="61" xfId="127" applyFont="1" applyBorder="1" applyAlignment="1">
      <alignment vertical="center"/>
    </xf>
    <xf numFmtId="0" fontId="19" fillId="0" borderId="28" xfId="127" applyFont="1" applyBorder="1" applyAlignment="1">
      <alignment vertical="center" wrapText="1"/>
    </xf>
    <xf numFmtId="0" fontId="19" fillId="0" borderId="70" xfId="0" applyFont="1" applyBorder="1"/>
    <xf numFmtId="0" fontId="19" fillId="0" borderId="69" xfId="119" applyFont="1" applyBorder="1" applyAlignment="1">
      <alignment horizontal="center" vertical="center"/>
    </xf>
    <xf numFmtId="0" fontId="19" fillId="48" borderId="29" xfId="119" applyFont="1" applyFill="1" applyBorder="1" applyAlignment="1">
      <alignment horizontal="center" vertical="center"/>
    </xf>
    <xf numFmtId="0" fontId="19" fillId="48" borderId="29" xfId="119" applyFont="1" applyFill="1" applyBorder="1" applyAlignment="1">
      <alignment horizontal="center" vertical="top"/>
    </xf>
    <xf numFmtId="0" fontId="18" fillId="48" borderId="55" xfId="119" applyFont="1" applyFill="1" applyBorder="1" applyAlignment="1">
      <alignment horizontal="center" vertical="top"/>
    </xf>
    <xf numFmtId="0" fontId="19" fillId="0" borderId="29" xfId="119" applyFont="1" applyBorder="1" applyAlignment="1">
      <alignment horizontal="center" vertical="top"/>
    </xf>
    <xf numFmtId="0" fontId="19" fillId="48" borderId="28" xfId="119" applyFont="1" applyFill="1" applyBorder="1" applyAlignment="1">
      <alignment horizontal="center" vertical="center"/>
    </xf>
    <xf numFmtId="0" fontId="18" fillId="0" borderId="57" xfId="119" applyFont="1" applyBorder="1" applyAlignment="1">
      <alignment horizontal="center" vertical="center"/>
    </xf>
    <xf numFmtId="0" fontId="19" fillId="0" borderId="69" xfId="119" applyFont="1" applyBorder="1" applyAlignment="1">
      <alignment horizontal="right" vertical="center"/>
    </xf>
    <xf numFmtId="3" fontId="18" fillId="46" borderId="69" xfId="0" applyNumberFormat="1" applyFont="1" applyFill="1" applyBorder="1" applyAlignment="1">
      <alignment horizontal="center" vertical="center" wrapText="1"/>
    </xf>
    <xf numFmtId="3" fontId="18" fillId="0" borderId="69" xfId="0" applyNumberFormat="1" applyFont="1" applyBorder="1" applyAlignment="1">
      <alignment vertical="center" wrapText="1"/>
    </xf>
    <xf numFmtId="3" fontId="14" fillId="0" borderId="69" xfId="0" applyNumberFormat="1" applyFont="1" applyBorder="1" applyAlignment="1">
      <alignment vertical="center" wrapText="1"/>
    </xf>
    <xf numFmtId="3" fontId="18" fillId="46" borderId="69" xfId="0" applyNumberFormat="1" applyFont="1" applyFill="1" applyBorder="1" applyAlignment="1">
      <alignment vertical="center" wrapText="1"/>
    </xf>
    <xf numFmtId="4" fontId="19" fillId="0" borderId="69" xfId="112" applyNumberFormat="1" applyFont="1" applyBorder="1" applyAlignment="1">
      <alignment vertical="center"/>
    </xf>
    <xf numFmtId="4" fontId="66" fillId="0" borderId="69" xfId="112" applyNumberFormat="1" applyFont="1" applyBorder="1" applyAlignment="1">
      <alignment vertical="center"/>
    </xf>
    <xf numFmtId="0" fontId="63" fillId="0" borderId="0" xfId="112" applyFont="1" applyAlignment="1">
      <alignment vertical="center"/>
    </xf>
    <xf numFmtId="3" fontId="63" fillId="0" borderId="0" xfId="112" applyNumberFormat="1" applyFont="1" applyAlignment="1">
      <alignment vertical="center"/>
    </xf>
    <xf numFmtId="3" fontId="16" fillId="0" borderId="76" xfId="99" applyNumberFormat="1" applyFont="1" applyBorder="1" applyAlignment="1">
      <alignment horizontal="left" vertical="center" wrapText="1"/>
    </xf>
    <xf numFmtId="3" fontId="16" fillId="0" borderId="76" xfId="99" applyNumberFormat="1" applyFont="1" applyBorder="1" applyAlignment="1">
      <alignment horizontal="left" vertical="center"/>
    </xf>
    <xf numFmtId="3" fontId="17" fillId="0" borderId="76" xfId="99" applyNumberFormat="1" applyFont="1" applyBorder="1" applyAlignment="1">
      <alignment horizontal="left" vertical="center" wrapText="1"/>
    </xf>
    <xf numFmtId="3" fontId="16" fillId="0" borderId="76" xfId="99" applyNumberFormat="1" applyFont="1" applyBorder="1" applyAlignment="1">
      <alignment vertical="center"/>
    </xf>
    <xf numFmtId="3" fontId="17" fillId="46" borderId="76" xfId="99" applyNumberFormat="1" applyFont="1" applyFill="1" applyBorder="1" applyAlignment="1">
      <alignment horizontal="left" vertical="center" wrapText="1"/>
    </xf>
    <xf numFmtId="3" fontId="17" fillId="47" borderId="76" xfId="99" applyNumberFormat="1" applyFont="1" applyFill="1" applyBorder="1" applyAlignment="1">
      <alignment horizontal="center" vertical="center" wrapText="1"/>
    </xf>
    <xf numFmtId="3" fontId="17" fillId="0" borderId="76" xfId="99" applyNumberFormat="1" applyFont="1" applyBorder="1" applyAlignment="1">
      <alignment horizontal="center" vertical="center" wrapText="1"/>
    </xf>
    <xf numFmtId="3" fontId="17" fillId="0" borderId="76" xfId="99" applyNumberFormat="1" applyFont="1" applyBorder="1" applyAlignment="1">
      <alignment horizontal="right" vertical="center" wrapText="1"/>
    </xf>
    <xf numFmtId="3" fontId="16" fillId="0" borderId="76" xfId="99" applyNumberFormat="1" applyFont="1" applyBorder="1" applyAlignment="1">
      <alignment horizontal="center" vertical="center" wrapText="1"/>
    </xf>
    <xf numFmtId="3" fontId="16" fillId="0" borderId="76" xfId="99" applyNumberFormat="1" applyFont="1" applyBorder="1" applyAlignment="1">
      <alignment horizontal="right" vertical="center" wrapText="1"/>
    </xf>
    <xf numFmtId="3" fontId="17" fillId="0" borderId="76" xfId="99" applyNumberFormat="1" applyFont="1" applyBorder="1" applyAlignment="1">
      <alignment horizontal="right" vertical="center"/>
    </xf>
    <xf numFmtId="3" fontId="16" fillId="0" borderId="76" xfId="99" applyNumberFormat="1" applyFont="1" applyBorder="1" applyAlignment="1">
      <alignment horizontal="center" vertical="center"/>
    </xf>
    <xf numFmtId="3" fontId="16" fillId="0" borderId="76" xfId="99" applyNumberFormat="1" applyFont="1" applyBorder="1" applyAlignment="1">
      <alignment horizontal="right" vertical="center"/>
    </xf>
    <xf numFmtId="3" fontId="16" fillId="46" borderId="76" xfId="99" applyNumberFormat="1" applyFont="1" applyFill="1" applyBorder="1" applyAlignment="1">
      <alignment horizontal="center" vertical="center"/>
    </xf>
    <xf numFmtId="3" fontId="17" fillId="46" borderId="76" xfId="99" applyNumberFormat="1" applyFont="1" applyFill="1" applyBorder="1" applyAlignment="1">
      <alignment horizontal="right" vertical="center"/>
    </xf>
    <xf numFmtId="3" fontId="80" fillId="0" borderId="76" xfId="99" applyNumberFormat="1" applyFont="1" applyBorder="1" applyAlignment="1">
      <alignment vertical="center"/>
    </xf>
    <xf numFmtId="3" fontId="19" fillId="0" borderId="76" xfId="0" applyNumberFormat="1" applyFont="1" applyBorder="1" applyAlignment="1">
      <alignment vertical="center"/>
    </xf>
    <xf numFmtId="41" fontId="17" fillId="0" borderId="28" xfId="0" applyNumberFormat="1" applyFont="1" applyBorder="1" applyAlignment="1">
      <alignment vertical="center"/>
    </xf>
    <xf numFmtId="41" fontId="16" fillId="0" borderId="28" xfId="98" applyNumberFormat="1" applyFont="1" applyBorder="1" applyAlignment="1">
      <alignment vertical="center"/>
    </xf>
    <xf numFmtId="41" fontId="17" fillId="46" borderId="28" xfId="98" applyNumberFormat="1" applyFont="1" applyFill="1" applyBorder="1" applyAlignment="1">
      <alignment vertical="center"/>
    </xf>
    <xf numFmtId="41" fontId="16" fillId="0" borderId="28" xfId="0" applyNumberFormat="1" applyFont="1" applyBorder="1" applyAlignment="1">
      <alignment vertical="center"/>
    </xf>
    <xf numFmtId="41" fontId="17" fillId="0" borderId="28" xfId="98" applyNumberFormat="1" applyFont="1" applyBorder="1" applyAlignment="1">
      <alignment vertical="center"/>
    </xf>
    <xf numFmtId="41" fontId="64" fillId="0" borderId="28" xfId="98" applyNumberFormat="1" applyFont="1" applyBorder="1" applyAlignment="1">
      <alignment vertical="center"/>
    </xf>
    <xf numFmtId="41" fontId="16" fillId="0" borderId="28" xfId="98" applyNumberFormat="1" applyFont="1" applyBorder="1" applyAlignment="1">
      <alignment vertical="center" wrapText="1"/>
    </xf>
    <xf numFmtId="41" fontId="76" fillId="0" borderId="28" xfId="98" applyNumberFormat="1" applyFont="1" applyBorder="1" applyAlignment="1">
      <alignment vertical="center" wrapText="1"/>
    </xf>
    <xf numFmtId="41" fontId="76" fillId="0" borderId="28" xfId="98" applyNumberFormat="1" applyFont="1" applyBorder="1" applyAlignment="1">
      <alignment vertical="center"/>
    </xf>
    <xf numFmtId="41" fontId="17" fillId="46" borderId="28" xfId="98" applyNumberFormat="1" applyFont="1" applyFill="1" applyBorder="1" applyAlignment="1">
      <alignment vertical="center" wrapText="1"/>
    </xf>
    <xf numFmtId="41" fontId="18" fillId="0" borderId="39" xfId="99" applyNumberFormat="1" applyFont="1" applyBorder="1" applyAlignment="1">
      <alignment horizontal="center" vertical="center" wrapText="1"/>
    </xf>
    <xf numFmtId="41" fontId="18" fillId="0" borderId="13" xfId="99" applyNumberFormat="1" applyFont="1" applyBorder="1" applyAlignment="1">
      <alignment horizontal="center" vertical="center" wrapText="1"/>
    </xf>
    <xf numFmtId="41" fontId="19" fillId="0" borderId="39" xfId="99" applyNumberFormat="1" applyFont="1" applyBorder="1" applyAlignment="1">
      <alignment horizontal="right" vertical="center"/>
    </xf>
    <xf numFmtId="41" fontId="19" fillId="0" borderId="28" xfId="99" applyNumberFormat="1" applyFont="1" applyBorder="1" applyAlignment="1">
      <alignment horizontal="right" vertical="center"/>
    </xf>
    <xf numFmtId="41" fontId="18" fillId="46" borderId="28" xfId="0" applyNumberFormat="1" applyFont="1" applyFill="1" applyBorder="1" applyAlignment="1">
      <alignment vertical="center"/>
    </xf>
    <xf numFmtId="41" fontId="18" fillId="0" borderId="28" xfId="0" applyNumberFormat="1" applyFont="1" applyBorder="1" applyAlignment="1">
      <alignment vertical="center"/>
    </xf>
    <xf numFmtId="41" fontId="18" fillId="0" borderId="69" xfId="0" applyNumberFormat="1" applyFont="1" applyBorder="1" applyAlignment="1">
      <alignment vertical="center"/>
    </xf>
    <xf numFmtId="41" fontId="19" fillId="0" borderId="28" xfId="0" applyNumberFormat="1" applyFont="1" applyBorder="1" applyAlignment="1">
      <alignment vertical="center"/>
    </xf>
    <xf numFmtId="41" fontId="19" fillId="0" borderId="39" xfId="0" applyNumberFormat="1" applyFont="1" applyBorder="1" applyAlignment="1">
      <alignment vertical="center"/>
    </xf>
    <xf numFmtId="41" fontId="19" fillId="0" borderId="57" xfId="0" applyNumberFormat="1" applyFont="1" applyBorder="1" applyAlignment="1">
      <alignment vertical="center"/>
    </xf>
    <xf numFmtId="41" fontId="66" fillId="0" borderId="39" xfId="0" applyNumberFormat="1" applyFont="1" applyBorder="1" applyAlignment="1">
      <alignment vertical="center"/>
    </xf>
    <xf numFmtId="41" fontId="19" fillId="51" borderId="39" xfId="0" applyNumberFormat="1" applyFont="1" applyFill="1" applyBorder="1" applyAlignment="1">
      <alignment vertical="center"/>
    </xf>
    <xf numFmtId="41" fontId="18" fillId="46" borderId="43" xfId="0" applyNumberFormat="1" applyFont="1" applyFill="1" applyBorder="1" applyAlignment="1">
      <alignment horizontal="right" vertical="center"/>
    </xf>
    <xf numFmtId="41" fontId="18" fillId="0" borderId="43" xfId="0" applyNumberFormat="1" applyFont="1" applyBorder="1" applyAlignment="1">
      <alignment horizontal="right" vertical="center"/>
    </xf>
    <xf numFmtId="41" fontId="19" fillId="0" borderId="43" xfId="0" applyNumberFormat="1" applyFont="1" applyBorder="1" applyAlignment="1">
      <alignment horizontal="right" vertical="center"/>
    </xf>
    <xf numFmtId="41" fontId="18" fillId="0" borderId="39" xfId="0" applyNumberFormat="1" applyFont="1" applyBorder="1" applyAlignment="1">
      <alignment vertical="center"/>
    </xf>
    <xf numFmtId="41" fontId="19" fillId="46" borderId="39" xfId="99" applyNumberFormat="1" applyFont="1" applyFill="1" applyBorder="1" applyAlignment="1">
      <alignment horizontal="right" vertical="center"/>
    </xf>
    <xf numFmtId="41" fontId="18" fillId="46" borderId="28" xfId="99" applyNumberFormat="1" applyFont="1" applyFill="1" applyBorder="1" applyAlignment="1">
      <alignment horizontal="right" vertical="center"/>
    </xf>
    <xf numFmtId="41" fontId="66" fillId="0" borderId="57" xfId="0" applyNumberFormat="1" applyFont="1" applyBorder="1" applyAlignment="1">
      <alignment vertical="center"/>
    </xf>
    <xf numFmtId="41" fontId="19" fillId="0" borderId="34" xfId="0" applyNumberFormat="1" applyFont="1" applyBorder="1" applyAlignment="1">
      <alignment vertical="center"/>
    </xf>
    <xf numFmtId="41" fontId="19" fillId="0" borderId="69" xfId="0" applyNumberFormat="1" applyFont="1" applyBorder="1" applyAlignment="1">
      <alignment vertical="center"/>
    </xf>
    <xf numFmtId="41" fontId="19" fillId="0" borderId="57" xfId="99" applyNumberFormat="1" applyFont="1" applyBorder="1" applyAlignment="1">
      <alignment horizontal="right" vertical="center"/>
    </xf>
    <xf numFmtId="41" fontId="75" fillId="0" borderId="28" xfId="99" applyNumberFormat="1" applyFont="1" applyBorder="1" applyAlignment="1">
      <alignment horizontal="right" vertical="center"/>
    </xf>
    <xf numFmtId="41" fontId="75" fillId="0" borderId="28" xfId="0" applyNumberFormat="1" applyFont="1" applyBorder="1" applyAlignment="1">
      <alignment vertical="center"/>
    </xf>
    <xf numFmtId="41" fontId="18" fillId="49" borderId="28" xfId="99" applyNumberFormat="1" applyFont="1" applyFill="1" applyBorder="1" applyAlignment="1">
      <alignment horizontal="right" vertical="center"/>
    </xf>
    <xf numFmtId="41" fontId="19" fillId="51" borderId="28" xfId="0" applyNumberFormat="1" applyFont="1" applyFill="1" applyBorder="1" applyAlignment="1">
      <alignment vertical="center"/>
    </xf>
    <xf numFmtId="41" fontId="19" fillId="0" borderId="27" xfId="99" applyNumberFormat="1" applyFont="1" applyBorder="1" applyAlignment="1">
      <alignment horizontal="right" vertical="center"/>
    </xf>
    <xf numFmtId="41" fontId="19" fillId="0" borderId="13" xfId="99" applyNumberFormat="1" applyFont="1" applyBorder="1" applyAlignment="1">
      <alignment horizontal="right" vertical="center"/>
    </xf>
    <xf numFmtId="41" fontId="18" fillId="51" borderId="28" xfId="0" applyNumberFormat="1" applyFont="1" applyFill="1" applyBorder="1" applyAlignment="1">
      <alignment vertical="center"/>
    </xf>
    <xf numFmtId="41" fontId="19" fillId="51" borderId="28" xfId="0" applyNumberFormat="1" applyFont="1" applyFill="1" applyBorder="1" applyAlignment="1">
      <alignment horizontal="right" vertical="center"/>
    </xf>
    <xf numFmtId="41" fontId="19" fillId="0" borderId="28" xfId="0" applyNumberFormat="1" applyFont="1" applyBorder="1" applyAlignment="1">
      <alignment horizontal="right" vertical="center"/>
    </xf>
    <xf numFmtId="41" fontId="18" fillId="46" borderId="28" xfId="0" applyNumberFormat="1" applyFont="1" applyFill="1" applyBorder="1" applyAlignment="1">
      <alignment horizontal="right" vertical="center"/>
    </xf>
    <xf numFmtId="41" fontId="18" fillId="0" borderId="28" xfId="0" applyNumberFormat="1" applyFont="1" applyBorder="1" applyAlignment="1">
      <alignment horizontal="right" vertical="center"/>
    </xf>
    <xf numFmtId="41" fontId="18" fillId="46" borderId="32" xfId="0" applyNumberFormat="1" applyFont="1" applyFill="1" applyBorder="1" applyAlignment="1">
      <alignment vertical="center"/>
    </xf>
    <xf numFmtId="41" fontId="19" fillId="0" borderId="28" xfId="96" applyNumberFormat="1" applyFont="1" applyBorder="1" applyAlignment="1">
      <alignment horizontal="right" vertical="center"/>
    </xf>
    <xf numFmtId="41" fontId="18" fillId="46" borderId="13" xfId="0" applyNumberFormat="1" applyFont="1" applyFill="1" applyBorder="1" applyAlignment="1">
      <alignment vertical="center"/>
    </xf>
    <xf numFmtId="3" fontId="66" fillId="0" borderId="76" xfId="112" applyNumberFormat="1" applyFont="1" applyBorder="1" applyAlignment="1">
      <alignment horizontal="right" vertical="center"/>
    </xf>
    <xf numFmtId="3" fontId="19" fillId="0" borderId="76" xfId="112" applyNumberFormat="1" applyFont="1" applyBorder="1" applyAlignment="1">
      <alignment horizontal="right" vertical="center"/>
    </xf>
    <xf numFmtId="4" fontId="66" fillId="0" borderId="76" xfId="112" applyNumberFormat="1" applyFont="1" applyBorder="1" applyAlignment="1">
      <alignment vertical="center"/>
    </xf>
    <xf numFmtId="3" fontId="66" fillId="0" borderId="76" xfId="112" applyNumberFormat="1" applyFont="1" applyBorder="1" applyAlignment="1">
      <alignment vertical="center"/>
    </xf>
    <xf numFmtId="3" fontId="19" fillId="0" borderId="76" xfId="112" applyNumberFormat="1" applyFont="1" applyBorder="1" applyAlignment="1">
      <alignment vertical="center"/>
    </xf>
    <xf numFmtId="0" fontId="19" fillId="0" borderId="76" xfId="112" applyFont="1" applyBorder="1" applyAlignment="1">
      <alignment vertical="center" wrapText="1"/>
    </xf>
    <xf numFmtId="0" fontId="16" fillId="0" borderId="76" xfId="98" applyFont="1" applyBorder="1" applyAlignment="1">
      <alignment horizontal="center" vertical="center"/>
    </xf>
    <xf numFmtId="0" fontId="17" fillId="0" borderId="76" xfId="98" applyFont="1" applyBorder="1" applyAlignment="1">
      <alignment horizontal="center" vertical="center"/>
    </xf>
    <xf numFmtId="3" fontId="17" fillId="0" borderId="76" xfId="98" applyNumberFormat="1" applyFont="1" applyBorder="1" applyAlignment="1">
      <alignment vertical="center"/>
    </xf>
    <xf numFmtId="3" fontId="16" fillId="0" borderId="76" xfId="98" applyNumberFormat="1" applyFont="1" applyBorder="1" applyAlignment="1">
      <alignment vertical="center"/>
    </xf>
    <xf numFmtId="0" fontId="16" fillId="0" borderId="70" xfId="98" applyFont="1" applyBorder="1" applyAlignment="1">
      <alignment vertical="center"/>
    </xf>
    <xf numFmtId="41" fontId="17" fillId="0" borderId="76" xfId="98" applyNumberFormat="1" applyFont="1" applyBorder="1" applyAlignment="1">
      <alignment vertical="center"/>
    </xf>
    <xf numFmtId="41" fontId="16" fillId="0" borderId="76" xfId="98" applyNumberFormat="1" applyFont="1" applyBorder="1" applyAlignment="1">
      <alignment vertical="center"/>
    </xf>
    <xf numFmtId="166" fontId="16" fillId="0" borderId="76" xfId="56" applyNumberFormat="1" applyFont="1" applyBorder="1" applyAlignment="1">
      <alignment horizontal="center" vertical="center"/>
    </xf>
    <xf numFmtId="3" fontId="19" fillId="0" borderId="70" xfId="0" applyNumberFormat="1" applyFont="1" applyBorder="1" applyAlignment="1">
      <alignment horizontal="left" vertical="center"/>
    </xf>
    <xf numFmtId="41" fontId="16" fillId="0" borderId="76" xfId="0" applyNumberFormat="1" applyFont="1" applyBorder="1" applyAlignment="1">
      <alignment vertical="center"/>
    </xf>
    <xf numFmtId="3" fontId="16" fillId="0" borderId="76" xfId="0" applyNumberFormat="1" applyFont="1" applyBorder="1" applyAlignment="1">
      <alignment vertical="center"/>
    </xf>
    <xf numFmtId="167" fontId="16" fillId="0" borderId="76" xfId="56" applyNumberFormat="1" applyFont="1" applyBorder="1" applyAlignment="1">
      <alignment horizontal="center" vertical="center"/>
    </xf>
    <xf numFmtId="3" fontId="16" fillId="0" borderId="70" xfId="0" applyNumberFormat="1" applyFont="1" applyBorder="1" applyAlignment="1">
      <alignment horizontal="left" vertical="center" wrapText="1"/>
    </xf>
    <xf numFmtId="3" fontId="16" fillId="0" borderId="76" xfId="56" applyNumberFormat="1" applyFont="1" applyBorder="1" applyAlignment="1">
      <alignment horizontal="center" vertical="center"/>
    </xf>
    <xf numFmtId="3" fontId="16" fillId="0" borderId="76" xfId="98" applyNumberFormat="1" applyFont="1" applyBorder="1" applyAlignment="1">
      <alignment vertical="center" wrapText="1"/>
    </xf>
    <xf numFmtId="0" fontId="10" fillId="46" borderId="28" xfId="0" applyFont="1" applyFill="1" applyBorder="1" applyAlignment="1">
      <alignment horizontal="center" vertical="center" wrapText="1"/>
    </xf>
    <xf numFmtId="3" fontId="16" fillId="0" borderId="66" xfId="0" applyNumberFormat="1" applyFont="1" applyBorder="1" applyAlignment="1">
      <alignment vertical="center" wrapText="1"/>
    </xf>
    <xf numFmtId="3" fontId="16" fillId="0" borderId="76" xfId="94" applyNumberFormat="1" applyFont="1" applyBorder="1" applyAlignment="1">
      <alignment horizontal="center" vertical="center" wrapText="1"/>
    </xf>
    <xf numFmtId="41" fontId="16" fillId="0" borderId="76" xfId="98" applyNumberFormat="1" applyFont="1" applyBorder="1" applyAlignment="1">
      <alignment vertical="center" wrapText="1"/>
    </xf>
    <xf numFmtId="0" fontId="16" fillId="0" borderId="70" xfId="98" applyFont="1" applyBorder="1" applyAlignment="1">
      <alignment vertical="center" wrapText="1"/>
    </xf>
    <xf numFmtId="3" fontId="16" fillId="0" borderId="76" xfId="98" applyNumberFormat="1" applyFont="1" applyBorder="1" applyAlignment="1">
      <alignment horizontal="center" vertical="center" wrapText="1"/>
    </xf>
    <xf numFmtId="3" fontId="19" fillId="0" borderId="76" xfId="0" applyNumberFormat="1" applyFont="1" applyBorder="1" applyAlignment="1">
      <alignment horizontal="center" vertical="center"/>
    </xf>
    <xf numFmtId="3" fontId="19" fillId="0" borderId="76" xfId="99" applyNumberFormat="1" applyFont="1" applyBorder="1" applyAlignment="1">
      <alignment horizontal="right" vertical="center"/>
    </xf>
    <xf numFmtId="3" fontId="17" fillId="46" borderId="69" xfId="0" applyNumberFormat="1" applyFont="1" applyFill="1" applyBorder="1" applyAlignment="1">
      <alignment horizontal="right" wrapText="1"/>
    </xf>
    <xf numFmtId="3" fontId="16" fillId="0" borderId="76" xfId="0" applyNumberFormat="1" applyFont="1" applyBorder="1" applyAlignment="1">
      <alignment wrapText="1"/>
    </xf>
    <xf numFmtId="3" fontId="16" fillId="0" borderId="76" xfId="0" applyNumberFormat="1" applyFont="1" applyBorder="1" applyAlignment="1">
      <alignment horizontal="right" vertical="center" wrapText="1"/>
    </xf>
    <xf numFmtId="3" fontId="16" fillId="0" borderId="76" xfId="0" applyNumberFormat="1" applyFont="1" applyBorder="1" applyAlignment="1">
      <alignment vertical="center" wrapText="1"/>
    </xf>
    <xf numFmtId="3" fontId="16" fillId="0" borderId="76" xfId="0" applyNumberFormat="1" applyFont="1" applyBorder="1" applyAlignment="1">
      <alignment horizontal="left" vertical="center" wrapText="1"/>
    </xf>
    <xf numFmtId="3" fontId="81" fillId="0" borderId="0" xfId="0" applyNumberFormat="1" applyFont="1"/>
    <xf numFmtId="3" fontId="18" fillId="54" borderId="76" xfId="0" applyNumberFormat="1" applyFont="1" applyFill="1" applyBorder="1" applyAlignment="1">
      <alignment horizontal="center" vertical="center" wrapText="1"/>
    </xf>
    <xf numFmtId="3" fontId="18" fillId="54" borderId="76" xfId="0" applyNumberFormat="1" applyFont="1" applyFill="1" applyBorder="1" applyAlignment="1">
      <alignment vertical="center" wrapText="1"/>
    </xf>
    <xf numFmtId="3" fontId="19" fillId="54" borderId="76" xfId="0" applyNumberFormat="1" applyFont="1" applyFill="1" applyBorder="1" applyAlignment="1">
      <alignment vertical="center" wrapText="1"/>
    </xf>
    <xf numFmtId="3" fontId="16" fillId="0" borderId="13" xfId="98" applyNumberFormat="1" applyFont="1" applyBorder="1" applyAlignment="1">
      <alignment vertical="center"/>
    </xf>
    <xf numFmtId="3" fontId="16" fillId="0" borderId="28" xfId="98" applyNumberFormat="1" applyFont="1" applyBorder="1" applyAlignment="1">
      <alignment horizontal="right" vertical="center"/>
    </xf>
    <xf numFmtId="41" fontId="16" fillId="49" borderId="28" xfId="98" applyNumberFormat="1" applyFont="1" applyFill="1" applyBorder="1" applyAlignment="1">
      <alignment vertical="center"/>
    </xf>
    <xf numFmtId="3" fontId="14" fillId="0" borderId="76" xfId="0" applyNumberFormat="1" applyFont="1" applyBorder="1" applyAlignment="1">
      <alignment vertical="center"/>
    </xf>
    <xf numFmtId="3" fontId="18" fillId="0" borderId="76" xfId="99" applyNumberFormat="1" applyFont="1" applyBorder="1" applyAlignment="1">
      <alignment horizontal="center" vertical="center" wrapText="1"/>
    </xf>
    <xf numFmtId="3" fontId="18" fillId="46" borderId="76" xfId="0" applyNumberFormat="1" applyFont="1" applyFill="1" applyBorder="1" applyAlignment="1">
      <alignment vertical="center"/>
    </xf>
    <xf numFmtId="3" fontId="18" fillId="0" borderId="76" xfId="0" applyNumberFormat="1" applyFont="1" applyBorder="1" applyAlignment="1">
      <alignment vertical="center"/>
    </xf>
    <xf numFmtId="3" fontId="14" fillId="52" borderId="76" xfId="0" applyNumberFormat="1" applyFont="1" applyFill="1" applyBorder="1" applyAlignment="1">
      <alignment vertical="center"/>
    </xf>
    <xf numFmtId="3" fontId="66" fillId="0" borderId="76" xfId="0" applyNumberFormat="1" applyFont="1" applyBorder="1" applyAlignment="1">
      <alignment vertical="center"/>
    </xf>
    <xf numFmtId="3" fontId="19" fillId="51" borderId="76" xfId="0" applyNumberFormat="1" applyFont="1" applyFill="1" applyBorder="1" applyAlignment="1">
      <alignment vertical="center"/>
    </xf>
    <xf numFmtId="3" fontId="18" fillId="46" borderId="76" xfId="0" applyNumberFormat="1" applyFont="1" applyFill="1" applyBorder="1" applyAlignment="1">
      <alignment horizontal="right" vertical="center"/>
    </xf>
    <xf numFmtId="3" fontId="18" fillId="0" borderId="76" xfId="0" applyNumberFormat="1" applyFont="1" applyBorder="1" applyAlignment="1">
      <alignment horizontal="right" vertical="center"/>
    </xf>
    <xf numFmtId="3" fontId="19" fillId="0" borderId="76" xfId="0" applyNumberFormat="1" applyFont="1" applyBorder="1" applyAlignment="1">
      <alignment horizontal="right" vertical="center"/>
    </xf>
    <xf numFmtId="3" fontId="19" fillId="46" borderId="76" xfId="99" applyNumberFormat="1" applyFont="1" applyFill="1" applyBorder="1" applyAlignment="1">
      <alignment horizontal="right" vertical="center"/>
    </xf>
    <xf numFmtId="3" fontId="18" fillId="46" borderId="76" xfId="99" applyNumberFormat="1" applyFont="1" applyFill="1" applyBorder="1" applyAlignment="1">
      <alignment horizontal="right" vertical="center"/>
    </xf>
    <xf numFmtId="3" fontId="75" fillId="0" borderId="76" xfId="0" applyNumberFormat="1" applyFont="1" applyBorder="1" applyAlignment="1">
      <alignment vertical="center"/>
    </xf>
    <xf numFmtId="3" fontId="78" fillId="0" borderId="76" xfId="0" applyNumberFormat="1" applyFont="1" applyBorder="1" applyAlignment="1">
      <alignment vertical="center"/>
    </xf>
    <xf numFmtId="3" fontId="18" fillId="49" borderId="76" xfId="99" applyNumberFormat="1" applyFont="1" applyFill="1" applyBorder="1" applyAlignment="1">
      <alignment horizontal="right" vertical="center"/>
    </xf>
    <xf numFmtId="3" fontId="14" fillId="53" borderId="76" xfId="0" applyNumberFormat="1" applyFont="1" applyFill="1" applyBorder="1" applyAlignment="1">
      <alignment vertical="center"/>
    </xf>
    <xf numFmtId="3" fontId="18" fillId="51" borderId="76" xfId="0" applyNumberFormat="1" applyFont="1" applyFill="1" applyBorder="1" applyAlignment="1">
      <alignment vertical="center"/>
    </xf>
    <xf numFmtId="3" fontId="19" fillId="0" borderId="76" xfId="96" applyNumberFormat="1" applyFont="1" applyBorder="1" applyAlignment="1">
      <alignment horizontal="right" vertical="center"/>
    </xf>
    <xf numFmtId="0" fontId="82" fillId="0" borderId="0" xfId="0" applyFont="1"/>
    <xf numFmtId="0" fontId="83" fillId="0" borderId="0" xfId="0" applyFont="1"/>
    <xf numFmtId="41" fontId="83" fillId="0" borderId="0" xfId="0" applyNumberFormat="1" applyFont="1"/>
    <xf numFmtId="3" fontId="14" fillId="54" borderId="76" xfId="0" applyNumberFormat="1" applyFont="1" applyFill="1" applyBorder="1" applyAlignment="1">
      <alignment vertical="center" wrapText="1"/>
    </xf>
    <xf numFmtId="3" fontId="15" fillId="0" borderId="0" xfId="0" applyNumberFormat="1" applyFont="1"/>
    <xf numFmtId="3" fontId="84" fillId="0" borderId="54" xfId="0" applyNumberFormat="1" applyFont="1" applyBorder="1" applyAlignment="1">
      <alignment horizontal="center" vertical="center" wrapText="1"/>
    </xf>
    <xf numFmtId="3" fontId="84" fillId="0" borderId="14" xfId="0" applyNumberFormat="1" applyFont="1" applyBorder="1" applyAlignment="1">
      <alignment vertical="center" wrapText="1"/>
    </xf>
    <xf numFmtId="3" fontId="66" fillId="0" borderId="69" xfId="0" applyNumberFormat="1" applyFont="1" applyBorder="1" applyAlignment="1">
      <alignment vertical="center" wrapText="1"/>
    </xf>
    <xf numFmtId="3" fontId="14" fillId="49" borderId="76" xfId="0" applyNumberFormat="1" applyFont="1" applyFill="1" applyBorder="1" applyAlignment="1">
      <alignment vertical="center"/>
    </xf>
    <xf numFmtId="0" fontId="0" fillId="0" borderId="0" xfId="0" applyAlignment="1">
      <alignment wrapText="1"/>
    </xf>
    <xf numFmtId="3" fontId="16" fillId="0" borderId="27" xfId="94" applyNumberFormat="1" applyFont="1" applyBorder="1" applyAlignment="1">
      <alignment horizontal="center" vertical="center" wrapText="1"/>
    </xf>
    <xf numFmtId="3" fontId="19" fillId="0" borderId="78" xfId="0" applyNumberFormat="1" applyFont="1" applyBorder="1" applyAlignment="1">
      <alignment horizontal="center" vertical="center"/>
    </xf>
    <xf numFmtId="41" fontId="19" fillId="0" borderId="76" xfId="99" applyNumberFormat="1" applyFont="1" applyBorder="1" applyAlignment="1">
      <alignment horizontal="right" vertical="center"/>
    </xf>
    <xf numFmtId="3" fontId="19" fillId="0" borderId="80" xfId="0" applyNumberFormat="1" applyFont="1" applyBorder="1" applyAlignment="1">
      <alignment horizontal="center" vertical="center"/>
    </xf>
    <xf numFmtId="0" fontId="77" fillId="0" borderId="0" xfId="0" applyFont="1" applyAlignment="1">
      <alignment wrapText="1"/>
    </xf>
    <xf numFmtId="3" fontId="19" fillId="0" borderId="81" xfId="0" applyNumberFormat="1" applyFont="1" applyBorder="1" applyAlignment="1">
      <alignment vertical="center"/>
    </xf>
    <xf numFmtId="3" fontId="19" fillId="0" borderId="79" xfId="0" applyNumberFormat="1" applyFont="1" applyBorder="1" applyAlignment="1">
      <alignment vertical="center"/>
    </xf>
    <xf numFmtId="3" fontId="19" fillId="0" borderId="77" xfId="0" applyNumberFormat="1" applyFont="1" applyBorder="1" applyAlignment="1">
      <alignment vertical="center"/>
    </xf>
    <xf numFmtId="41" fontId="19" fillId="0" borderId="76" xfId="0" applyNumberFormat="1" applyFont="1" applyBorder="1" applyAlignment="1">
      <alignment vertical="center"/>
    </xf>
    <xf numFmtId="3" fontId="19" fillId="0" borderId="82" xfId="0" applyNumberFormat="1" applyFont="1" applyBorder="1" applyAlignment="1">
      <alignment horizontal="center" vertical="center"/>
    </xf>
    <xf numFmtId="3" fontId="19" fillId="0" borderId="83" xfId="0" applyNumberFormat="1" applyFont="1" applyBorder="1" applyAlignment="1">
      <alignment vertical="center"/>
    </xf>
    <xf numFmtId="3" fontId="19" fillId="0" borderId="84" xfId="0" applyNumberFormat="1" applyFont="1" applyBorder="1" applyAlignment="1">
      <alignment vertical="center"/>
    </xf>
    <xf numFmtId="3" fontId="19" fillId="0" borderId="85" xfId="0" applyNumberFormat="1" applyFont="1" applyBorder="1" applyAlignment="1">
      <alignment horizontal="left" vertical="center" wrapText="1"/>
    </xf>
    <xf numFmtId="3" fontId="16" fillId="0" borderId="76" xfId="98" applyNumberFormat="1" applyFont="1" applyBorder="1" applyAlignment="1">
      <alignment horizontal="center" vertical="center"/>
    </xf>
    <xf numFmtId="3" fontId="16" fillId="0" borderId="76" xfId="0" applyNumberFormat="1" applyFont="1" applyBorder="1" applyAlignment="1">
      <alignment horizontal="center" vertical="center" wrapText="1"/>
    </xf>
    <xf numFmtId="0" fontId="19" fillId="0" borderId="76" xfId="119" applyFont="1" applyBorder="1" applyAlignment="1">
      <alignment horizontal="center" vertical="center"/>
    </xf>
    <xf numFmtId="0" fontId="19" fillId="0" borderId="76" xfId="0" applyFont="1" applyBorder="1"/>
    <xf numFmtId="3" fontId="18" fillId="51" borderId="76" xfId="0" applyNumberFormat="1" applyFont="1" applyFill="1" applyBorder="1" applyAlignment="1">
      <alignment horizontal="center" vertical="center"/>
    </xf>
    <xf numFmtId="3" fontId="18" fillId="51" borderId="66" xfId="0" applyNumberFormat="1" applyFont="1" applyFill="1" applyBorder="1" applyAlignment="1">
      <alignment horizontal="center" vertical="center"/>
    </xf>
    <xf numFmtId="0" fontId="19" fillId="0" borderId="70" xfId="0" applyFont="1" applyBorder="1" applyAlignment="1">
      <alignment horizontal="left" vertical="center"/>
    </xf>
    <xf numFmtId="3" fontId="19" fillId="51" borderId="76" xfId="0" applyNumberFormat="1" applyFont="1" applyFill="1" applyBorder="1" applyAlignment="1">
      <alignment horizontal="right" vertical="center"/>
    </xf>
    <xf numFmtId="41" fontId="19" fillId="51" borderId="76" xfId="0" applyNumberFormat="1" applyFont="1" applyFill="1" applyBorder="1" applyAlignment="1">
      <alignment horizontal="right" vertical="center"/>
    </xf>
    <xf numFmtId="3" fontId="14" fillId="0" borderId="0" xfId="112" applyNumberFormat="1" applyFont="1" applyAlignment="1">
      <alignment vertical="center"/>
    </xf>
    <xf numFmtId="165" fontId="19" fillId="0" borderId="76" xfId="112" applyNumberFormat="1" applyFont="1" applyBorder="1" applyAlignment="1">
      <alignment horizontal="right" vertical="center"/>
    </xf>
    <xf numFmtId="4" fontId="19" fillId="0" borderId="76" xfId="112" applyNumberFormat="1" applyFont="1" applyBorder="1" applyAlignment="1">
      <alignment vertical="center"/>
    </xf>
    <xf numFmtId="3" fontId="20" fillId="55" borderId="76" xfId="0" applyNumberFormat="1" applyFont="1" applyFill="1" applyBorder="1" applyAlignment="1">
      <alignment horizontal="center" vertical="center" wrapText="1"/>
    </xf>
    <xf numFmtId="3" fontId="20" fillId="55" borderId="76" xfId="0" applyNumberFormat="1" applyFont="1" applyFill="1" applyBorder="1" applyAlignment="1">
      <alignment wrapText="1"/>
    </xf>
    <xf numFmtId="3" fontId="19" fillId="55" borderId="76" xfId="0" applyNumberFormat="1" applyFont="1" applyFill="1" applyBorder="1" applyAlignment="1">
      <alignment wrapText="1"/>
    </xf>
    <xf numFmtId="3" fontId="85" fillId="55" borderId="76" xfId="0" applyNumberFormat="1" applyFont="1" applyFill="1" applyBorder="1" applyAlignment="1">
      <alignment wrapText="1"/>
    </xf>
    <xf numFmtId="3" fontId="66" fillId="55" borderId="76" xfId="0" applyNumberFormat="1" applyFont="1" applyFill="1" applyBorder="1" applyAlignment="1">
      <alignment wrapText="1"/>
    </xf>
    <xf numFmtId="3" fontId="19" fillId="55" borderId="76" xfId="0" applyNumberFormat="1" applyFont="1" applyFill="1" applyBorder="1" applyAlignment="1">
      <alignment horizontal="right" wrapText="1"/>
    </xf>
    <xf numFmtId="3" fontId="18" fillId="55" borderId="76" xfId="0" applyNumberFormat="1" applyFont="1" applyFill="1" applyBorder="1" applyAlignment="1">
      <alignment horizontal="center" vertical="center" wrapText="1"/>
    </xf>
    <xf numFmtId="3" fontId="18" fillId="55" borderId="76" xfId="0" applyNumberFormat="1" applyFont="1" applyFill="1" applyBorder="1" applyAlignment="1">
      <alignment vertical="center" wrapText="1"/>
    </xf>
    <xf numFmtId="3" fontId="19" fillId="55" borderId="76" xfId="0" applyNumberFormat="1" applyFont="1" applyFill="1" applyBorder="1" applyAlignment="1">
      <alignment vertical="center" wrapText="1"/>
    </xf>
    <xf numFmtId="3" fontId="14" fillId="55" borderId="76" xfId="0" applyNumberFormat="1" applyFont="1" applyFill="1" applyBorder="1" applyAlignment="1">
      <alignment vertical="center" wrapText="1"/>
    </xf>
    <xf numFmtId="0" fontId="16" fillId="0" borderId="0" xfId="115" applyFont="1"/>
    <xf numFmtId="41" fontId="16" fillId="0" borderId="0" xfId="115" applyNumberFormat="1" applyFont="1"/>
    <xf numFmtId="0" fontId="19" fillId="0" borderId="76" xfId="0" applyFont="1" applyBorder="1" applyAlignment="1">
      <alignment vertical="center" wrapText="1"/>
    </xf>
    <xf numFmtId="3" fontId="19" fillId="0" borderId="76" xfId="0" applyNumberFormat="1" applyFont="1" applyBorder="1" applyAlignment="1">
      <alignment vertical="center" wrapText="1"/>
    </xf>
    <xf numFmtId="3" fontId="17" fillId="46" borderId="76" xfId="0" applyNumberFormat="1" applyFont="1" applyFill="1" applyBorder="1" applyAlignment="1">
      <alignment horizontal="center" vertical="center" wrapText="1"/>
    </xf>
    <xf numFmtId="3" fontId="17" fillId="49" borderId="76" xfId="0" applyNumberFormat="1" applyFont="1" applyFill="1" applyBorder="1" applyAlignment="1">
      <alignment horizontal="center" vertical="center" wrapText="1"/>
    </xf>
    <xf numFmtId="0" fontId="17" fillId="49" borderId="76" xfId="0" applyFont="1" applyFill="1" applyBorder="1" applyAlignment="1">
      <alignment horizontal="center" vertical="center" wrapText="1"/>
    </xf>
    <xf numFmtId="3" fontId="17" fillId="0" borderId="76" xfId="0" applyNumberFormat="1" applyFont="1" applyBorder="1" applyAlignment="1">
      <alignment horizontal="center" vertical="center" wrapText="1"/>
    </xf>
    <xf numFmtId="3" fontId="17" fillId="0" borderId="76" xfId="0" applyNumberFormat="1" applyFont="1" applyBorder="1" applyAlignment="1">
      <alignment vertical="center" wrapText="1"/>
    </xf>
    <xf numFmtId="3" fontId="17" fillId="0" borderId="76" xfId="0" applyNumberFormat="1" applyFont="1" applyBorder="1" applyAlignment="1">
      <alignment wrapText="1"/>
    </xf>
    <xf numFmtId="0" fontId="18" fillId="0" borderId="76" xfId="0" applyFont="1" applyBorder="1"/>
    <xf numFmtId="3" fontId="19" fillId="0" borderId="76" xfId="0" applyNumberFormat="1" applyFont="1" applyBorder="1"/>
    <xf numFmtId="3" fontId="17" fillId="46" borderId="76" xfId="0" applyNumberFormat="1" applyFont="1" applyFill="1" applyBorder="1" applyAlignment="1">
      <alignment vertical="center" wrapText="1"/>
    </xf>
    <xf numFmtId="3" fontId="17" fillId="46" borderId="76" xfId="0" applyNumberFormat="1" applyFont="1" applyFill="1" applyBorder="1" applyAlignment="1">
      <alignment wrapText="1"/>
    </xf>
    <xf numFmtId="3" fontId="16" fillId="46" borderId="76" xfId="0" applyNumberFormat="1" applyFont="1" applyFill="1" applyBorder="1" applyAlignment="1">
      <alignment horizontal="center" vertical="center" wrapText="1"/>
    </xf>
    <xf numFmtId="3" fontId="17" fillId="49" borderId="76" xfId="0" applyNumberFormat="1" applyFont="1" applyFill="1" applyBorder="1" applyAlignment="1">
      <alignment wrapText="1"/>
    </xf>
    <xf numFmtId="3" fontId="79" fillId="0" borderId="76" xfId="0" applyNumberFormat="1" applyFont="1" applyBorder="1" applyAlignment="1">
      <alignment wrapText="1"/>
    </xf>
    <xf numFmtId="3" fontId="64" fillId="0" borderId="76" xfId="0" applyNumberFormat="1" applyFont="1" applyBorder="1" applyAlignment="1">
      <alignment wrapText="1"/>
    </xf>
    <xf numFmtId="3" fontId="16" fillId="0" borderId="76" xfId="0" applyNumberFormat="1" applyFont="1" applyBorder="1" applyAlignment="1">
      <alignment horizontal="right" wrapText="1"/>
    </xf>
    <xf numFmtId="3" fontId="17" fillId="46" borderId="76" xfId="0" applyNumberFormat="1" applyFont="1" applyFill="1" applyBorder="1" applyAlignment="1">
      <alignment horizontal="right" wrapText="1"/>
    </xf>
    <xf numFmtId="0" fontId="19" fillId="0" borderId="84" xfId="0" applyFont="1" applyBorder="1" applyAlignment="1">
      <alignment vertical="center" wrapText="1"/>
    </xf>
    <xf numFmtId="0" fontId="11" fillId="0" borderId="0" xfId="97"/>
    <xf numFmtId="0" fontId="24" fillId="0" borderId="0" xfId="144"/>
    <xf numFmtId="0" fontId="16" fillId="49" borderId="76" xfId="145" applyFont="1" applyFill="1" applyBorder="1"/>
    <xf numFmtId="0" fontId="17" fillId="46" borderId="76" xfId="145" applyFont="1" applyFill="1" applyBorder="1" applyAlignment="1">
      <alignment horizontal="center" vertical="center" wrapText="1"/>
    </xf>
    <xf numFmtId="0" fontId="17" fillId="46" borderId="76" xfId="145" applyFont="1" applyFill="1" applyBorder="1" applyAlignment="1">
      <alignment horizontal="center" vertical="center"/>
    </xf>
    <xf numFmtId="0" fontId="17" fillId="0" borderId="76" xfId="145" applyFont="1" applyBorder="1"/>
    <xf numFmtId="3" fontId="16" fillId="0" borderId="76" xfId="145" applyNumberFormat="1" applyFont="1" applyBorder="1"/>
    <xf numFmtId="3" fontId="16" fillId="0" borderId="0" xfId="145" applyNumberFormat="1" applyFont="1"/>
    <xf numFmtId="0" fontId="16" fillId="0" borderId="76" xfId="145" applyFont="1" applyBorder="1"/>
    <xf numFmtId="0" fontId="17" fillId="0" borderId="76" xfId="145" applyFont="1" applyBorder="1" applyAlignment="1">
      <alignment vertical="center"/>
    </xf>
    <xf numFmtId="0" fontId="16" fillId="0" borderId="76" xfId="145" applyFont="1" applyBorder="1" applyAlignment="1">
      <alignment vertical="center"/>
    </xf>
    <xf numFmtId="3" fontId="16" fillId="0" borderId="76" xfId="145" applyNumberFormat="1" applyFont="1" applyBorder="1" applyAlignment="1">
      <alignment horizontal="right" vertical="center"/>
    </xf>
    <xf numFmtId="14" fontId="16" fillId="0" borderId="76" xfId="145" applyNumberFormat="1" applyFont="1" applyBorder="1" applyAlignment="1">
      <alignment horizontal="left" vertical="center" wrapText="1"/>
    </xf>
    <xf numFmtId="3" fontId="17" fillId="0" borderId="76" xfId="145" applyNumberFormat="1" applyFont="1" applyBorder="1" applyAlignment="1">
      <alignment horizontal="right" vertical="center"/>
    </xf>
    <xf numFmtId="0" fontId="16" fillId="0" borderId="76" xfId="145" applyFont="1" applyBorder="1" applyAlignment="1">
      <alignment horizontal="left" vertical="center"/>
    </xf>
    <xf numFmtId="0" fontId="16" fillId="0" borderId="76" xfId="145" applyFont="1" applyBorder="1" applyAlignment="1">
      <alignment vertical="center" wrapText="1"/>
    </xf>
    <xf numFmtId="0" fontId="16" fillId="0" borderId="76" xfId="145" applyFont="1" applyBorder="1" applyAlignment="1">
      <alignment horizontal="left" vertical="center" wrapText="1"/>
    </xf>
    <xf numFmtId="0" fontId="17" fillId="0" borderId="76" xfId="145" applyFont="1" applyBorder="1" applyAlignment="1">
      <alignment vertical="center" wrapText="1"/>
    </xf>
    <xf numFmtId="0" fontId="86" fillId="0" borderId="0" xfId="144" applyFont="1"/>
    <xf numFmtId="0" fontId="17" fillId="46" borderId="76" xfId="145" applyFont="1" applyFill="1" applyBorder="1" applyAlignment="1">
      <alignment vertical="center"/>
    </xf>
    <xf numFmtId="3" fontId="17" fillId="49" borderId="76" xfId="145" applyNumberFormat="1" applyFont="1" applyFill="1" applyBorder="1" applyAlignment="1">
      <alignment vertical="center"/>
    </xf>
    <xf numFmtId="0" fontId="24" fillId="0" borderId="0" xfId="145"/>
    <xf numFmtId="3" fontId="23" fillId="0" borderId="0" xfId="112" applyNumberFormat="1" applyFont="1" applyAlignment="1">
      <alignment vertical="center"/>
    </xf>
    <xf numFmtId="0" fontId="19" fillId="0" borderId="76" xfId="0" applyFont="1" applyBorder="1" applyAlignment="1">
      <alignment vertical="center"/>
    </xf>
    <xf numFmtId="3" fontId="19" fillId="0" borderId="70" xfId="0" applyNumberFormat="1" applyFont="1" applyBorder="1" applyAlignment="1">
      <alignment horizontal="left" vertical="center" wrapText="1"/>
    </xf>
    <xf numFmtId="3" fontId="16" fillId="0" borderId="70" xfId="0" applyNumberFormat="1" applyFont="1" applyBorder="1" applyAlignment="1">
      <alignment horizontal="left" vertical="center"/>
    </xf>
    <xf numFmtId="0" fontId="18" fillId="0" borderId="13" xfId="98" applyFont="1" applyBorder="1" applyAlignment="1">
      <alignment horizontal="center" vertical="center"/>
    </xf>
    <xf numFmtId="0" fontId="18" fillId="0" borderId="28" xfId="98" applyFont="1" applyBorder="1" applyAlignment="1">
      <alignment horizontal="center" vertical="center"/>
    </xf>
    <xf numFmtId="0" fontId="19" fillId="0" borderId="28" xfId="93" applyFont="1" applyBorder="1" applyAlignment="1">
      <alignment horizontal="center" vertical="center"/>
    </xf>
    <xf numFmtId="0" fontId="19" fillId="0" borderId="28" xfId="98" applyFont="1" applyBorder="1" applyAlignment="1">
      <alignment horizontal="center" vertical="center" wrapText="1"/>
    </xf>
    <xf numFmtId="166" fontId="19" fillId="0" borderId="28" xfId="56" applyNumberFormat="1" applyFont="1" applyBorder="1" applyAlignment="1">
      <alignment horizontal="center" vertical="center"/>
    </xf>
    <xf numFmtId="167" fontId="19" fillId="0" borderId="28" xfId="56" applyNumberFormat="1" applyFont="1" applyBorder="1" applyAlignment="1">
      <alignment horizontal="center" vertical="center"/>
    </xf>
    <xf numFmtId="3" fontId="18" fillId="46" borderId="28" xfId="98" applyNumberFormat="1" applyFont="1" applyFill="1" applyBorder="1" applyAlignment="1">
      <alignment vertical="center"/>
    </xf>
    <xf numFmtId="166" fontId="19" fillId="0" borderId="76" xfId="56" applyNumberFormat="1" applyFont="1" applyBorder="1" applyAlignment="1">
      <alignment horizontal="center" vertical="center"/>
    </xf>
    <xf numFmtId="167" fontId="19" fillId="0" borderId="76" xfId="56" applyNumberFormat="1" applyFont="1" applyBorder="1" applyAlignment="1">
      <alignment horizontal="center" vertical="center"/>
    </xf>
    <xf numFmtId="3" fontId="19" fillId="0" borderId="28" xfId="56" applyNumberFormat="1" applyFont="1" applyBorder="1" applyAlignment="1">
      <alignment horizontal="center" vertical="center"/>
    </xf>
    <xf numFmtId="0" fontId="19" fillId="0" borderId="28" xfId="56" applyNumberFormat="1" applyFont="1" applyBorder="1" applyAlignment="1">
      <alignment horizontal="center" vertical="center"/>
    </xf>
    <xf numFmtId="3" fontId="19" fillId="0" borderId="76" xfId="56" applyNumberFormat="1" applyFont="1" applyBorder="1" applyAlignment="1">
      <alignment horizontal="center" vertical="center"/>
    </xf>
    <xf numFmtId="3" fontId="19" fillId="0" borderId="28" xfId="0" applyNumberFormat="1" applyFont="1" applyBorder="1" applyAlignment="1">
      <alignment horizontal="center" vertical="center" wrapText="1"/>
    </xf>
    <xf numFmtId="49" fontId="19" fillId="0" borderId="28" xfId="98" applyNumberFormat="1" applyFont="1" applyBorder="1" applyAlignment="1">
      <alignment horizontal="center" vertical="center"/>
    </xf>
    <xf numFmtId="49" fontId="19" fillId="0" borderId="28" xfId="94" applyNumberFormat="1" applyFont="1" applyBorder="1" applyAlignment="1">
      <alignment horizontal="center" vertical="center" wrapText="1"/>
    </xf>
    <xf numFmtId="3" fontId="19" fillId="0" borderId="28" xfId="98" applyNumberFormat="1" applyFont="1" applyBorder="1" applyAlignment="1">
      <alignment horizontal="center" vertical="center"/>
    </xf>
    <xf numFmtId="49" fontId="19" fillId="0" borderId="28" xfId="0" applyNumberFormat="1" applyFont="1" applyBorder="1" applyAlignment="1">
      <alignment horizontal="center" vertical="center" wrapText="1"/>
    </xf>
    <xf numFmtId="49" fontId="19" fillId="0" borderId="76" xfId="0" applyNumberFormat="1" applyFont="1" applyBorder="1" applyAlignment="1">
      <alignment horizontal="center" vertical="center" wrapText="1"/>
    </xf>
    <xf numFmtId="49" fontId="19" fillId="0" borderId="28" xfId="98" applyNumberFormat="1" applyFont="1" applyBorder="1" applyAlignment="1">
      <alignment horizontal="center" vertical="center" wrapText="1"/>
    </xf>
    <xf numFmtId="0" fontId="18" fillId="46" borderId="28" xfId="98" applyFont="1" applyFill="1" applyBorder="1" applyAlignment="1">
      <alignment horizontal="center" vertical="center"/>
    </xf>
    <xf numFmtId="0" fontId="18" fillId="0" borderId="76" xfId="98" applyFont="1" applyBorder="1" applyAlignment="1">
      <alignment horizontal="center" vertical="center"/>
    </xf>
    <xf numFmtId="3" fontId="19" fillId="0" borderId="76" xfId="98" applyNumberFormat="1" applyFont="1" applyBorder="1" applyAlignment="1">
      <alignment horizontal="center" vertical="center"/>
    </xf>
    <xf numFmtId="3" fontId="19" fillId="0" borderId="28" xfId="98" applyNumberFormat="1" applyFont="1" applyBorder="1" applyAlignment="1">
      <alignment horizontal="center" vertical="center" wrapText="1"/>
    </xf>
    <xf numFmtId="3" fontId="19" fillId="0" borderId="28" xfId="94" applyNumberFormat="1" applyFont="1" applyBorder="1" applyAlignment="1">
      <alignment horizontal="center" vertical="top" wrapText="1"/>
    </xf>
    <xf numFmtId="3" fontId="19" fillId="0" borderId="76" xfId="94" applyNumberFormat="1" applyFont="1" applyBorder="1" applyAlignment="1">
      <alignment horizontal="center" vertical="center" wrapText="1"/>
    </xf>
    <xf numFmtId="3" fontId="19" fillId="0" borderId="36" xfId="0" applyNumberFormat="1" applyFont="1" applyBorder="1" applyAlignment="1">
      <alignment horizontal="center" vertical="center"/>
    </xf>
    <xf numFmtId="3" fontId="19" fillId="0" borderId="13" xfId="94" applyNumberFormat="1" applyFont="1" applyBorder="1" applyAlignment="1">
      <alignment horizontal="center" vertical="center" wrapText="1"/>
    </xf>
    <xf numFmtId="3" fontId="75" fillId="0" borderId="13" xfId="94" applyNumberFormat="1" applyFont="1" applyBorder="1" applyAlignment="1">
      <alignment horizontal="center" vertical="center" wrapText="1"/>
    </xf>
    <xf numFmtId="3" fontId="19" fillId="0" borderId="27" xfId="94" applyNumberFormat="1" applyFont="1" applyBorder="1" applyAlignment="1">
      <alignment horizontal="center" vertical="center" wrapText="1"/>
    </xf>
    <xf numFmtId="3" fontId="19" fillId="0" borderId="28" xfId="56" applyNumberFormat="1" applyFont="1" applyFill="1" applyBorder="1" applyAlignment="1">
      <alignment horizontal="center" vertical="center"/>
    </xf>
    <xf numFmtId="3" fontId="19" fillId="0" borderId="28" xfId="115" applyNumberFormat="1" applyFont="1" applyBorder="1" applyAlignment="1">
      <alignment horizontal="center" vertical="center"/>
    </xf>
    <xf numFmtId="0" fontId="19" fillId="0" borderId="28" xfId="115" applyFont="1" applyBorder="1" applyAlignment="1">
      <alignment horizontal="center" vertical="center" wrapText="1"/>
    </xf>
    <xf numFmtId="3" fontId="19" fillId="0" borderId="76" xfId="98" applyNumberFormat="1" applyFont="1" applyBorder="1" applyAlignment="1">
      <alignment horizontal="center" vertical="center" wrapText="1"/>
    </xf>
    <xf numFmtId="3" fontId="19" fillId="0" borderId="69" xfId="0" applyNumberFormat="1" applyFont="1" applyBorder="1" applyAlignment="1">
      <alignment horizontal="center" vertical="center" wrapText="1"/>
    </xf>
    <xf numFmtId="3" fontId="19" fillId="0" borderId="76" xfId="0" applyNumberFormat="1" applyFont="1" applyBorder="1" applyAlignment="1">
      <alignment horizontal="center" vertical="center" wrapText="1"/>
    </xf>
    <xf numFmtId="0" fontId="19" fillId="0" borderId="76" xfId="98" applyFont="1" applyBorder="1" applyAlignment="1">
      <alignment horizontal="center" vertical="center"/>
    </xf>
    <xf numFmtId="0" fontId="18" fillId="46" borderId="28" xfId="93" applyFont="1" applyFill="1" applyBorder="1" applyAlignment="1">
      <alignment horizontal="center" vertical="center" wrapText="1"/>
    </xf>
    <xf numFmtId="3" fontId="87" fillId="0" borderId="0" xfId="146" applyNumberFormat="1" applyFont="1" applyAlignment="1">
      <alignment horizontal="center" vertical="center" wrapText="1"/>
    </xf>
    <xf numFmtId="3" fontId="18" fillId="9" borderId="86" xfId="146" applyNumberFormat="1" applyFont="1" applyFill="1" applyBorder="1" applyAlignment="1">
      <alignment horizontal="center" vertical="center" wrapText="1"/>
    </xf>
    <xf numFmtId="3" fontId="16" fillId="0" borderId="86" xfId="146" applyNumberFormat="1" applyFont="1" applyBorder="1" applyAlignment="1">
      <alignment horizontal="center" vertical="center" wrapText="1"/>
    </xf>
    <xf numFmtId="3" fontId="16" fillId="0" borderId="86" xfId="146" applyNumberFormat="1" applyFont="1" applyBorder="1" applyAlignment="1">
      <alignment vertical="center" wrapText="1"/>
    </xf>
    <xf numFmtId="3" fontId="19" fillId="0" borderId="86" xfId="146" applyNumberFormat="1" applyFont="1" applyBorder="1" applyAlignment="1">
      <alignment horizontal="center" vertical="center" wrapText="1"/>
    </xf>
    <xf numFmtId="1" fontId="16" fillId="0" borderId="86" xfId="146" applyNumberFormat="1" applyFont="1" applyBorder="1" applyAlignment="1">
      <alignment horizontal="center" vertical="center" wrapText="1"/>
    </xf>
    <xf numFmtId="3" fontId="16" fillId="0" borderId="86" xfId="146" applyNumberFormat="1" applyFont="1" applyBorder="1" applyAlignment="1">
      <alignment horizontal="right" vertical="center" wrapText="1"/>
    </xf>
    <xf numFmtId="3" fontId="46" fillId="0" borderId="0" xfId="146" applyNumberFormat="1" applyFont="1" applyAlignment="1">
      <alignment vertical="center" wrapText="1"/>
    </xf>
    <xf numFmtId="3" fontId="16" fillId="46" borderId="86" xfId="146" applyNumberFormat="1" applyFont="1" applyFill="1" applyBorder="1" applyAlignment="1">
      <alignment vertical="center" wrapText="1"/>
    </xf>
    <xf numFmtId="3" fontId="17" fillId="50" borderId="86" xfId="146" applyNumberFormat="1" applyFont="1" applyFill="1" applyBorder="1" applyAlignment="1">
      <alignment vertical="center" wrapText="1"/>
    </xf>
    <xf numFmtId="3" fontId="17" fillId="9" borderId="86" xfId="146" applyNumberFormat="1" applyFont="1" applyFill="1" applyBorder="1" applyAlignment="1">
      <alignment vertical="center" wrapText="1"/>
    </xf>
    <xf numFmtId="3" fontId="18" fillId="9" borderId="86" xfId="146" applyNumberFormat="1" applyFont="1" applyFill="1" applyBorder="1" applyAlignment="1">
      <alignment vertical="center" wrapText="1"/>
    </xf>
    <xf numFmtId="3" fontId="16" fillId="0" borderId="0" xfId="146" applyNumberFormat="1" applyFont="1" applyAlignment="1">
      <alignment vertical="center" wrapText="1"/>
    </xf>
    <xf numFmtId="10" fontId="0" fillId="0" borderId="0" xfId="0" applyNumberFormat="1"/>
    <xf numFmtId="3" fontId="46" fillId="0" borderId="27" xfId="146" applyNumberFormat="1" applyFont="1" applyBorder="1" applyAlignment="1">
      <alignment horizontal="center" vertical="center" wrapText="1"/>
    </xf>
    <xf numFmtId="3" fontId="16" fillId="0" borderId="87" xfId="146" applyNumberFormat="1" applyFont="1" applyBorder="1" applyAlignment="1">
      <alignment vertical="center" wrapText="1"/>
    </xf>
    <xf numFmtId="3" fontId="16" fillId="0" borderId="88" xfId="146" applyNumberFormat="1" applyFont="1" applyBorder="1" applyAlignment="1">
      <alignment horizontal="center" vertical="center" wrapText="1"/>
    </xf>
    <xf numFmtId="3" fontId="16" fillId="0" borderId="88" xfId="146" applyNumberFormat="1" applyFont="1" applyBorder="1" applyAlignment="1">
      <alignment horizontal="right" vertical="center" wrapText="1"/>
    </xf>
    <xf numFmtId="3" fontId="16" fillId="56" borderId="88" xfId="146" applyNumberFormat="1" applyFont="1" applyFill="1" applyBorder="1" applyAlignment="1">
      <alignment vertical="center" wrapText="1"/>
    </xf>
    <xf numFmtId="3" fontId="64" fillId="0" borderId="76" xfId="145" applyNumberFormat="1" applyFont="1" applyBorder="1" applyAlignment="1">
      <alignment horizontal="right" vertical="center"/>
    </xf>
    <xf numFmtId="3" fontId="64" fillId="0" borderId="86" xfId="146" applyNumberFormat="1" applyFont="1" applyBorder="1" applyAlignment="1">
      <alignment vertical="center" wrapText="1"/>
    </xf>
    <xf numFmtId="0" fontId="23" fillId="0" borderId="0" xfId="112" applyFont="1" applyAlignment="1">
      <alignment horizontal="center" vertical="center" wrapText="1"/>
    </xf>
    <xf numFmtId="0" fontId="63" fillId="0" borderId="14" xfId="112" applyFont="1" applyBorder="1" applyAlignment="1">
      <alignment horizontal="center" vertical="center" wrapText="1"/>
    </xf>
    <xf numFmtId="0" fontId="18" fillId="49" borderId="69" xfId="112" applyFont="1" applyFill="1" applyBorder="1" applyAlignment="1">
      <alignment horizontal="center" vertical="center" wrapText="1"/>
    </xf>
    <xf numFmtId="0" fontId="18" fillId="50" borderId="69" xfId="112" applyFont="1" applyFill="1" applyBorder="1" applyAlignment="1">
      <alignment horizontal="center" vertical="center"/>
    </xf>
    <xf numFmtId="0" fontId="63" fillId="0" borderId="19" xfId="112" applyFont="1" applyBorder="1" applyAlignment="1">
      <alignment horizontal="center" vertical="center" wrapText="1"/>
    </xf>
    <xf numFmtId="0" fontId="18" fillId="46" borderId="69" xfId="0" applyFont="1" applyFill="1" applyBorder="1" applyAlignment="1">
      <alignment horizontal="center" vertical="center"/>
    </xf>
    <xf numFmtId="0" fontId="18" fillId="46" borderId="69" xfId="0" applyFont="1" applyFill="1" applyBorder="1" applyAlignment="1">
      <alignment horizontal="center" vertical="center" wrapText="1"/>
    </xf>
    <xf numFmtId="0" fontId="18" fillId="46" borderId="69" xfId="93" applyFont="1" applyFill="1" applyBorder="1" applyAlignment="1">
      <alignment horizontal="center" vertical="center"/>
    </xf>
    <xf numFmtId="0" fontId="10" fillId="46" borderId="28" xfId="0" applyFont="1" applyFill="1" applyBorder="1" applyAlignment="1">
      <alignment horizontal="center" vertical="center"/>
    </xf>
    <xf numFmtId="0" fontId="17" fillId="46" borderId="28" xfId="115" applyFont="1" applyFill="1" applyBorder="1" applyAlignment="1">
      <alignment horizontal="center"/>
    </xf>
    <xf numFmtId="0" fontId="10" fillId="46" borderId="28" xfId="0" applyFont="1" applyFill="1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17" fillId="46" borderId="28" xfId="93" applyFont="1" applyFill="1" applyBorder="1" applyAlignment="1">
      <alignment horizontal="center" vertical="center"/>
    </xf>
    <xf numFmtId="3" fontId="18" fillId="46" borderId="69" xfId="99" applyNumberFormat="1" applyFont="1" applyFill="1" applyBorder="1" applyAlignment="1">
      <alignment horizontal="center" vertical="center" wrapText="1"/>
    </xf>
    <xf numFmtId="0" fontId="18" fillId="46" borderId="69" xfId="0" applyFont="1" applyFill="1" applyBorder="1" applyAlignment="1">
      <alignment horizontal="center"/>
    </xf>
    <xf numFmtId="0" fontId="18" fillId="46" borderId="45" xfId="0" applyFont="1" applyFill="1" applyBorder="1" applyAlignment="1">
      <alignment horizontal="center" vertical="center"/>
    </xf>
    <xf numFmtId="0" fontId="18" fillId="46" borderId="43" xfId="0" applyFont="1" applyFill="1" applyBorder="1" applyAlignment="1">
      <alignment horizontal="center" vertical="center"/>
    </xf>
    <xf numFmtId="0" fontId="18" fillId="46" borderId="44" xfId="0" applyFont="1" applyFill="1" applyBorder="1" applyAlignment="1">
      <alignment horizontal="center" vertical="center"/>
    </xf>
    <xf numFmtId="0" fontId="18" fillId="46" borderId="46" xfId="0" applyFont="1" applyFill="1" applyBorder="1" applyAlignment="1">
      <alignment horizontal="center" vertical="center" wrapText="1"/>
    </xf>
    <xf numFmtId="0" fontId="18" fillId="46" borderId="13" xfId="0" applyFont="1" applyFill="1" applyBorder="1" applyAlignment="1">
      <alignment horizontal="center" vertical="center" wrapText="1"/>
    </xf>
    <xf numFmtId="3" fontId="18" fillId="46" borderId="55" xfId="0" applyNumberFormat="1" applyFont="1" applyFill="1" applyBorder="1" applyAlignment="1">
      <alignment horizontal="left" vertical="center"/>
    </xf>
    <xf numFmtId="3" fontId="18" fillId="46" borderId="56" xfId="0" applyNumberFormat="1" applyFont="1" applyFill="1" applyBorder="1" applyAlignment="1">
      <alignment horizontal="left" vertical="center"/>
    </xf>
    <xf numFmtId="3" fontId="18" fillId="0" borderId="29" xfId="0" applyNumberFormat="1" applyFont="1" applyBorder="1" applyAlignment="1">
      <alignment horizontal="left" vertical="center"/>
    </xf>
    <xf numFmtId="3" fontId="18" fillId="0" borderId="30" xfId="0" applyNumberFormat="1" applyFont="1" applyBorder="1" applyAlignment="1">
      <alignment horizontal="left" vertical="center"/>
    </xf>
    <xf numFmtId="3" fontId="21" fillId="46" borderId="46" xfId="99" applyNumberFormat="1" applyFont="1" applyFill="1" applyBorder="1" applyAlignment="1">
      <alignment horizontal="center" vertical="center" wrapText="1"/>
    </xf>
    <xf numFmtId="3" fontId="21" fillId="46" borderId="14" xfId="99" applyNumberFormat="1" applyFont="1" applyFill="1" applyBorder="1" applyAlignment="1">
      <alignment horizontal="center" vertical="center" wrapText="1"/>
    </xf>
    <xf numFmtId="3" fontId="21" fillId="46" borderId="21" xfId="99" applyNumberFormat="1" applyFont="1" applyFill="1" applyBorder="1" applyAlignment="1">
      <alignment horizontal="center" vertical="center" wrapText="1"/>
    </xf>
    <xf numFmtId="3" fontId="21" fillId="46" borderId="16" xfId="99" applyNumberFormat="1" applyFont="1" applyFill="1" applyBorder="1" applyAlignment="1">
      <alignment horizontal="center" vertical="center" wrapText="1"/>
    </xf>
    <xf numFmtId="3" fontId="21" fillId="46" borderId="21" xfId="99" applyNumberFormat="1" applyFont="1" applyFill="1" applyBorder="1" applyAlignment="1">
      <alignment horizontal="center" vertical="center"/>
    </xf>
    <xf numFmtId="3" fontId="21" fillId="46" borderId="74" xfId="99" applyNumberFormat="1" applyFont="1" applyFill="1" applyBorder="1" applyAlignment="1">
      <alignment horizontal="center" vertical="center"/>
    </xf>
    <xf numFmtId="3" fontId="21" fillId="46" borderId="23" xfId="99" applyNumberFormat="1" applyFont="1" applyFill="1" applyBorder="1" applyAlignment="1">
      <alignment horizontal="center" vertical="center" textRotation="90" wrapText="1"/>
    </xf>
    <xf numFmtId="3" fontId="21" fillId="46" borderId="75" xfId="99" applyNumberFormat="1" applyFont="1" applyFill="1" applyBorder="1" applyAlignment="1">
      <alignment horizontal="center" vertical="center" textRotation="90" wrapText="1"/>
    </xf>
    <xf numFmtId="3" fontId="18" fillId="9" borderId="86" xfId="146" applyNumberFormat="1" applyFont="1" applyFill="1" applyBorder="1" applyAlignment="1">
      <alignment horizontal="center" vertical="center" wrapText="1"/>
    </xf>
    <xf numFmtId="3" fontId="17" fillId="46" borderId="86" xfId="146" applyNumberFormat="1" applyFont="1" applyFill="1" applyBorder="1" applyAlignment="1">
      <alignment horizontal="center" vertical="center" wrapText="1"/>
    </xf>
    <xf numFmtId="3" fontId="18" fillId="49" borderId="76" xfId="0" applyNumberFormat="1" applyFont="1" applyFill="1" applyBorder="1" applyAlignment="1">
      <alignment horizontal="center" vertical="center" wrapText="1"/>
    </xf>
    <xf numFmtId="0" fontId="18" fillId="46" borderId="76" xfId="0" applyFont="1" applyFill="1" applyBorder="1" applyAlignment="1">
      <alignment horizontal="center" vertical="center" wrapText="1"/>
    </xf>
  </cellXfs>
  <cellStyles count="147">
    <cellStyle name="1. jelölőszín" xfId="1" xr:uid="{00000000-0005-0000-0000-000000000000}"/>
    <cellStyle name="2. jelölőszín" xfId="2" xr:uid="{00000000-0005-0000-0000-000001000000}"/>
    <cellStyle name="20% - 1. jelölőszín" xfId="9" builtinId="30" customBuiltin="1"/>
    <cellStyle name="20% - 1. jelölőszín 2" xfId="3" xr:uid="{00000000-0005-0000-0000-000003000000}"/>
    <cellStyle name="20% - 2. jelölőszín" xfId="10" builtinId="34" customBuiltin="1"/>
    <cellStyle name="20% - 2. jelölőszín 2" xfId="4" xr:uid="{00000000-0005-0000-0000-000005000000}"/>
    <cellStyle name="20% - 3. jelölőszín" xfId="11" builtinId="38" customBuiltin="1"/>
    <cellStyle name="20% - 3. jelölőszín 2" xfId="5" xr:uid="{00000000-0005-0000-0000-000007000000}"/>
    <cellStyle name="20% - 4. jelölőszín" xfId="12" builtinId="42" customBuiltin="1"/>
    <cellStyle name="20% - 4. jelölőszín 2" xfId="6" xr:uid="{00000000-0005-0000-0000-000009000000}"/>
    <cellStyle name="20% - 5. jelölőszín" xfId="13" builtinId="46" customBuiltin="1"/>
    <cellStyle name="20% - 5. jelölőszín 2" xfId="7" xr:uid="{00000000-0005-0000-0000-00000B000000}"/>
    <cellStyle name="20% - 6. jelölőszín" xfId="14" builtinId="50" customBuiltin="1"/>
    <cellStyle name="20% - 6. jelölőszín 2" xfId="8" xr:uid="{00000000-0005-0000-0000-00000D000000}"/>
    <cellStyle name="3. jelölőszín" xfId="15" xr:uid="{00000000-0005-0000-0000-00000E000000}"/>
    <cellStyle name="4. jelölőszín" xfId="16" xr:uid="{00000000-0005-0000-0000-00000F000000}"/>
    <cellStyle name="40% - 1. jelölőszín" xfId="23" builtinId="31" customBuiltin="1"/>
    <cellStyle name="40% - 1. jelölőszín 2" xfId="17" xr:uid="{00000000-0005-0000-0000-000011000000}"/>
    <cellStyle name="40% - 2. jelölőszín" xfId="24" builtinId="35" customBuiltin="1"/>
    <cellStyle name="40% - 2. jelölőszín 2" xfId="18" xr:uid="{00000000-0005-0000-0000-000013000000}"/>
    <cellStyle name="40% - 3. jelölőszín" xfId="25" builtinId="39" customBuiltin="1"/>
    <cellStyle name="40% - 3. jelölőszín 2" xfId="19" xr:uid="{00000000-0005-0000-0000-000015000000}"/>
    <cellStyle name="40% - 4. jelölőszín" xfId="26" builtinId="43" customBuiltin="1"/>
    <cellStyle name="40% - 4. jelölőszín 2" xfId="20" xr:uid="{00000000-0005-0000-0000-000017000000}"/>
    <cellStyle name="40% - 5. jelölőszín" xfId="27" builtinId="47" customBuiltin="1"/>
    <cellStyle name="40% - 5. jelölőszín 2" xfId="21" xr:uid="{00000000-0005-0000-0000-000019000000}"/>
    <cellStyle name="40% - 6. jelölőszín" xfId="28" builtinId="51" customBuiltin="1"/>
    <cellStyle name="40% - 6. jelölőszín 2" xfId="22" xr:uid="{00000000-0005-0000-0000-00001B000000}"/>
    <cellStyle name="5. jelölőszín" xfId="29" xr:uid="{00000000-0005-0000-0000-00001C000000}"/>
    <cellStyle name="6. jelölőszín" xfId="30" xr:uid="{00000000-0005-0000-0000-00001D000000}"/>
    <cellStyle name="60% - 1. jelölőszín" xfId="37" builtinId="32" customBuiltin="1"/>
    <cellStyle name="60% - 1. jelölőszín 2" xfId="31" xr:uid="{00000000-0005-0000-0000-00001F000000}"/>
    <cellStyle name="60% - 2. jelölőszín" xfId="38" builtinId="36" customBuiltin="1"/>
    <cellStyle name="60% - 2. jelölőszín 2" xfId="32" xr:uid="{00000000-0005-0000-0000-000021000000}"/>
    <cellStyle name="60% - 3. jelölőszín" xfId="39" builtinId="40" customBuiltin="1"/>
    <cellStyle name="60% - 3. jelölőszín 2" xfId="33" xr:uid="{00000000-0005-0000-0000-000023000000}"/>
    <cellStyle name="60% - 4. jelölőszín" xfId="40" builtinId="44" customBuiltin="1"/>
    <cellStyle name="60% - 4. jelölőszín 2" xfId="34" xr:uid="{00000000-0005-0000-0000-000025000000}"/>
    <cellStyle name="60% - 5. jelölőszín" xfId="41" builtinId="48" customBuiltin="1"/>
    <cellStyle name="60% - 5. jelölőszín 2" xfId="35" xr:uid="{00000000-0005-0000-0000-000027000000}"/>
    <cellStyle name="60% - 6. jelölőszín" xfId="42" builtinId="52" customBuiltin="1"/>
    <cellStyle name="60% - 6. jelölőszín 2" xfId="36" xr:uid="{00000000-0005-0000-0000-000029000000}"/>
    <cellStyle name="Accent1" xfId="43" xr:uid="{00000000-0005-0000-0000-00002A000000}"/>
    <cellStyle name="Accent2" xfId="44" xr:uid="{00000000-0005-0000-0000-00002B000000}"/>
    <cellStyle name="Accent3" xfId="45" xr:uid="{00000000-0005-0000-0000-00002C000000}"/>
    <cellStyle name="Accent4" xfId="46" xr:uid="{00000000-0005-0000-0000-00002D000000}"/>
    <cellStyle name="Accent5" xfId="47" xr:uid="{00000000-0005-0000-0000-00002E000000}"/>
    <cellStyle name="Accent6" xfId="48" xr:uid="{00000000-0005-0000-0000-00002F000000}"/>
    <cellStyle name="Bad" xfId="103" xr:uid="{00000000-0005-0000-0000-000030000000}"/>
    <cellStyle name="Bevitel" xfId="64" builtinId="20" customBuiltin="1"/>
    <cellStyle name="Bevitel 2" xfId="49" xr:uid="{00000000-0005-0000-0000-000032000000}"/>
    <cellStyle name="Calculation" xfId="107" xr:uid="{00000000-0005-0000-0000-000033000000}"/>
    <cellStyle name="Check Cell" xfId="54" xr:uid="{00000000-0005-0000-0000-000034000000}"/>
    <cellStyle name="Cím" xfId="109" builtinId="15" customBuiltin="1"/>
    <cellStyle name="Címsor 1" xfId="59" builtinId="16" customBuiltin="1"/>
    <cellStyle name="Címsor 1 2" xfId="50" xr:uid="{00000000-0005-0000-0000-000037000000}"/>
    <cellStyle name="Címsor 2" xfId="60" builtinId="17" customBuiltin="1"/>
    <cellStyle name="Címsor 2 2" xfId="51" xr:uid="{00000000-0005-0000-0000-000039000000}"/>
    <cellStyle name="Címsor 3" xfId="61" builtinId="18" customBuiltin="1"/>
    <cellStyle name="Címsor 3 2" xfId="52" xr:uid="{00000000-0005-0000-0000-00003B000000}"/>
    <cellStyle name="Címsor 4" xfId="62" builtinId="19" customBuiltin="1"/>
    <cellStyle name="Címsor 4 2" xfId="53" xr:uid="{00000000-0005-0000-0000-00003D000000}"/>
    <cellStyle name="Ellenőrzőcella 2" xfId="55" xr:uid="{00000000-0005-0000-0000-00003E000000}"/>
    <cellStyle name="Explanatory Text" xfId="88" xr:uid="{00000000-0005-0000-0000-00003F000000}"/>
    <cellStyle name="Ezres" xfId="56" builtinId="3"/>
    <cellStyle name="Ezres 2" xfId="57" xr:uid="{00000000-0005-0000-0000-000041000000}"/>
    <cellStyle name="Ezres 3" xfId="114" xr:uid="{00000000-0005-0000-0000-000042000000}"/>
    <cellStyle name="Ezres 4" xfId="129" xr:uid="{00000000-0005-0000-0000-000043000000}"/>
    <cellStyle name="Ezres 5" xfId="131" xr:uid="{00000000-0005-0000-0000-000044000000}"/>
    <cellStyle name="Ezres 5 2" xfId="135" xr:uid="{00000000-0005-0000-0000-000045000000}"/>
    <cellStyle name="Ezres 5 2 2" xfId="137" xr:uid="{00000000-0005-0000-0000-000046000000}"/>
    <cellStyle name="Ezres 6" xfId="132" xr:uid="{00000000-0005-0000-0000-000047000000}"/>
    <cellStyle name="Ezres 7" xfId="133" xr:uid="{00000000-0005-0000-0000-000048000000}"/>
    <cellStyle name="Ezres 7 2" xfId="139" xr:uid="{00000000-0005-0000-0000-000049000000}"/>
    <cellStyle name="Ezres 8" xfId="138" xr:uid="{00000000-0005-0000-0000-00004A000000}"/>
    <cellStyle name="Figyelmeztetés" xfId="111" builtinId="11" customBuiltin="1"/>
    <cellStyle name="Figyelmeztetés 2" xfId="58" xr:uid="{00000000-0005-0000-0000-00004C000000}"/>
    <cellStyle name="Good" xfId="84" xr:uid="{00000000-0005-0000-0000-00004D000000}"/>
    <cellStyle name="Hivatkozott cella" xfId="87" builtinId="24" customBuiltin="1"/>
    <cellStyle name="Hivatkozott cella 2" xfId="63" xr:uid="{00000000-0005-0000-0000-00004F000000}"/>
    <cellStyle name="Jegyzet" xfId="100" builtinId="10" customBuiltin="1"/>
    <cellStyle name="Jegyzet 2" xfId="65" xr:uid="{00000000-0005-0000-0000-000051000000}"/>
    <cellStyle name="Jelölőszín (1)" xfId="66" xr:uid="{00000000-0005-0000-0000-000052000000}"/>
    <cellStyle name="Jelölőszín (1) 2" xfId="67" xr:uid="{00000000-0005-0000-0000-000053000000}"/>
    <cellStyle name="Jelölőszín (2)" xfId="68" xr:uid="{00000000-0005-0000-0000-000054000000}"/>
    <cellStyle name="Jelölőszín (2) 2" xfId="69" xr:uid="{00000000-0005-0000-0000-000055000000}"/>
    <cellStyle name="Jelölőszín (3)" xfId="70" xr:uid="{00000000-0005-0000-0000-000056000000}"/>
    <cellStyle name="Jelölőszín (3) 2" xfId="71" xr:uid="{00000000-0005-0000-0000-000057000000}"/>
    <cellStyle name="Jelölőszín (4)" xfId="72" xr:uid="{00000000-0005-0000-0000-000058000000}"/>
    <cellStyle name="Jelölőszín (4) 2" xfId="73" xr:uid="{00000000-0005-0000-0000-000059000000}"/>
    <cellStyle name="Jelölőszín (5)" xfId="74" xr:uid="{00000000-0005-0000-0000-00005A000000}"/>
    <cellStyle name="Jelölőszín (5) 2" xfId="75" xr:uid="{00000000-0005-0000-0000-00005B000000}"/>
    <cellStyle name="Jelölőszín (6)" xfId="76" xr:uid="{00000000-0005-0000-0000-00005C000000}"/>
    <cellStyle name="Jelölőszín (6) 2" xfId="77" xr:uid="{00000000-0005-0000-0000-00005D000000}"/>
    <cellStyle name="Jelölőszín 1" xfId="78" xr:uid="{00000000-0005-0000-0000-00005E000000}"/>
    <cellStyle name="Jelölőszín 2" xfId="79" xr:uid="{00000000-0005-0000-0000-00005F000000}"/>
    <cellStyle name="Jelölőszín 3" xfId="80" xr:uid="{00000000-0005-0000-0000-000060000000}"/>
    <cellStyle name="Jelölőszín 4" xfId="81" xr:uid="{00000000-0005-0000-0000-000061000000}"/>
    <cellStyle name="Jelölőszín 5" xfId="82" xr:uid="{00000000-0005-0000-0000-000062000000}"/>
    <cellStyle name="Jelölőszín 6" xfId="83" xr:uid="{00000000-0005-0000-0000-000063000000}"/>
    <cellStyle name="Jó 2" xfId="85" xr:uid="{00000000-0005-0000-0000-000064000000}"/>
    <cellStyle name="Kimenet" xfId="101" builtinId="21" customBuiltin="1"/>
    <cellStyle name="Kimenet 2" xfId="86" xr:uid="{00000000-0005-0000-0000-000066000000}"/>
    <cellStyle name="Magyarázó szöveg 2" xfId="89" xr:uid="{00000000-0005-0000-0000-000067000000}"/>
    <cellStyle name="Neutral" xfId="105" xr:uid="{00000000-0005-0000-0000-000068000000}"/>
    <cellStyle name="Normál" xfId="0" builtinId="0"/>
    <cellStyle name="Normál 2" xfId="90" xr:uid="{00000000-0005-0000-0000-00006A000000}"/>
    <cellStyle name="Normál 3" xfId="91" xr:uid="{00000000-0005-0000-0000-00006B000000}"/>
    <cellStyle name="Normál 4" xfId="92" xr:uid="{00000000-0005-0000-0000-00006C000000}"/>
    <cellStyle name="Normál 5" xfId="113" xr:uid="{00000000-0005-0000-0000-00006D000000}"/>
    <cellStyle name="Normál 5 2" xfId="128" xr:uid="{00000000-0005-0000-0000-00006E000000}"/>
    <cellStyle name="Normál 5 3" xfId="130" xr:uid="{00000000-0005-0000-0000-00006F000000}"/>
    <cellStyle name="Normál 5 3 2" xfId="134" xr:uid="{00000000-0005-0000-0000-000070000000}"/>
    <cellStyle name="Normál 5 3 2 2" xfId="136" xr:uid="{00000000-0005-0000-0000-000071000000}"/>
    <cellStyle name="Normál 5 3 2 2 2" xfId="140" xr:uid="{00000000-0005-0000-0000-000072000000}"/>
    <cellStyle name="Normál 6" xfId="141" xr:uid="{00000000-0005-0000-0000-000073000000}"/>
    <cellStyle name="Normál 6 2" xfId="142" xr:uid="{00000000-0005-0000-0000-000074000000}"/>
    <cellStyle name="Normál 6 3" xfId="143" xr:uid="{00000000-0005-0000-0000-000075000000}"/>
    <cellStyle name="Normál_   5    (2)" xfId="93" xr:uid="{00000000-0005-0000-0000-000076000000}"/>
    <cellStyle name="Normál_   5-a    (2)" xfId="115" xr:uid="{00000000-0005-0000-0000-000077000000}"/>
    <cellStyle name="Normál_   7   x" xfId="94" xr:uid="{00000000-0005-0000-0000-000078000000}"/>
    <cellStyle name="Normál_   7   x_Másolat eredetije2014. műk-beru-felúj. 2" xfId="95" xr:uid="{00000000-0005-0000-0000-000079000000}"/>
    <cellStyle name="Normál_   7   x_Másolat eredetije2014. műk-beru-felúj._6.a" xfId="119" xr:uid="{00000000-0005-0000-0000-00007A000000}"/>
    <cellStyle name="Normál_  3   _2010.évi állami_állami  tám." xfId="112" xr:uid="{00000000-0005-0000-0000-00007B000000}"/>
    <cellStyle name="Normál_16.sz. melléklet" xfId="145" xr:uid="{00000000-0005-0000-0000-00007C000000}"/>
    <cellStyle name="Normál_2012. évi beszámoló 5.a 6a" xfId="121" xr:uid="{00000000-0005-0000-0000-00007D000000}"/>
    <cellStyle name="Normál_3" xfId="120" xr:uid="{00000000-0005-0000-0000-00007E000000}"/>
    <cellStyle name="Normál_INTKIA96" xfId="96" xr:uid="{00000000-0005-0000-0000-00007F000000}"/>
    <cellStyle name="Normál_Kezességvállalás 2018" xfId="144" xr:uid="{00000000-0005-0000-0000-000080000000}"/>
    <cellStyle name="Normál_KÖLTSÉGVETÉS_2013 (1)" xfId="146" xr:uid="{00000000-0005-0000-0000-000081000000}"/>
    <cellStyle name="Normál_Másolat eredetije2014. műk-beru-felúj." xfId="124" xr:uid="{00000000-0005-0000-0000-000082000000}"/>
    <cellStyle name="Normál_Munka1" xfId="97" xr:uid="{00000000-0005-0000-0000-000083000000}"/>
    <cellStyle name="Normál_Munka2 (2)" xfId="98" xr:uid="{00000000-0005-0000-0000-000084000000}"/>
    <cellStyle name="Normál_Munka2 (2)_KÖLTSÉGVETÉS_2015." xfId="117" xr:uid="{00000000-0005-0000-0000-000085000000}"/>
    <cellStyle name="Normál_Munka3 (2)" xfId="116" xr:uid="{00000000-0005-0000-0000-000086000000}"/>
    <cellStyle name="Normál_Munka3 (2)_Másolat eredetije2014. műk-beru-felúj." xfId="118" xr:uid="{00000000-0005-0000-0000-000087000000}"/>
    <cellStyle name="Normál_Munka3 (2)_Másolat eredetije2014. műk-beru-felúj._2016. IV.névi módosítás" xfId="122" xr:uid="{00000000-0005-0000-0000-000088000000}"/>
    <cellStyle name="Normál_Munka3 (2)_Másolat eredetije2014. műk-beru-felúj._2017.KÖLTSÉGVETÉS" xfId="127" xr:uid="{00000000-0005-0000-0000-000089000000}"/>
    <cellStyle name="Normál_Munka3 (2)_Másolat eredetije2014. műk-beru-felúj._2018. I.névi ei-módosítás" xfId="125" xr:uid="{00000000-0005-0000-0000-00008A000000}"/>
    <cellStyle name="Normál_Munka3 (2)_Másolat eredetije2014. műk-beru-felúj._6.a" xfId="126" xr:uid="{00000000-0005-0000-0000-00008B000000}"/>
    <cellStyle name="Normál_Műszaki Osztály fejlesztés2016" xfId="123" xr:uid="{00000000-0005-0000-0000-00008C000000}"/>
    <cellStyle name="Normál_ÖKIADELÖ" xfId="99" xr:uid="{00000000-0005-0000-0000-00008D000000}"/>
    <cellStyle name="Összesen" xfId="110" builtinId="25" customBuiltin="1"/>
    <cellStyle name="Összesen 2" xfId="102" xr:uid="{00000000-0005-0000-0000-00008F000000}"/>
    <cellStyle name="Rossz 2" xfId="104" xr:uid="{00000000-0005-0000-0000-000090000000}"/>
    <cellStyle name="Semleges 2" xfId="106" xr:uid="{00000000-0005-0000-0000-000091000000}"/>
    <cellStyle name="Számítás 2" xfId="108" xr:uid="{00000000-0005-0000-0000-000092000000}"/>
  </cellStyles>
  <dxfs count="0"/>
  <tableStyles count="0" defaultTableStyle="TableStyleMedium9" defaultPivotStyle="PivotStyleLight16"/>
  <colors>
    <mruColors>
      <color rgb="FFCCFFCC"/>
      <color rgb="FFFF5050"/>
      <color rgb="FFFFFFCC"/>
      <color rgb="FFFF99FF"/>
      <color rgb="FF00B0F0"/>
      <color rgb="FF95B3D7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42"/>
  <sheetViews>
    <sheetView topLeftCell="A16" zoomScale="95" zoomScaleNormal="95" workbookViewId="0">
      <selection activeCell="A29" sqref="A29:XFD39"/>
    </sheetView>
  </sheetViews>
  <sheetFormatPr defaultColWidth="9.33203125" defaultRowHeight="12" x14ac:dyDescent="0.2"/>
  <cols>
    <col min="1" max="1" width="45.1640625" style="4" customWidth="1"/>
    <col min="2" max="2" width="15.6640625" style="4" customWidth="1"/>
    <col min="3" max="3" width="14.5" style="4" customWidth="1"/>
    <col min="4" max="9" width="14.5" style="4" hidden="1" customWidth="1"/>
    <col min="10" max="10" width="14.6640625" style="4" customWidth="1"/>
    <col min="11" max="11" width="16.5" style="4" customWidth="1"/>
    <col min="12" max="12" width="16.5" style="4" hidden="1" customWidth="1"/>
    <col min="13" max="13" width="14.1640625" style="4" hidden="1" customWidth="1"/>
    <col min="14" max="14" width="4" style="1" customWidth="1"/>
    <col min="15" max="15" width="26.33203125" style="4" customWidth="1"/>
    <col min="16" max="16" width="19.5" style="4" customWidth="1"/>
    <col min="17" max="17" width="16.33203125" style="4" customWidth="1"/>
    <col min="18" max="23" width="16.33203125" style="4" hidden="1" customWidth="1"/>
    <col min="24" max="24" width="14.1640625" style="4" customWidth="1"/>
    <col min="25" max="25" width="14.6640625" style="4" customWidth="1"/>
    <col min="26" max="26" width="18" style="2" hidden="1" customWidth="1"/>
    <col min="27" max="27" width="15.1640625" style="2" hidden="1" customWidth="1"/>
    <col min="28" max="28" width="13.33203125" style="2" hidden="1" customWidth="1"/>
    <col min="29" max="29" width="15.83203125" style="2" customWidth="1"/>
    <col min="30" max="16384" width="9.33203125" style="2"/>
  </cols>
  <sheetData>
    <row r="1" spans="1:29" ht="39.950000000000003" customHeight="1" x14ac:dyDescent="0.2">
      <c r="A1" s="402" t="s">
        <v>111</v>
      </c>
      <c r="B1" s="536" t="s">
        <v>953</v>
      </c>
      <c r="C1" s="402" t="s">
        <v>809</v>
      </c>
      <c r="D1" s="707" t="s">
        <v>993</v>
      </c>
      <c r="E1" s="707" t="s">
        <v>994</v>
      </c>
      <c r="F1" s="707" t="s">
        <v>1058</v>
      </c>
      <c r="G1" s="642" t="s">
        <v>995</v>
      </c>
      <c r="H1" s="642" t="s">
        <v>996</v>
      </c>
      <c r="I1" s="642" t="s">
        <v>997</v>
      </c>
      <c r="J1" s="402" t="s">
        <v>954</v>
      </c>
      <c r="K1" s="402" t="s">
        <v>955</v>
      </c>
      <c r="L1" s="671"/>
      <c r="M1" s="671"/>
      <c r="N1" s="408"/>
      <c r="O1" s="402" t="s">
        <v>111</v>
      </c>
      <c r="P1" s="536" t="s">
        <v>953</v>
      </c>
      <c r="Q1" s="536" t="s">
        <v>809</v>
      </c>
      <c r="R1" s="707" t="s">
        <v>993</v>
      </c>
      <c r="S1" s="707" t="s">
        <v>994</v>
      </c>
      <c r="T1" s="707" t="s">
        <v>1058</v>
      </c>
      <c r="U1" s="642" t="s">
        <v>995</v>
      </c>
      <c r="V1" s="642" t="s">
        <v>996</v>
      </c>
      <c r="W1" s="642" t="s">
        <v>997</v>
      </c>
      <c r="X1" s="402" t="s">
        <v>954</v>
      </c>
      <c r="Y1" s="402" t="s">
        <v>955</v>
      </c>
      <c r="Z1" s="667"/>
      <c r="AA1" s="667"/>
    </row>
    <row r="2" spans="1:29" s="3" customFormat="1" ht="12.95" customHeight="1" x14ac:dyDescent="0.2">
      <c r="A2" s="403" t="s">
        <v>135</v>
      </c>
      <c r="B2" s="537"/>
      <c r="C2" s="537"/>
      <c r="D2" s="708"/>
      <c r="E2" s="708"/>
      <c r="F2" s="708"/>
      <c r="G2" s="643"/>
      <c r="H2" s="643"/>
      <c r="I2" s="643"/>
      <c r="J2" s="52"/>
      <c r="K2" s="403"/>
      <c r="L2" s="672"/>
      <c r="M2" s="672"/>
      <c r="N2" s="409"/>
      <c r="O2" s="403" t="s">
        <v>136</v>
      </c>
      <c r="P2" s="537"/>
      <c r="Q2" s="537"/>
      <c r="R2" s="708"/>
      <c r="S2" s="708"/>
      <c r="T2" s="708"/>
      <c r="U2" s="643"/>
      <c r="V2" s="643"/>
      <c r="W2" s="643"/>
      <c r="X2" s="52"/>
      <c r="Y2" s="403"/>
      <c r="Z2" s="666"/>
      <c r="AA2" s="666"/>
    </row>
    <row r="3" spans="1:29" ht="24.95" customHeight="1" x14ac:dyDescent="0.2">
      <c r="A3" s="58" t="s">
        <v>59</v>
      </c>
      <c r="B3" s="460">
        <v>8525092101</v>
      </c>
      <c r="C3" s="460">
        <v>9763426527</v>
      </c>
      <c r="D3" s="709">
        <v>512399226</v>
      </c>
      <c r="E3" s="709">
        <v>159138751</v>
      </c>
      <c r="F3" s="709">
        <f>táj1!E167</f>
        <v>1480301</v>
      </c>
      <c r="G3" s="644"/>
      <c r="H3" s="644"/>
      <c r="I3" s="644"/>
      <c r="J3" s="48">
        <f>SUM(D3:I3)</f>
        <v>673018278</v>
      </c>
      <c r="K3" s="58">
        <f>C3+J3</f>
        <v>10436444805</v>
      </c>
      <c r="L3" s="672">
        <f>'6'!E167</f>
        <v>10436444805</v>
      </c>
      <c r="M3" s="672">
        <f>K3-L3</f>
        <v>0</v>
      </c>
      <c r="N3" s="410"/>
      <c r="O3" s="58" t="s">
        <v>156</v>
      </c>
      <c r="P3" s="460">
        <v>12033636846</v>
      </c>
      <c r="Q3" s="460">
        <v>13639731562</v>
      </c>
      <c r="R3" s="709">
        <v>181572928</v>
      </c>
      <c r="S3" s="709">
        <v>251996880</v>
      </c>
      <c r="T3" s="709"/>
      <c r="U3" s="644"/>
      <c r="V3" s="644"/>
      <c r="W3" s="644"/>
      <c r="X3" s="48">
        <f>SUM(R3:W3)</f>
        <v>433569808</v>
      </c>
      <c r="Y3" s="58">
        <f>Q3+X3</f>
        <v>14073301370</v>
      </c>
      <c r="Z3" s="668">
        <f>'8'!G580+'8'!H580+'8'!I580+'8'!J580+'8'!K580</f>
        <v>14073301370</v>
      </c>
      <c r="AA3" s="668">
        <f t="shared" ref="AA3:AA11" si="0">Y3-Z3</f>
        <v>0</v>
      </c>
    </row>
    <row r="4" spans="1:29" ht="26.25" customHeight="1" x14ac:dyDescent="0.2">
      <c r="A4" s="58" t="s">
        <v>61</v>
      </c>
      <c r="B4" s="460">
        <f>9801435482-30000000</f>
        <v>9771435482</v>
      </c>
      <c r="C4" s="460">
        <v>9682800000</v>
      </c>
      <c r="D4" s="709">
        <v>0</v>
      </c>
      <c r="E4" s="709">
        <v>0</v>
      </c>
      <c r="F4" s="709">
        <f>táj1!G167</f>
        <v>0</v>
      </c>
      <c r="G4" s="644"/>
      <c r="H4" s="644"/>
      <c r="I4" s="644"/>
      <c r="J4" s="48">
        <f t="shared" ref="J4:J27" si="1">SUM(D4:I4)</f>
        <v>0</v>
      </c>
      <c r="K4" s="58">
        <f>C4+J4</f>
        <v>9682800000</v>
      </c>
      <c r="L4" s="672">
        <f>'6'!G167</f>
        <v>9682800000</v>
      </c>
      <c r="M4" s="672">
        <f t="shared" ref="M4:M27" si="2">K4-L4</f>
        <v>0</v>
      </c>
      <c r="N4" s="410"/>
      <c r="O4" s="58" t="s">
        <v>133</v>
      </c>
      <c r="P4" s="460">
        <f>5125217316-P21</f>
        <v>5057526144</v>
      </c>
      <c r="Q4" s="460">
        <v>7041320625</v>
      </c>
      <c r="R4" s="709">
        <v>206613357</v>
      </c>
      <c r="S4" s="709">
        <v>181599483</v>
      </c>
      <c r="T4" s="709">
        <f>táj2!G581+táj2!H581+táj2!I581+táj2!J581</f>
        <v>-24316502</v>
      </c>
      <c r="U4" s="644"/>
      <c r="V4" s="644"/>
      <c r="W4" s="644"/>
      <c r="X4" s="48">
        <f t="shared" ref="X4:X27" si="3">SUM(R4:W4)</f>
        <v>363896338</v>
      </c>
      <c r="Y4" s="58">
        <f>Q4+X4</f>
        <v>7405216963</v>
      </c>
      <c r="Z4" s="668">
        <f>'8'!G579+'8'!H579+'8'!I579+'8'!J579-'8'!I516</f>
        <v>7405216963</v>
      </c>
      <c r="AA4" s="668">
        <f t="shared" si="0"/>
        <v>0</v>
      </c>
    </row>
    <row r="5" spans="1:29" ht="43.5" customHeight="1" x14ac:dyDescent="0.2">
      <c r="A5" s="58" t="s">
        <v>62</v>
      </c>
      <c r="B5" s="460">
        <f>6735319570-B18</f>
        <v>5550205259</v>
      </c>
      <c r="C5" s="460">
        <v>5019473934</v>
      </c>
      <c r="D5" s="709">
        <v>98327675</v>
      </c>
      <c r="E5" s="709">
        <v>55839643</v>
      </c>
      <c r="F5" s="709">
        <f>táj1!H167-F18</f>
        <v>2234636</v>
      </c>
      <c r="G5" s="644"/>
      <c r="H5" s="644"/>
      <c r="I5" s="644"/>
      <c r="J5" s="48">
        <f t="shared" si="1"/>
        <v>156401954</v>
      </c>
      <c r="K5" s="58">
        <f>C5+J5</f>
        <v>5175875888</v>
      </c>
      <c r="L5" s="672">
        <f>'6'!H167-'1'!K18</f>
        <v>5175875888</v>
      </c>
      <c r="M5" s="672">
        <f t="shared" si="2"/>
        <v>0</v>
      </c>
      <c r="N5" s="410"/>
      <c r="O5" s="58" t="s">
        <v>659</v>
      </c>
      <c r="P5" s="460">
        <v>6996527356</v>
      </c>
      <c r="Q5" s="460">
        <v>6928639061</v>
      </c>
      <c r="R5" s="709">
        <v>160424917</v>
      </c>
      <c r="S5" s="709">
        <v>58982726</v>
      </c>
      <c r="T5" s="709">
        <f>táj2!K581-táj2!K578</f>
        <v>400000</v>
      </c>
      <c r="U5" s="644"/>
      <c r="V5" s="644"/>
      <c r="W5" s="644"/>
      <c r="X5" s="48">
        <f t="shared" si="3"/>
        <v>219807643</v>
      </c>
      <c r="Y5" s="58">
        <f>Q5+X5</f>
        <v>7148446704</v>
      </c>
      <c r="Z5" s="668">
        <f>'8'!K579-'8'!K578</f>
        <v>7148446704</v>
      </c>
      <c r="AA5" s="668">
        <f t="shared" si="0"/>
        <v>0</v>
      </c>
    </row>
    <row r="6" spans="1:29" ht="20.100000000000001" customHeight="1" x14ac:dyDescent="0.2">
      <c r="A6" s="58" t="s">
        <v>63</v>
      </c>
      <c r="B6" s="460">
        <v>107943628</v>
      </c>
      <c r="C6" s="460">
        <v>3000000</v>
      </c>
      <c r="D6" s="709"/>
      <c r="E6" s="709">
        <v>31210000</v>
      </c>
      <c r="F6" s="709">
        <f>táj1!J167</f>
        <v>6249</v>
      </c>
      <c r="G6" s="644"/>
      <c r="H6" s="644"/>
      <c r="I6" s="644"/>
      <c r="J6" s="48">
        <f t="shared" si="1"/>
        <v>31216249</v>
      </c>
      <c r="K6" s="58">
        <f>C6+J6</f>
        <v>34216249</v>
      </c>
      <c r="L6" s="672">
        <f>'6'!J167</f>
        <v>34216249</v>
      </c>
      <c r="M6" s="672">
        <f t="shared" si="2"/>
        <v>0</v>
      </c>
      <c r="N6" s="410"/>
      <c r="O6" s="58" t="s">
        <v>137</v>
      </c>
      <c r="P6" s="460"/>
      <c r="Q6" s="460">
        <v>560609897</v>
      </c>
      <c r="R6" s="709">
        <v>-21897746</v>
      </c>
      <c r="S6" s="709">
        <v>17288825</v>
      </c>
      <c r="T6" s="709">
        <f>táj2!K578-táj2!K566</f>
        <v>1486550</v>
      </c>
      <c r="U6" s="644"/>
      <c r="V6" s="644"/>
      <c r="W6" s="644"/>
      <c r="X6" s="48">
        <f t="shared" si="3"/>
        <v>-3122371</v>
      </c>
      <c r="Y6" s="58">
        <f>Q6+X6</f>
        <v>557487526</v>
      </c>
      <c r="Z6" s="668">
        <f>'8'!K568+'8'!K569+'8'!K570+'8'!K571+'8'!K572+'8'!K573+'8'!K574</f>
        <v>557487526</v>
      </c>
      <c r="AA6" s="668">
        <f t="shared" si="0"/>
        <v>0</v>
      </c>
    </row>
    <row r="7" spans="1:29" ht="14.1" customHeight="1" x14ac:dyDescent="0.2">
      <c r="A7" s="403" t="s">
        <v>101</v>
      </c>
      <c r="B7" s="403">
        <f>SUM(B3+B4+B5+B6)</f>
        <v>23954676470</v>
      </c>
      <c r="C7" s="403">
        <f>SUM(C3+C4+C5+C6)</f>
        <v>24468700461</v>
      </c>
      <c r="D7" s="403">
        <f t="shared" ref="D7:M7" si="4">SUM(D3+D4+D5+D6)</f>
        <v>610726901</v>
      </c>
      <c r="E7" s="403">
        <f t="shared" si="4"/>
        <v>246188394</v>
      </c>
      <c r="F7" s="403">
        <f t="shared" si="4"/>
        <v>3721186</v>
      </c>
      <c r="G7" s="403">
        <f t="shared" si="4"/>
        <v>0</v>
      </c>
      <c r="H7" s="403">
        <f t="shared" si="4"/>
        <v>0</v>
      </c>
      <c r="I7" s="403">
        <f t="shared" si="4"/>
        <v>0</v>
      </c>
      <c r="J7" s="403">
        <f t="shared" si="4"/>
        <v>860636481</v>
      </c>
      <c r="K7" s="403">
        <f t="shared" si="4"/>
        <v>25329336942</v>
      </c>
      <c r="L7" s="403">
        <f t="shared" si="4"/>
        <v>25329336942</v>
      </c>
      <c r="M7" s="403">
        <f t="shared" si="4"/>
        <v>0</v>
      </c>
      <c r="N7" s="410"/>
      <c r="O7" s="58" t="s">
        <v>4</v>
      </c>
      <c r="P7" s="460"/>
      <c r="Q7" s="460">
        <v>10000000</v>
      </c>
      <c r="R7" s="709"/>
      <c r="S7" s="709">
        <v>5991706</v>
      </c>
      <c r="T7" s="709">
        <f>táj2!K566</f>
        <v>0</v>
      </c>
      <c r="U7" s="644"/>
      <c r="V7" s="644"/>
      <c r="W7" s="644"/>
      <c r="X7" s="48">
        <f t="shared" si="3"/>
        <v>5991706</v>
      </c>
      <c r="Y7" s="58">
        <f>Q7+X7</f>
        <v>15991706</v>
      </c>
      <c r="Z7" s="668">
        <f>'8'!K566</f>
        <v>15991706</v>
      </c>
      <c r="AA7" s="668">
        <f t="shared" si="0"/>
        <v>0</v>
      </c>
    </row>
    <row r="8" spans="1:29" ht="24" customHeight="1" x14ac:dyDescent="0.2">
      <c r="A8" s="58" t="s">
        <v>58</v>
      </c>
      <c r="B8" s="460"/>
      <c r="C8" s="460"/>
      <c r="D8" s="709"/>
      <c r="E8" s="709"/>
      <c r="F8" s="709"/>
      <c r="G8" s="644"/>
      <c r="H8" s="644"/>
      <c r="I8" s="644"/>
      <c r="J8" s="48"/>
      <c r="K8" s="58"/>
      <c r="L8" s="672"/>
      <c r="M8" s="672">
        <f t="shared" si="2"/>
        <v>0</v>
      </c>
      <c r="N8" s="410"/>
      <c r="O8" s="403" t="s">
        <v>105</v>
      </c>
      <c r="P8" s="403">
        <f t="shared" ref="P8:AA8" si="5">SUM(P2:P7)</f>
        <v>24087690346</v>
      </c>
      <c r="Q8" s="403">
        <f t="shared" si="5"/>
        <v>28180301145</v>
      </c>
      <c r="R8" s="403">
        <f t="shared" si="5"/>
        <v>526713456</v>
      </c>
      <c r="S8" s="403">
        <f t="shared" si="5"/>
        <v>515859620</v>
      </c>
      <c r="T8" s="403">
        <f t="shared" si="5"/>
        <v>-22429952</v>
      </c>
      <c r="U8" s="403">
        <f t="shared" si="5"/>
        <v>0</v>
      </c>
      <c r="V8" s="403">
        <f t="shared" si="5"/>
        <v>0</v>
      </c>
      <c r="W8" s="403">
        <f t="shared" si="5"/>
        <v>0</v>
      </c>
      <c r="X8" s="403">
        <f t="shared" si="5"/>
        <v>1020143124</v>
      </c>
      <c r="Y8" s="403">
        <f t="shared" si="5"/>
        <v>29200444269</v>
      </c>
      <c r="Z8" s="403">
        <f t="shared" si="5"/>
        <v>29200444269</v>
      </c>
      <c r="AA8" s="403">
        <f t="shared" si="5"/>
        <v>0</v>
      </c>
    </row>
    <row r="9" spans="1:29" ht="39.75" customHeight="1" x14ac:dyDescent="0.2">
      <c r="A9" s="58" t="s">
        <v>64</v>
      </c>
      <c r="B9" s="460">
        <v>2111808000</v>
      </c>
      <c r="C9" s="460">
        <v>1355728334</v>
      </c>
      <c r="D9" s="709">
        <v>-84013445</v>
      </c>
      <c r="E9" s="709">
        <v>269671226</v>
      </c>
      <c r="F9" s="709">
        <v>-26151138</v>
      </c>
      <c r="G9" s="644"/>
      <c r="H9" s="644"/>
      <c r="I9" s="644"/>
      <c r="J9" s="48">
        <f t="shared" si="1"/>
        <v>159506643</v>
      </c>
      <c r="K9" s="58">
        <f>C9+J9</f>
        <v>1515234977</v>
      </c>
      <c r="L9" s="672">
        <f>'6'!M167-'1'!K22</f>
        <v>1515234977</v>
      </c>
      <c r="M9" s="672">
        <f t="shared" si="2"/>
        <v>0</v>
      </c>
      <c r="N9" s="410"/>
      <c r="O9" s="58" t="s">
        <v>531</v>
      </c>
      <c r="P9" s="460">
        <v>577027063</v>
      </c>
      <c r="Q9" s="460">
        <v>244127650</v>
      </c>
      <c r="R9" s="709"/>
      <c r="S9" s="709"/>
      <c r="T9" s="709"/>
      <c r="U9" s="644"/>
      <c r="V9" s="644"/>
      <c r="W9" s="644"/>
      <c r="X9" s="48">
        <f t="shared" si="3"/>
        <v>0</v>
      </c>
      <c r="Y9" s="58">
        <f>Q9+X9</f>
        <v>244127650</v>
      </c>
      <c r="Z9" s="668">
        <f>'8'!P499</f>
        <v>244127650</v>
      </c>
      <c r="AA9" s="668">
        <f t="shared" si="0"/>
        <v>0</v>
      </c>
    </row>
    <row r="10" spans="1:29" ht="16.350000000000001" customHeight="1" x14ac:dyDescent="0.2">
      <c r="A10" s="58" t="s">
        <v>551</v>
      </c>
      <c r="B10" s="673"/>
      <c r="C10" s="460">
        <v>2600000000</v>
      </c>
      <c r="D10" s="709"/>
      <c r="E10" s="709"/>
      <c r="F10" s="709"/>
      <c r="G10" s="644"/>
      <c r="H10" s="644"/>
      <c r="I10" s="644"/>
      <c r="J10" s="48">
        <f t="shared" si="1"/>
        <v>0</v>
      </c>
      <c r="K10" s="58">
        <f>C10+J10</f>
        <v>2600000000</v>
      </c>
      <c r="L10" s="672">
        <f>'6'!N136</f>
        <v>2600000000</v>
      </c>
      <c r="M10" s="672">
        <f t="shared" si="2"/>
        <v>0</v>
      </c>
      <c r="N10" s="410"/>
      <c r="O10" s="58"/>
      <c r="P10" s="460"/>
      <c r="Q10" s="460"/>
      <c r="R10" s="709"/>
      <c r="S10" s="709"/>
      <c r="T10" s="709"/>
      <c r="U10" s="644"/>
      <c r="V10" s="644"/>
      <c r="W10" s="644"/>
      <c r="X10" s="48">
        <f t="shared" si="3"/>
        <v>0</v>
      </c>
      <c r="Y10" s="58">
        <f>Q10+X10</f>
        <v>0</v>
      </c>
      <c r="Z10" s="667"/>
      <c r="AA10" s="668">
        <f t="shared" si="0"/>
        <v>0</v>
      </c>
    </row>
    <row r="11" spans="1:29" s="3" customFormat="1" ht="18" customHeight="1" x14ac:dyDescent="0.2">
      <c r="A11" s="58" t="s">
        <v>552</v>
      </c>
      <c r="B11" s="460">
        <v>620443526</v>
      </c>
      <c r="C11" s="460"/>
      <c r="D11" s="709"/>
      <c r="E11" s="709"/>
      <c r="F11" s="709"/>
      <c r="G11" s="644"/>
      <c r="H11" s="644"/>
      <c r="I11" s="644"/>
      <c r="J11" s="48">
        <f t="shared" si="1"/>
        <v>0</v>
      </c>
      <c r="K11" s="58">
        <f>C11+J11</f>
        <v>0</v>
      </c>
      <c r="L11" s="672"/>
      <c r="M11" s="672">
        <f t="shared" si="2"/>
        <v>0</v>
      </c>
      <c r="N11" s="410"/>
      <c r="O11" s="58"/>
      <c r="P11" s="460"/>
      <c r="Q11" s="460"/>
      <c r="R11" s="709"/>
      <c r="S11" s="709"/>
      <c r="T11" s="709"/>
      <c r="U11" s="644"/>
      <c r="V11" s="644"/>
      <c r="W11" s="644"/>
      <c r="X11" s="48">
        <f t="shared" si="3"/>
        <v>0</v>
      </c>
      <c r="Y11" s="58">
        <f>Q11+X11</f>
        <v>0</v>
      </c>
      <c r="Z11" s="666"/>
      <c r="AA11" s="668">
        <f t="shared" si="0"/>
        <v>0</v>
      </c>
    </row>
    <row r="12" spans="1:29" s="3" customFormat="1" ht="28.5" customHeight="1" x14ac:dyDescent="0.2">
      <c r="A12" s="404" t="s">
        <v>110</v>
      </c>
      <c r="B12" s="405">
        <f>SUM(B7:B11)</f>
        <v>26686927996</v>
      </c>
      <c r="C12" s="405">
        <f>SUM(C7:C11)</f>
        <v>28424428795</v>
      </c>
      <c r="D12" s="405">
        <f t="shared" ref="D12:M12" si="6">SUM(D7:D11)</f>
        <v>526713456</v>
      </c>
      <c r="E12" s="405">
        <f t="shared" si="6"/>
        <v>515859620</v>
      </c>
      <c r="F12" s="405">
        <f t="shared" si="6"/>
        <v>-22429952</v>
      </c>
      <c r="G12" s="405">
        <f t="shared" si="6"/>
        <v>0</v>
      </c>
      <c r="H12" s="405">
        <f t="shared" si="6"/>
        <v>0</v>
      </c>
      <c r="I12" s="405">
        <f t="shared" si="6"/>
        <v>0</v>
      </c>
      <c r="J12" s="405">
        <f t="shared" si="6"/>
        <v>1020143124</v>
      </c>
      <c r="K12" s="405">
        <f t="shared" si="6"/>
        <v>29444571919</v>
      </c>
      <c r="L12" s="405">
        <f t="shared" si="6"/>
        <v>29444571919</v>
      </c>
      <c r="M12" s="405">
        <f t="shared" si="6"/>
        <v>0</v>
      </c>
      <c r="N12" s="410"/>
      <c r="O12" s="406" t="s">
        <v>138</v>
      </c>
      <c r="P12" s="539">
        <f>SUM(P8:P11)</f>
        <v>24664717409</v>
      </c>
      <c r="Q12" s="539">
        <f t="shared" ref="Q12:AA12" si="7">SUM(Q8:Q11)</f>
        <v>28424428795</v>
      </c>
      <c r="R12" s="539">
        <f t="shared" si="7"/>
        <v>526713456</v>
      </c>
      <c r="S12" s="539">
        <f t="shared" si="7"/>
        <v>515859620</v>
      </c>
      <c r="T12" s="539">
        <f t="shared" si="7"/>
        <v>-22429952</v>
      </c>
      <c r="U12" s="539">
        <f t="shared" si="7"/>
        <v>0</v>
      </c>
      <c r="V12" s="539">
        <f t="shared" si="7"/>
        <v>0</v>
      </c>
      <c r="W12" s="539">
        <f t="shared" si="7"/>
        <v>0</v>
      </c>
      <c r="X12" s="539">
        <f t="shared" si="7"/>
        <v>1020143124</v>
      </c>
      <c r="Y12" s="539">
        <f t="shared" si="7"/>
        <v>29444571919</v>
      </c>
      <c r="Z12" s="539">
        <f t="shared" si="7"/>
        <v>29444571919</v>
      </c>
      <c r="AA12" s="539">
        <f t="shared" si="7"/>
        <v>0</v>
      </c>
      <c r="AB12" s="670">
        <f>K12-Y12</f>
        <v>0</v>
      </c>
      <c r="AC12" s="670"/>
    </row>
    <row r="13" spans="1:29" ht="30" customHeight="1" x14ac:dyDescent="0.2">
      <c r="A13" s="403" t="s">
        <v>93</v>
      </c>
      <c r="B13" s="537"/>
      <c r="C13" s="537"/>
      <c r="D13" s="708"/>
      <c r="E13" s="708"/>
      <c r="F13" s="708"/>
      <c r="G13" s="643"/>
      <c r="H13" s="643"/>
      <c r="I13" s="643"/>
      <c r="J13" s="48"/>
      <c r="K13" s="58"/>
      <c r="L13" s="672"/>
      <c r="M13" s="672">
        <f t="shared" si="2"/>
        <v>0</v>
      </c>
      <c r="N13" s="410"/>
      <c r="O13" s="403" t="s">
        <v>92</v>
      </c>
      <c r="P13" s="537"/>
      <c r="Q13" s="537"/>
      <c r="R13" s="708"/>
      <c r="S13" s="708"/>
      <c r="T13" s="708"/>
      <c r="U13" s="643"/>
      <c r="V13" s="643"/>
      <c r="W13" s="643"/>
      <c r="X13" s="48">
        <f t="shared" si="3"/>
        <v>0</v>
      </c>
      <c r="Y13" s="58"/>
      <c r="Z13" s="667"/>
      <c r="AA13" s="668">
        <f t="shared" ref="AA13:AA21" si="8">Y13-Z13</f>
        <v>0</v>
      </c>
    </row>
    <row r="14" spans="1:29" ht="24" customHeight="1" x14ac:dyDescent="0.2">
      <c r="A14" s="58" t="s">
        <v>60</v>
      </c>
      <c r="B14" s="460">
        <v>880159915</v>
      </c>
      <c r="C14" s="460">
        <v>4881455631</v>
      </c>
      <c r="D14" s="709">
        <v>2707827498</v>
      </c>
      <c r="E14" s="709">
        <v>-13824487</v>
      </c>
      <c r="F14" s="709">
        <f>táj1!F167</f>
        <v>0</v>
      </c>
      <c r="G14" s="644"/>
      <c r="H14" s="644"/>
      <c r="I14" s="644"/>
      <c r="J14" s="48">
        <f t="shared" si="1"/>
        <v>2694003011</v>
      </c>
      <c r="K14" s="58">
        <f>C14+J14</f>
        <v>7575458642</v>
      </c>
      <c r="L14" s="672">
        <f>'6'!F167</f>
        <v>7575458642</v>
      </c>
      <c r="M14" s="672">
        <f t="shared" si="2"/>
        <v>0</v>
      </c>
      <c r="N14" s="410"/>
      <c r="O14" s="58" t="s">
        <v>65</v>
      </c>
      <c r="P14" s="460">
        <v>141380917</v>
      </c>
      <c r="Q14" s="460">
        <v>125794890</v>
      </c>
      <c r="R14" s="709">
        <v>0</v>
      </c>
      <c r="S14" s="709">
        <v>384199</v>
      </c>
      <c r="T14" s="709">
        <f>táj2!N581</f>
        <v>0</v>
      </c>
      <c r="U14" s="644"/>
      <c r="V14" s="644"/>
      <c r="W14" s="644"/>
      <c r="X14" s="48">
        <f t="shared" si="3"/>
        <v>384199</v>
      </c>
      <c r="Y14" s="58">
        <f t="shared" ref="Y14:Y21" si="9">Q14+X14</f>
        <v>126179089</v>
      </c>
      <c r="Z14" s="668">
        <f>'8'!N581</f>
        <v>126179089</v>
      </c>
      <c r="AA14" s="668">
        <f t="shared" si="8"/>
        <v>0</v>
      </c>
    </row>
    <row r="15" spans="1:29" ht="24" customHeight="1" x14ac:dyDescent="0.2">
      <c r="A15" s="58" t="s">
        <v>530</v>
      </c>
      <c r="B15" s="460">
        <v>318519767</v>
      </c>
      <c r="C15" s="460">
        <v>174046508</v>
      </c>
      <c r="D15" s="709">
        <v>0</v>
      </c>
      <c r="E15" s="709">
        <v>0</v>
      </c>
      <c r="F15" s="709">
        <f>táj1!I167</f>
        <v>0</v>
      </c>
      <c r="G15" s="644"/>
      <c r="H15" s="644"/>
      <c r="I15" s="644"/>
      <c r="J15" s="48">
        <f t="shared" si="1"/>
        <v>0</v>
      </c>
      <c r="K15" s="58">
        <f>C15+J15</f>
        <v>174046508</v>
      </c>
      <c r="L15" s="672">
        <f>'6'!I167</f>
        <v>174046508</v>
      </c>
      <c r="M15" s="672">
        <f t="shared" si="2"/>
        <v>0</v>
      </c>
      <c r="N15" s="410"/>
      <c r="O15" s="58" t="s">
        <v>9</v>
      </c>
      <c r="P15" s="460">
        <v>0</v>
      </c>
      <c r="Q15" s="460">
        <v>0</v>
      </c>
      <c r="R15" s="709">
        <v>0</v>
      </c>
      <c r="S15" s="709">
        <v>0</v>
      </c>
      <c r="T15" s="709"/>
      <c r="U15" s="644"/>
      <c r="V15" s="644"/>
      <c r="W15" s="644"/>
      <c r="X15" s="48">
        <f t="shared" si="3"/>
        <v>0</v>
      </c>
      <c r="Y15" s="58">
        <f t="shared" si="9"/>
        <v>0</v>
      </c>
      <c r="Z15" s="668">
        <f>'8'!N580</f>
        <v>0</v>
      </c>
      <c r="AA15" s="668">
        <f t="shared" si="8"/>
        <v>0</v>
      </c>
    </row>
    <row r="16" spans="1:29" ht="15" customHeight="1" x14ac:dyDescent="0.2">
      <c r="A16" s="58" t="s">
        <v>615</v>
      </c>
      <c r="B16" s="460">
        <v>30000000</v>
      </c>
      <c r="C16" s="460">
        <v>0</v>
      </c>
      <c r="D16" s="709"/>
      <c r="E16" s="709"/>
      <c r="F16" s="709"/>
      <c r="G16" s="644"/>
      <c r="H16" s="644"/>
      <c r="I16" s="644"/>
      <c r="J16" s="48">
        <f t="shared" si="1"/>
        <v>0</v>
      </c>
      <c r="K16" s="58">
        <f>C16+J16</f>
        <v>0</v>
      </c>
      <c r="L16" s="672"/>
      <c r="M16" s="672">
        <f t="shared" si="2"/>
        <v>0</v>
      </c>
      <c r="N16" s="410"/>
      <c r="O16" s="58" t="s">
        <v>94</v>
      </c>
      <c r="P16" s="460">
        <v>3923576495</v>
      </c>
      <c r="Q16" s="460">
        <v>6871822071</v>
      </c>
      <c r="R16" s="709">
        <v>2330506914</v>
      </c>
      <c r="S16" s="709">
        <v>-155205059</v>
      </c>
      <c r="T16" s="709">
        <f>táj2!L581</f>
        <v>29170924</v>
      </c>
      <c r="U16" s="644"/>
      <c r="V16" s="644"/>
      <c r="W16" s="644"/>
      <c r="X16" s="48">
        <f t="shared" si="3"/>
        <v>2204472779</v>
      </c>
      <c r="Y16" s="58">
        <f t="shared" si="9"/>
        <v>9076294850</v>
      </c>
      <c r="Z16" s="668">
        <f>'8'!L581-'8'!L577</f>
        <v>9076294850</v>
      </c>
      <c r="AA16" s="668">
        <f t="shared" si="8"/>
        <v>0</v>
      </c>
    </row>
    <row r="17" spans="1:27" ht="24" customHeight="1" x14ac:dyDescent="0.2">
      <c r="A17" s="58" t="s">
        <v>616</v>
      </c>
      <c r="B17" s="460">
        <v>78604733</v>
      </c>
      <c r="C17" s="460">
        <v>0</v>
      </c>
      <c r="D17" s="709">
        <v>546000</v>
      </c>
      <c r="E17" s="709">
        <v>82380</v>
      </c>
      <c r="F17" s="709">
        <f>táj1!K167</f>
        <v>0</v>
      </c>
      <c r="G17" s="644"/>
      <c r="H17" s="644"/>
      <c r="I17" s="644"/>
      <c r="J17" s="48">
        <f t="shared" si="1"/>
        <v>628380</v>
      </c>
      <c r="K17" s="58">
        <f>C17+J17</f>
        <v>628380</v>
      </c>
      <c r="L17" s="672">
        <f>'6'!K167</f>
        <v>628380</v>
      </c>
      <c r="M17" s="672">
        <f t="shared" si="2"/>
        <v>0</v>
      </c>
      <c r="N17" s="410"/>
      <c r="O17" s="58" t="s">
        <v>9</v>
      </c>
      <c r="P17" s="460">
        <v>292821080</v>
      </c>
      <c r="Q17" s="460">
        <v>202558834</v>
      </c>
      <c r="R17" s="709">
        <v>34020500</v>
      </c>
      <c r="S17" s="709">
        <v>89901669</v>
      </c>
      <c r="T17" s="709"/>
      <c r="U17" s="644"/>
      <c r="V17" s="644"/>
      <c r="W17" s="644"/>
      <c r="X17" s="48">
        <f t="shared" si="3"/>
        <v>123922169</v>
      </c>
      <c r="Y17" s="58">
        <f t="shared" si="9"/>
        <v>326481003</v>
      </c>
      <c r="Z17" s="668">
        <f>'8'!L580</f>
        <v>326481003</v>
      </c>
      <c r="AA17" s="668">
        <f t="shared" si="8"/>
        <v>0</v>
      </c>
    </row>
    <row r="18" spans="1:27" ht="21" customHeight="1" x14ac:dyDescent="0.2">
      <c r="A18" s="58" t="s">
        <v>617</v>
      </c>
      <c r="B18" s="460">
        <v>1185114311</v>
      </c>
      <c r="C18" s="460">
        <v>720931677</v>
      </c>
      <c r="D18" s="709">
        <v>7321441</v>
      </c>
      <c r="E18" s="709">
        <v>59277394</v>
      </c>
      <c r="F18" s="709">
        <v>35618783</v>
      </c>
      <c r="G18" s="644"/>
      <c r="H18" s="644"/>
      <c r="I18" s="644"/>
      <c r="J18" s="48">
        <f t="shared" si="1"/>
        <v>102217618</v>
      </c>
      <c r="K18" s="58">
        <f>C18+J18</f>
        <v>823149295</v>
      </c>
      <c r="L18" s="672">
        <v>787530512</v>
      </c>
      <c r="M18" s="672">
        <f t="shared" si="2"/>
        <v>35618783</v>
      </c>
      <c r="N18" s="410"/>
      <c r="O18" s="58" t="s">
        <v>95</v>
      </c>
      <c r="P18" s="460">
        <v>2268539904</v>
      </c>
      <c r="Q18" s="460">
        <v>3672194497</v>
      </c>
      <c r="R18" s="709">
        <v>464794519</v>
      </c>
      <c r="S18" s="709">
        <v>343039356</v>
      </c>
      <c r="T18" s="709">
        <f>táj2!M581</f>
        <v>32598997</v>
      </c>
      <c r="U18" s="644"/>
      <c r="V18" s="644"/>
      <c r="W18" s="644"/>
      <c r="X18" s="48">
        <f t="shared" si="3"/>
        <v>840432872</v>
      </c>
      <c r="Y18" s="58">
        <f t="shared" si="9"/>
        <v>4512627369</v>
      </c>
      <c r="Z18" s="668">
        <f>'8'!M581-'8'!M576</f>
        <v>4512627369</v>
      </c>
      <c r="AA18" s="668">
        <f t="shared" si="8"/>
        <v>0</v>
      </c>
    </row>
    <row r="19" spans="1:27" ht="24" customHeight="1" x14ac:dyDescent="0.2">
      <c r="A19" s="403" t="s">
        <v>103</v>
      </c>
      <c r="B19" s="403">
        <f>SUM(B14:B18)</f>
        <v>2492398726</v>
      </c>
      <c r="C19" s="403">
        <f>SUM(C14:C18)</f>
        <v>5776433816</v>
      </c>
      <c r="D19" s="403">
        <f t="shared" ref="D19:M19" si="10">SUM(D14:D18)</f>
        <v>2715694939</v>
      </c>
      <c r="E19" s="403">
        <f t="shared" si="10"/>
        <v>45535287</v>
      </c>
      <c r="F19" s="403">
        <f t="shared" si="10"/>
        <v>35618783</v>
      </c>
      <c r="G19" s="403">
        <f t="shared" si="10"/>
        <v>0</v>
      </c>
      <c r="H19" s="403">
        <f t="shared" si="10"/>
        <v>0</v>
      </c>
      <c r="I19" s="403">
        <f t="shared" si="10"/>
        <v>0</v>
      </c>
      <c r="J19" s="403">
        <f t="shared" si="10"/>
        <v>2796849009</v>
      </c>
      <c r="K19" s="403">
        <f t="shared" si="10"/>
        <v>8573282825</v>
      </c>
      <c r="L19" s="403">
        <f t="shared" si="10"/>
        <v>8537664042</v>
      </c>
      <c r="M19" s="403">
        <f t="shared" si="10"/>
        <v>35618783</v>
      </c>
      <c r="N19" s="409"/>
      <c r="O19" s="58" t="s">
        <v>9</v>
      </c>
      <c r="P19" s="460">
        <v>88419844</v>
      </c>
      <c r="Q19" s="460">
        <v>3441757</v>
      </c>
      <c r="R19" s="709">
        <v>16374107</v>
      </c>
      <c r="S19" s="709">
        <v>40666231</v>
      </c>
      <c r="T19" s="709"/>
      <c r="U19" s="644"/>
      <c r="V19" s="644"/>
      <c r="W19" s="644"/>
      <c r="X19" s="48">
        <f t="shared" si="3"/>
        <v>57040338</v>
      </c>
      <c r="Y19" s="58">
        <f t="shared" si="9"/>
        <v>60482095</v>
      </c>
      <c r="Z19" s="668">
        <f>'8'!M580</f>
        <v>60482095</v>
      </c>
      <c r="AA19" s="668">
        <f t="shared" si="8"/>
        <v>0</v>
      </c>
    </row>
    <row r="20" spans="1:27" ht="12.95" customHeight="1" x14ac:dyDescent="0.2">
      <c r="A20" s="58" t="s">
        <v>58</v>
      </c>
      <c r="B20" s="460"/>
      <c r="C20" s="460"/>
      <c r="D20" s="709"/>
      <c r="E20" s="709"/>
      <c r="F20" s="709"/>
      <c r="G20" s="644"/>
      <c r="H20" s="644"/>
      <c r="I20" s="644"/>
      <c r="J20" s="48"/>
      <c r="K20" s="58"/>
      <c r="L20" s="672"/>
      <c r="M20" s="672">
        <f t="shared" si="2"/>
        <v>0</v>
      </c>
      <c r="N20" s="409"/>
      <c r="O20" s="58" t="s">
        <v>96</v>
      </c>
      <c r="P20" s="460"/>
      <c r="Q20" s="460">
        <v>20000000</v>
      </c>
      <c r="R20" s="709">
        <v>4980000</v>
      </c>
      <c r="S20" s="709">
        <v>-14078600</v>
      </c>
      <c r="T20" s="709">
        <f>táj2!L578+táj2!M578</f>
        <v>0</v>
      </c>
      <c r="U20" s="644"/>
      <c r="V20" s="644"/>
      <c r="W20" s="644"/>
      <c r="X20" s="48">
        <f t="shared" si="3"/>
        <v>-9098600</v>
      </c>
      <c r="Y20" s="58">
        <f t="shared" si="9"/>
        <v>10901400</v>
      </c>
      <c r="Z20" s="668">
        <f>'8'!L578+'8'!M578</f>
        <v>10901400</v>
      </c>
      <c r="AA20" s="668">
        <f t="shared" si="8"/>
        <v>0</v>
      </c>
    </row>
    <row r="21" spans="1:27" ht="24" customHeight="1" x14ac:dyDescent="0.2">
      <c r="A21" s="58" t="s">
        <v>1069</v>
      </c>
      <c r="B21" s="460"/>
      <c r="C21" s="460">
        <v>0</v>
      </c>
      <c r="D21" s="709"/>
      <c r="E21" s="709">
        <v>500000000</v>
      </c>
      <c r="F21" s="709"/>
      <c r="G21" s="644"/>
      <c r="H21" s="644"/>
      <c r="I21" s="644"/>
      <c r="J21" s="48">
        <f t="shared" si="1"/>
        <v>500000000</v>
      </c>
      <c r="K21" s="58">
        <f>C21+J21</f>
        <v>500000000</v>
      </c>
      <c r="L21" s="672">
        <f>'6'!L167</f>
        <v>500000000</v>
      </c>
      <c r="M21" s="672">
        <f t="shared" si="2"/>
        <v>0</v>
      </c>
      <c r="N21" s="410"/>
      <c r="O21" s="58" t="s">
        <v>67</v>
      </c>
      <c r="P21" s="460">
        <v>67691172</v>
      </c>
      <c r="Q21" s="460">
        <v>58226153.345849998</v>
      </c>
      <c r="R21" s="709"/>
      <c r="S21" s="709"/>
      <c r="T21" s="709"/>
      <c r="U21" s="644"/>
      <c r="V21" s="644"/>
      <c r="W21" s="644"/>
      <c r="X21" s="48">
        <f t="shared" si="3"/>
        <v>0</v>
      </c>
      <c r="Y21" s="58">
        <f t="shared" si="9"/>
        <v>58226153.345849998</v>
      </c>
      <c r="Z21" s="668">
        <f>'8'!I516</f>
        <v>58226153</v>
      </c>
      <c r="AA21" s="668">
        <f t="shared" si="8"/>
        <v>0.34584999829530716</v>
      </c>
    </row>
    <row r="22" spans="1:27" ht="22.5" customHeight="1" x14ac:dyDescent="0.2">
      <c r="A22" s="58" t="s">
        <v>618</v>
      </c>
      <c r="B22" s="460">
        <f>7464090724-B9</f>
        <v>5352282724</v>
      </c>
      <c r="C22" s="460">
        <v>3827275063</v>
      </c>
      <c r="D22" s="709">
        <v>84586494</v>
      </c>
      <c r="E22" s="709">
        <v>128604609</v>
      </c>
      <c r="F22" s="709">
        <f>táj1!M167-'1'!F9</f>
        <v>26151138</v>
      </c>
      <c r="G22" s="644"/>
      <c r="H22" s="644"/>
      <c r="I22" s="644"/>
      <c r="J22" s="48">
        <f t="shared" si="1"/>
        <v>239342241</v>
      </c>
      <c r="K22" s="58">
        <f>C22+J22</f>
        <v>4066617304</v>
      </c>
      <c r="L22" s="672">
        <f>'6'!M167-'1'!L9</f>
        <v>4066617304</v>
      </c>
      <c r="M22" s="672">
        <f t="shared" si="2"/>
        <v>0</v>
      </c>
      <c r="N22" s="410"/>
      <c r="O22" s="403" t="s">
        <v>104</v>
      </c>
      <c r="P22" s="537">
        <f>P14+P16+P18+P20+P21</f>
        <v>6401188488</v>
      </c>
      <c r="Q22" s="537">
        <f>Q14+Q16+Q18+Q20+Q21</f>
        <v>10748037611.34585</v>
      </c>
      <c r="R22" s="537">
        <f t="shared" ref="R22:AA22" si="11">R14+R16+R18+R20+R21</f>
        <v>2800281433</v>
      </c>
      <c r="S22" s="537">
        <f t="shared" si="11"/>
        <v>174139896</v>
      </c>
      <c r="T22" s="537">
        <f t="shared" si="11"/>
        <v>61769921</v>
      </c>
      <c r="U22" s="537">
        <f t="shared" si="11"/>
        <v>0</v>
      </c>
      <c r="V22" s="537">
        <f t="shared" si="11"/>
        <v>0</v>
      </c>
      <c r="W22" s="537">
        <f t="shared" si="11"/>
        <v>0</v>
      </c>
      <c r="X22" s="537">
        <f t="shared" si="11"/>
        <v>3036191250</v>
      </c>
      <c r="Y22" s="537">
        <f t="shared" si="11"/>
        <v>13784228861.34585</v>
      </c>
      <c r="Z22" s="537">
        <f t="shared" si="11"/>
        <v>13784228861</v>
      </c>
      <c r="AA22" s="537">
        <f t="shared" si="11"/>
        <v>0.34584999829530716</v>
      </c>
    </row>
    <row r="23" spans="1:27" ht="24.95" customHeight="1" x14ac:dyDescent="0.2">
      <c r="A23" s="58" t="s">
        <v>945</v>
      </c>
      <c r="B23" s="460">
        <v>2234000000</v>
      </c>
      <c r="C23" s="460">
        <v>1262180000</v>
      </c>
      <c r="D23" s="709"/>
      <c r="E23" s="709"/>
      <c r="F23" s="709"/>
      <c r="G23" s="644"/>
      <c r="H23" s="644"/>
      <c r="I23" s="644"/>
      <c r="J23" s="48">
        <f t="shared" si="1"/>
        <v>0</v>
      </c>
      <c r="K23" s="58">
        <f>C23+J23</f>
        <v>1262180000</v>
      </c>
      <c r="L23" s="672">
        <f>'6'!N93+'6'!N120</f>
        <v>1262180000</v>
      </c>
      <c r="M23" s="672">
        <f t="shared" si="2"/>
        <v>0</v>
      </c>
      <c r="N23" s="410"/>
      <c r="O23" s="58" t="s">
        <v>66</v>
      </c>
      <c r="P23" s="460"/>
      <c r="Q23" s="460"/>
      <c r="R23" s="709"/>
      <c r="S23" s="709"/>
      <c r="T23" s="709"/>
      <c r="U23" s="644"/>
      <c r="V23" s="644"/>
      <c r="W23" s="644"/>
      <c r="X23" s="48">
        <f t="shared" si="3"/>
        <v>0</v>
      </c>
      <c r="Y23" s="58"/>
      <c r="Z23" s="667"/>
      <c r="AA23" s="668">
        <f>Y23-Z23</f>
        <v>0</v>
      </c>
    </row>
    <row r="24" spans="1:27" ht="31.5" customHeight="1" x14ac:dyDescent="0.2">
      <c r="A24" s="407"/>
      <c r="B24" s="538"/>
      <c r="C24" s="538"/>
      <c r="D24" s="710"/>
      <c r="E24" s="710"/>
      <c r="F24" s="710"/>
      <c r="G24" s="669"/>
      <c r="H24" s="669"/>
      <c r="I24" s="669"/>
      <c r="J24" s="48">
        <f t="shared" si="1"/>
        <v>0</v>
      </c>
      <c r="K24" s="58">
        <f>C24+J24</f>
        <v>0</v>
      </c>
      <c r="L24" s="672"/>
      <c r="M24" s="672">
        <f t="shared" si="2"/>
        <v>0</v>
      </c>
      <c r="N24" s="410"/>
      <c r="O24" s="58" t="s">
        <v>1070</v>
      </c>
      <c r="P24" s="460">
        <v>117851268</v>
      </c>
      <c r="Q24" s="460">
        <v>117851268</v>
      </c>
      <c r="R24" s="709"/>
      <c r="S24" s="709">
        <v>500000000</v>
      </c>
      <c r="T24" s="709"/>
      <c r="U24" s="644"/>
      <c r="V24" s="644"/>
      <c r="W24" s="644"/>
      <c r="X24" s="48">
        <f t="shared" si="3"/>
        <v>500000000</v>
      </c>
      <c r="Y24" s="58">
        <f>Q24+X24</f>
        <v>617851268</v>
      </c>
      <c r="Z24" s="668">
        <f>'8'!O516+'8'!O517</f>
        <v>617851268</v>
      </c>
      <c r="AA24" s="668">
        <f>Y24-Z24</f>
        <v>0</v>
      </c>
    </row>
    <row r="25" spans="1:27" ht="23.1" customHeight="1" x14ac:dyDescent="0.2">
      <c r="A25" s="406" t="s">
        <v>97</v>
      </c>
      <c r="B25" s="68">
        <f>SUM(B19:B24)</f>
        <v>10078681450</v>
      </c>
      <c r="C25" s="68">
        <f>SUM(C19:C24)</f>
        <v>10865888879</v>
      </c>
      <c r="D25" s="68">
        <f t="shared" ref="D25:M25" si="12">SUM(D19:D24)</f>
        <v>2800281433</v>
      </c>
      <c r="E25" s="68">
        <f t="shared" si="12"/>
        <v>674139896</v>
      </c>
      <c r="F25" s="68">
        <f t="shared" si="12"/>
        <v>61769921</v>
      </c>
      <c r="G25" s="68">
        <f t="shared" si="12"/>
        <v>0</v>
      </c>
      <c r="H25" s="68">
        <f t="shared" si="12"/>
        <v>0</v>
      </c>
      <c r="I25" s="68">
        <f t="shared" si="12"/>
        <v>0</v>
      </c>
      <c r="J25" s="68">
        <f t="shared" si="12"/>
        <v>3536191250</v>
      </c>
      <c r="K25" s="68">
        <f t="shared" si="12"/>
        <v>14402080129</v>
      </c>
      <c r="L25" s="68">
        <f t="shared" si="12"/>
        <v>14366461346</v>
      </c>
      <c r="M25" s="68">
        <f t="shared" si="12"/>
        <v>35618783</v>
      </c>
      <c r="N25" s="409"/>
      <c r="O25" s="406" t="s">
        <v>98</v>
      </c>
      <c r="P25" s="539">
        <f>SUM(P22:P24)</f>
        <v>6519039756</v>
      </c>
      <c r="Q25" s="539">
        <f t="shared" ref="Q25:AA25" si="13">SUM(Q22:Q24)</f>
        <v>10865888879.34585</v>
      </c>
      <c r="R25" s="539">
        <f t="shared" si="13"/>
        <v>2800281433</v>
      </c>
      <c r="S25" s="539">
        <f t="shared" si="13"/>
        <v>674139896</v>
      </c>
      <c r="T25" s="539">
        <f t="shared" si="13"/>
        <v>61769921</v>
      </c>
      <c r="U25" s="539">
        <f t="shared" si="13"/>
        <v>0</v>
      </c>
      <c r="V25" s="539">
        <f t="shared" si="13"/>
        <v>0</v>
      </c>
      <c r="W25" s="539">
        <f t="shared" si="13"/>
        <v>0</v>
      </c>
      <c r="X25" s="539">
        <f t="shared" si="13"/>
        <v>3536191250</v>
      </c>
      <c r="Y25" s="539">
        <f t="shared" si="13"/>
        <v>14402080129.34585</v>
      </c>
      <c r="Z25" s="539">
        <f t="shared" si="13"/>
        <v>14402080129</v>
      </c>
      <c r="AA25" s="539">
        <f t="shared" si="13"/>
        <v>0.34584999829530716</v>
      </c>
    </row>
    <row r="26" spans="1:27" ht="23.1" customHeight="1" x14ac:dyDescent="0.2">
      <c r="A26" s="406" t="s">
        <v>155</v>
      </c>
      <c r="B26" s="68">
        <f>SUM(B12+B25)</f>
        <v>36765609446</v>
      </c>
      <c r="C26" s="68">
        <f>SUM(C12+C25)</f>
        <v>39290317674</v>
      </c>
      <c r="D26" s="68">
        <f t="shared" ref="D26:M26" si="14">SUM(D12+D25)</f>
        <v>3326994889</v>
      </c>
      <c r="E26" s="68">
        <f t="shared" si="14"/>
        <v>1189999516</v>
      </c>
      <c r="F26" s="68">
        <f t="shared" si="14"/>
        <v>39339969</v>
      </c>
      <c r="G26" s="68">
        <f t="shared" si="14"/>
        <v>0</v>
      </c>
      <c r="H26" s="68">
        <f t="shared" si="14"/>
        <v>0</v>
      </c>
      <c r="I26" s="68">
        <f t="shared" si="14"/>
        <v>0</v>
      </c>
      <c r="J26" s="68">
        <f t="shared" si="14"/>
        <v>4556334374</v>
      </c>
      <c r="K26" s="68">
        <f t="shared" si="14"/>
        <v>43846652048</v>
      </c>
      <c r="L26" s="68">
        <f t="shared" si="14"/>
        <v>43811033265</v>
      </c>
      <c r="M26" s="68">
        <f t="shared" si="14"/>
        <v>35618783</v>
      </c>
      <c r="N26" s="409"/>
      <c r="O26" s="406" t="s">
        <v>155</v>
      </c>
      <c r="P26" s="539">
        <f>P12+P25</f>
        <v>31183757165</v>
      </c>
      <c r="Q26" s="539">
        <f t="shared" ref="Q26:AA26" si="15">Q12+Q25</f>
        <v>39290317674.345848</v>
      </c>
      <c r="R26" s="539">
        <f t="shared" si="15"/>
        <v>3326994889</v>
      </c>
      <c r="S26" s="539">
        <f t="shared" si="15"/>
        <v>1189999516</v>
      </c>
      <c r="T26" s="539">
        <f t="shared" si="15"/>
        <v>39339969</v>
      </c>
      <c r="U26" s="539">
        <f t="shared" si="15"/>
        <v>0</v>
      </c>
      <c r="V26" s="539">
        <f t="shared" si="15"/>
        <v>0</v>
      </c>
      <c r="W26" s="539">
        <f t="shared" si="15"/>
        <v>0</v>
      </c>
      <c r="X26" s="539">
        <f t="shared" si="15"/>
        <v>4556334374</v>
      </c>
      <c r="Y26" s="539">
        <f t="shared" si="15"/>
        <v>43846652048.345848</v>
      </c>
      <c r="Z26" s="539">
        <f t="shared" si="15"/>
        <v>43846652048</v>
      </c>
      <c r="AA26" s="539">
        <f t="shared" si="15"/>
        <v>0.34584999829530716</v>
      </c>
    </row>
    <row r="27" spans="1:27" ht="23.1" customHeight="1" x14ac:dyDescent="0.2">
      <c r="A27" s="58" t="s">
        <v>946</v>
      </c>
      <c r="B27" s="460">
        <v>4000000000</v>
      </c>
      <c r="C27" s="460">
        <v>5000000000</v>
      </c>
      <c r="D27" s="709"/>
      <c r="E27" s="709"/>
      <c r="F27" s="709"/>
      <c r="G27" s="644"/>
      <c r="H27" s="644"/>
      <c r="I27" s="644"/>
      <c r="J27" s="48">
        <f t="shared" si="1"/>
        <v>0</v>
      </c>
      <c r="K27" s="58">
        <f>C27+J27</f>
        <v>5000000000</v>
      </c>
      <c r="L27" s="672">
        <f>'6'!N131</f>
        <v>5000000000</v>
      </c>
      <c r="M27" s="672">
        <f t="shared" si="2"/>
        <v>0</v>
      </c>
      <c r="N27" s="410"/>
      <c r="O27" s="58" t="s">
        <v>574</v>
      </c>
      <c r="P27" s="460">
        <v>4000000000</v>
      </c>
      <c r="Q27" s="460">
        <v>5000000000</v>
      </c>
      <c r="R27" s="709"/>
      <c r="S27" s="709"/>
      <c r="T27" s="709"/>
      <c r="U27" s="644"/>
      <c r="V27" s="644"/>
      <c r="W27" s="644"/>
      <c r="X27" s="48">
        <f t="shared" si="3"/>
        <v>0</v>
      </c>
      <c r="Y27" s="58">
        <f>Q27+X27</f>
        <v>5000000000</v>
      </c>
      <c r="Z27" s="668">
        <f>'8'!P518</f>
        <v>5000000000</v>
      </c>
      <c r="AA27" s="668">
        <f>Y27-Z27</f>
        <v>0</v>
      </c>
    </row>
    <row r="28" spans="1:27" ht="20.100000000000001" customHeight="1" x14ac:dyDescent="0.2">
      <c r="A28" s="406" t="s">
        <v>2</v>
      </c>
      <c r="B28" s="68">
        <f>SUM(B26:B27)</f>
        <v>40765609446</v>
      </c>
      <c r="C28" s="68">
        <f>SUM(C26:C27)</f>
        <v>44290317674</v>
      </c>
      <c r="D28" s="68">
        <f t="shared" ref="D28:M28" si="16">SUM(D26:D27)</f>
        <v>3326994889</v>
      </c>
      <c r="E28" s="68">
        <f t="shared" si="16"/>
        <v>1189999516</v>
      </c>
      <c r="F28" s="68">
        <f t="shared" si="16"/>
        <v>39339969</v>
      </c>
      <c r="G28" s="68">
        <f t="shared" si="16"/>
        <v>0</v>
      </c>
      <c r="H28" s="68">
        <f t="shared" si="16"/>
        <v>0</v>
      </c>
      <c r="I28" s="68">
        <f t="shared" si="16"/>
        <v>0</v>
      </c>
      <c r="J28" s="68">
        <f t="shared" si="16"/>
        <v>4556334374</v>
      </c>
      <c r="K28" s="68">
        <f t="shared" si="16"/>
        <v>48846652048</v>
      </c>
      <c r="L28" s="68">
        <f t="shared" si="16"/>
        <v>48811033265</v>
      </c>
      <c r="M28" s="68">
        <f t="shared" si="16"/>
        <v>35618783</v>
      </c>
      <c r="N28" s="27"/>
      <c r="O28" s="406" t="s">
        <v>2</v>
      </c>
      <c r="P28" s="539">
        <f>SUM(P26:P27)</f>
        <v>35183757165</v>
      </c>
      <c r="Q28" s="539">
        <f t="shared" ref="Q28:AA28" si="17">SUM(Q26:Q27)</f>
        <v>44290317674.345848</v>
      </c>
      <c r="R28" s="539">
        <f t="shared" si="17"/>
        <v>3326994889</v>
      </c>
      <c r="S28" s="539">
        <f t="shared" si="17"/>
        <v>1189999516</v>
      </c>
      <c r="T28" s="539">
        <f t="shared" si="17"/>
        <v>39339969</v>
      </c>
      <c r="U28" s="539">
        <f t="shared" si="17"/>
        <v>0</v>
      </c>
      <c r="V28" s="539">
        <f t="shared" si="17"/>
        <v>0</v>
      </c>
      <c r="W28" s="539">
        <f t="shared" si="17"/>
        <v>0</v>
      </c>
      <c r="X28" s="539">
        <f t="shared" si="17"/>
        <v>4556334374</v>
      </c>
      <c r="Y28" s="539">
        <f t="shared" si="17"/>
        <v>48846652048.345848</v>
      </c>
      <c r="Z28" s="539">
        <f t="shared" si="17"/>
        <v>48846652048</v>
      </c>
      <c r="AA28" s="539">
        <f t="shared" si="17"/>
        <v>0.34584999829530716</v>
      </c>
    </row>
    <row r="29" spans="1:27" hidden="1" x14ac:dyDescent="0.2">
      <c r="X29" s="12"/>
    </row>
    <row r="30" spans="1:27" hidden="1" x14ac:dyDescent="0.2">
      <c r="J30" s="12" t="s">
        <v>813</v>
      </c>
      <c r="K30" s="12"/>
      <c r="L30" s="12"/>
      <c r="M30" s="12"/>
      <c r="O30" s="4">
        <f>K7</f>
        <v>25329336942</v>
      </c>
      <c r="X30" s="12"/>
    </row>
    <row r="31" spans="1:27" hidden="1" x14ac:dyDescent="0.2">
      <c r="J31" s="12" t="s">
        <v>814</v>
      </c>
      <c r="K31" s="12"/>
      <c r="L31" s="12"/>
      <c r="M31" s="12"/>
      <c r="O31" s="4">
        <f>Y8</f>
        <v>29200444269</v>
      </c>
      <c r="X31" s="12"/>
    </row>
    <row r="32" spans="1:27" hidden="1" x14ac:dyDescent="0.2">
      <c r="J32" s="12" t="s">
        <v>810</v>
      </c>
      <c r="K32" s="12"/>
      <c r="L32" s="12"/>
      <c r="M32" s="12"/>
      <c r="O32" s="4">
        <f>O30-O31</f>
        <v>-3871107327</v>
      </c>
      <c r="X32" s="12"/>
    </row>
    <row r="33" spans="10:24" hidden="1" x14ac:dyDescent="0.2">
      <c r="J33" s="12"/>
      <c r="K33" s="12"/>
      <c r="L33" s="12"/>
      <c r="M33" s="12"/>
      <c r="X33" s="12"/>
    </row>
    <row r="34" spans="10:24" hidden="1" x14ac:dyDescent="0.2">
      <c r="J34" s="12" t="s">
        <v>815</v>
      </c>
      <c r="K34" s="12"/>
      <c r="L34" s="12"/>
      <c r="M34" s="12"/>
      <c r="O34" s="4">
        <f>K19</f>
        <v>8573282825</v>
      </c>
      <c r="X34" s="12"/>
    </row>
    <row r="35" spans="10:24" hidden="1" x14ac:dyDescent="0.2">
      <c r="J35" s="12" t="s">
        <v>816</v>
      </c>
      <c r="K35" s="12"/>
      <c r="L35" s="12"/>
      <c r="M35" s="12"/>
      <c r="O35" s="4">
        <f>Y22</f>
        <v>13784228861.34585</v>
      </c>
      <c r="X35" s="12"/>
    </row>
    <row r="36" spans="10:24" hidden="1" x14ac:dyDescent="0.2">
      <c r="J36" s="12" t="s">
        <v>811</v>
      </c>
      <c r="K36" s="12"/>
      <c r="L36" s="12"/>
      <c r="M36" s="12"/>
      <c r="O36" s="4">
        <f>O34-O35</f>
        <v>-5210946036.34585</v>
      </c>
      <c r="X36" s="12"/>
    </row>
    <row r="37" spans="10:24" hidden="1" x14ac:dyDescent="0.2">
      <c r="J37" s="12"/>
      <c r="K37" s="12"/>
      <c r="L37" s="12"/>
      <c r="M37" s="12"/>
      <c r="X37" s="12"/>
    </row>
    <row r="38" spans="10:24" hidden="1" x14ac:dyDescent="0.2">
      <c r="J38" s="12" t="s">
        <v>812</v>
      </c>
      <c r="K38" s="12"/>
      <c r="L38" s="12"/>
      <c r="M38" s="12"/>
      <c r="O38" s="4">
        <f>O32+O36</f>
        <v>-9082053363.34585</v>
      </c>
      <c r="X38" s="12"/>
    </row>
    <row r="39" spans="10:24" hidden="1" x14ac:dyDescent="0.2">
      <c r="X39" s="12"/>
    </row>
    <row r="40" spans="10:24" x14ac:dyDescent="0.2">
      <c r="X40" s="12"/>
    </row>
    <row r="41" spans="10:24" x14ac:dyDescent="0.2">
      <c r="X41" s="12"/>
    </row>
    <row r="42" spans="10:24" x14ac:dyDescent="0.2">
      <c r="X42" s="12"/>
    </row>
  </sheetData>
  <phoneticPr fontId="0" type="noConversion"/>
  <printOptions horizontalCentered="1" verticalCentered="1"/>
  <pageMargins left="0.35433070866141736" right="0.39370078740157483" top="0.9055118110236221" bottom="0.27559055118110237" header="0.39370078740157483" footer="0.51181102362204722"/>
  <pageSetup paperSize="9" scale="75" orientation="landscape" r:id="rId1"/>
  <headerFooter alignWithMargins="0">
    <oddHeader>&amp;C&amp;"Times New Roman CE,Félkövér dőlt"ZALAEGERSZEG MEGYEI  JOGÚ  VÁROS  ÖNKORMÁNYZATA
BEVÉTELEINEK  ÉS  KIADÁSAINAK   MÉRLEGE
2026.  ÉVBEN
&amp;R&amp;"Times New Roman CE,Félkövér dőlt"1. melléklet
Adatok forintban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N42"/>
  <sheetViews>
    <sheetView topLeftCell="A16" zoomScaleNormal="100" workbookViewId="0">
      <selection activeCell="P9" sqref="P9"/>
    </sheetView>
  </sheetViews>
  <sheetFormatPr defaultColWidth="9.33203125" defaultRowHeight="12" x14ac:dyDescent="0.2"/>
  <cols>
    <col min="1" max="1" width="7.33203125" style="5" customWidth="1"/>
    <col min="2" max="2" width="59.83203125" style="4" customWidth="1"/>
    <col min="3" max="3" width="16.6640625" style="4" customWidth="1"/>
    <col min="4" max="4" width="16.5" style="4" customWidth="1"/>
    <col min="5" max="10" width="16.5" style="4" hidden="1" customWidth="1"/>
    <col min="11" max="11" width="15.83203125" style="2" customWidth="1"/>
    <col min="12" max="12" width="16.83203125" style="2" customWidth="1"/>
    <col min="13" max="13" width="16.33203125" style="2" hidden="1" customWidth="1"/>
    <col min="14" max="14" width="17.1640625" style="2" hidden="1" customWidth="1"/>
    <col min="15" max="16384" width="9.33203125" style="2"/>
  </cols>
  <sheetData>
    <row r="1" spans="1:14" ht="55.5" customHeight="1" x14ac:dyDescent="0.2">
      <c r="A1" s="715" t="s">
        <v>123</v>
      </c>
      <c r="B1" s="715" t="s">
        <v>111</v>
      </c>
      <c r="C1" s="715" t="s">
        <v>953</v>
      </c>
      <c r="D1" s="716" t="s">
        <v>808</v>
      </c>
      <c r="E1" s="701" t="s">
        <v>1026</v>
      </c>
      <c r="F1" s="701" t="s">
        <v>1027</v>
      </c>
      <c r="G1" s="701" t="s">
        <v>1059</v>
      </c>
      <c r="H1" s="701"/>
      <c r="I1" s="701"/>
      <c r="J1" s="701"/>
      <c r="K1" s="717" t="s">
        <v>956</v>
      </c>
      <c r="L1" s="717" t="s">
        <v>955</v>
      </c>
      <c r="M1" s="641"/>
      <c r="N1" s="641"/>
    </row>
    <row r="2" spans="1:14" s="3" customFormat="1" ht="14.45" customHeight="1" x14ac:dyDescent="0.25">
      <c r="A2" s="718" t="s">
        <v>22</v>
      </c>
      <c r="B2" s="719" t="s">
        <v>99</v>
      </c>
      <c r="C2" s="720"/>
      <c r="D2" s="720"/>
      <c r="E2" s="702"/>
      <c r="F2" s="702"/>
      <c r="G2" s="702"/>
      <c r="H2" s="702"/>
      <c r="I2" s="702"/>
      <c r="J2" s="702"/>
      <c r="K2" s="721"/>
      <c r="L2" s="721"/>
      <c r="M2" s="641"/>
      <c r="N2" s="641"/>
    </row>
    <row r="3" spans="1:14" ht="14.45" customHeight="1" x14ac:dyDescent="0.25">
      <c r="A3" s="718" t="s">
        <v>23</v>
      </c>
      <c r="B3" s="719" t="s">
        <v>24</v>
      </c>
      <c r="C3" s="720"/>
      <c r="D3" s="637"/>
      <c r="E3" s="703"/>
      <c r="F3" s="703"/>
      <c r="G3" s="703"/>
      <c r="H3" s="703"/>
      <c r="I3" s="703"/>
      <c r="J3" s="703"/>
      <c r="K3" s="692"/>
      <c r="L3" s="692"/>
      <c r="M3" s="641"/>
      <c r="N3" s="641"/>
    </row>
    <row r="4" spans="1:14" ht="21" customHeight="1" x14ac:dyDescent="0.2">
      <c r="A4" s="640" t="s">
        <v>25</v>
      </c>
      <c r="B4" s="639" t="s">
        <v>570</v>
      </c>
      <c r="C4" s="637">
        <v>7262877598</v>
      </c>
      <c r="D4" s="637">
        <v>7260136532</v>
      </c>
      <c r="E4" s="703">
        <v>321868587</v>
      </c>
      <c r="F4" s="703">
        <v>88355345</v>
      </c>
      <c r="G4" s="703">
        <v>1486550</v>
      </c>
      <c r="H4" s="703"/>
      <c r="I4" s="703"/>
      <c r="J4" s="703"/>
      <c r="K4" s="722">
        <f>SUM(E4:J4)</f>
        <v>411710482</v>
      </c>
      <c r="L4" s="722">
        <f>SUM(D4+K4)</f>
        <v>7671847014</v>
      </c>
      <c r="M4" s="641">
        <f>'6'!E139+'6'!E141+'6'!E18</f>
        <v>7671847014</v>
      </c>
      <c r="N4" s="641">
        <f t="shared" ref="N4" si="0">L4-M4</f>
        <v>0</v>
      </c>
    </row>
    <row r="5" spans="1:14" ht="20.25" customHeight="1" x14ac:dyDescent="0.2">
      <c r="A5" s="640" t="s">
        <v>817</v>
      </c>
      <c r="B5" s="639" t="s">
        <v>818</v>
      </c>
      <c r="C5" s="637">
        <v>1454265</v>
      </c>
      <c r="D5" s="637">
        <v>0</v>
      </c>
      <c r="E5" s="703"/>
      <c r="F5" s="703"/>
      <c r="G5" s="703"/>
      <c r="H5" s="703"/>
      <c r="I5" s="703"/>
      <c r="J5" s="703"/>
      <c r="K5" s="722">
        <f t="shared" ref="K5:K40" si="1">SUM(E5:J5)</f>
        <v>0</v>
      </c>
      <c r="L5" s="722">
        <f t="shared" ref="L5:L40" si="2">SUM(D5+K5)</f>
        <v>0</v>
      </c>
      <c r="M5" s="641"/>
      <c r="N5" s="641"/>
    </row>
    <row r="6" spans="1:14" ht="24.75" customHeight="1" x14ac:dyDescent="0.2">
      <c r="A6" s="640" t="s">
        <v>0</v>
      </c>
      <c r="B6" s="639" t="s">
        <v>1</v>
      </c>
      <c r="C6" s="637">
        <v>26000000</v>
      </c>
      <c r="D6" s="637">
        <v>35700000</v>
      </c>
      <c r="E6" s="703"/>
      <c r="F6" s="703"/>
      <c r="G6" s="703"/>
      <c r="H6" s="703"/>
      <c r="I6" s="703"/>
      <c r="J6" s="703"/>
      <c r="K6" s="722">
        <f t="shared" si="1"/>
        <v>0</v>
      </c>
      <c r="L6" s="722">
        <f t="shared" si="2"/>
        <v>35700000</v>
      </c>
      <c r="M6" s="641"/>
      <c r="N6" s="641"/>
    </row>
    <row r="7" spans="1:14" ht="24.75" customHeight="1" x14ac:dyDescent="0.2">
      <c r="A7" s="640" t="s">
        <v>991</v>
      </c>
      <c r="B7" s="639" t="s">
        <v>992</v>
      </c>
      <c r="C7" s="637">
        <v>32698835</v>
      </c>
      <c r="D7" s="637"/>
      <c r="E7" s="703"/>
      <c r="F7" s="703"/>
      <c r="G7" s="703"/>
      <c r="H7" s="703"/>
      <c r="I7" s="703"/>
      <c r="J7" s="703"/>
      <c r="K7" s="722">
        <f t="shared" si="1"/>
        <v>0</v>
      </c>
      <c r="L7" s="722">
        <f t="shared" si="2"/>
        <v>0</v>
      </c>
      <c r="M7" s="641"/>
      <c r="N7" s="641"/>
    </row>
    <row r="8" spans="1:14" ht="30" customHeight="1" x14ac:dyDescent="0.2">
      <c r="A8" s="640" t="s">
        <v>108</v>
      </c>
      <c r="B8" s="639" t="s">
        <v>109</v>
      </c>
      <c r="C8" s="637">
        <v>1202061403</v>
      </c>
      <c r="D8" s="637">
        <v>2467589995</v>
      </c>
      <c r="E8" s="703">
        <v>190530639</v>
      </c>
      <c r="F8" s="703">
        <v>70783406</v>
      </c>
      <c r="G8" s="703">
        <v>-6249</v>
      </c>
      <c r="H8" s="703"/>
      <c r="I8" s="703"/>
      <c r="J8" s="703"/>
      <c r="K8" s="722">
        <f t="shared" si="1"/>
        <v>261307796</v>
      </c>
      <c r="L8" s="722">
        <f t="shared" si="2"/>
        <v>2728897791</v>
      </c>
      <c r="M8" s="641"/>
      <c r="N8" s="641"/>
    </row>
    <row r="9" spans="1:14" s="3" customFormat="1" ht="22.5" customHeight="1" x14ac:dyDescent="0.25">
      <c r="A9" s="715"/>
      <c r="B9" s="723" t="s">
        <v>26</v>
      </c>
      <c r="C9" s="724">
        <f>SUM(C4:C8)</f>
        <v>8525092101</v>
      </c>
      <c r="D9" s="724">
        <f>SUM(D4:D8)</f>
        <v>9763426527</v>
      </c>
      <c r="E9" s="724">
        <f t="shared" ref="E9:L9" si="3">SUM(E4:E8)</f>
        <v>512399226</v>
      </c>
      <c r="F9" s="724">
        <f t="shared" si="3"/>
        <v>159138751</v>
      </c>
      <c r="G9" s="724">
        <f t="shared" si="3"/>
        <v>1480301</v>
      </c>
      <c r="H9" s="724">
        <f t="shared" si="3"/>
        <v>0</v>
      </c>
      <c r="I9" s="724">
        <f t="shared" si="3"/>
        <v>0</v>
      </c>
      <c r="J9" s="724">
        <f t="shared" si="3"/>
        <v>0</v>
      </c>
      <c r="K9" s="724">
        <f t="shared" si="3"/>
        <v>673018278</v>
      </c>
      <c r="L9" s="724">
        <f t="shared" si="3"/>
        <v>10436444805</v>
      </c>
      <c r="M9" s="641">
        <f>'6'!E167</f>
        <v>10436444805</v>
      </c>
      <c r="N9" s="641">
        <f>L9-M9</f>
        <v>0</v>
      </c>
    </row>
    <row r="10" spans="1:14" ht="14.45" customHeight="1" x14ac:dyDescent="0.25">
      <c r="A10" s="718" t="s">
        <v>27</v>
      </c>
      <c r="B10" s="719" t="s">
        <v>28</v>
      </c>
      <c r="C10" s="720"/>
      <c r="D10" s="637"/>
      <c r="E10" s="703"/>
      <c r="F10" s="703"/>
      <c r="G10" s="703"/>
      <c r="H10" s="703"/>
      <c r="I10" s="703"/>
      <c r="J10" s="703"/>
      <c r="K10" s="722">
        <f t="shared" si="1"/>
        <v>0</v>
      </c>
      <c r="L10" s="722">
        <f t="shared" si="2"/>
        <v>0</v>
      </c>
      <c r="M10" s="641"/>
      <c r="N10" s="641"/>
    </row>
    <row r="11" spans="1:14" ht="14.45" customHeight="1" x14ac:dyDescent="0.2">
      <c r="A11" s="640" t="s">
        <v>29</v>
      </c>
      <c r="B11" s="639" t="s">
        <v>30</v>
      </c>
      <c r="C11" s="637">
        <v>451996804</v>
      </c>
      <c r="D11" s="637"/>
      <c r="E11" s="703"/>
      <c r="F11" s="703"/>
      <c r="G11" s="703"/>
      <c r="H11" s="703"/>
      <c r="I11" s="703"/>
      <c r="J11" s="703"/>
      <c r="K11" s="722">
        <f t="shared" si="1"/>
        <v>0</v>
      </c>
      <c r="L11" s="722">
        <f t="shared" si="2"/>
        <v>0</v>
      </c>
      <c r="M11" s="641"/>
      <c r="N11" s="641"/>
    </row>
    <row r="12" spans="1:14" ht="28.5" customHeight="1" x14ac:dyDescent="0.2">
      <c r="A12" s="640" t="s">
        <v>989</v>
      </c>
      <c r="B12" s="639" t="s">
        <v>990</v>
      </c>
      <c r="C12" s="637">
        <v>2550000</v>
      </c>
      <c r="D12" s="637"/>
      <c r="E12" s="703"/>
      <c r="F12" s="703"/>
      <c r="G12" s="703"/>
      <c r="H12" s="703"/>
      <c r="I12" s="703"/>
      <c r="J12" s="703"/>
      <c r="K12" s="722">
        <f t="shared" si="1"/>
        <v>0</v>
      </c>
      <c r="L12" s="722">
        <f t="shared" si="2"/>
        <v>0</v>
      </c>
      <c r="M12" s="641"/>
      <c r="N12" s="641"/>
    </row>
    <row r="13" spans="1:14" ht="28.5" customHeight="1" x14ac:dyDescent="0.2">
      <c r="A13" s="640" t="s">
        <v>31</v>
      </c>
      <c r="B13" s="639" t="s">
        <v>32</v>
      </c>
      <c r="C13" s="637">
        <v>425613111</v>
      </c>
      <c r="D13" s="637">
        <v>4881455631</v>
      </c>
      <c r="E13" s="703">
        <v>2707827498</v>
      </c>
      <c r="F13" s="703">
        <v>-13824487</v>
      </c>
      <c r="G13" s="703"/>
      <c r="H13" s="703"/>
      <c r="I13" s="703"/>
      <c r="J13" s="703"/>
      <c r="K13" s="722">
        <f t="shared" si="1"/>
        <v>2694003011</v>
      </c>
      <c r="L13" s="722">
        <f t="shared" si="2"/>
        <v>7575458642</v>
      </c>
      <c r="M13" s="641"/>
      <c r="N13" s="641"/>
    </row>
    <row r="14" spans="1:14" s="3" customFormat="1" ht="26.25" customHeight="1" x14ac:dyDescent="0.25">
      <c r="A14" s="715"/>
      <c r="B14" s="723" t="s">
        <v>33</v>
      </c>
      <c r="C14" s="724">
        <f>SUM(C10:C13)</f>
        <v>880159915</v>
      </c>
      <c r="D14" s="724">
        <f>SUM(D10:D13)</f>
        <v>4881455631</v>
      </c>
      <c r="E14" s="724">
        <f t="shared" ref="E14:L14" si="4">SUM(E10:E13)</f>
        <v>2707827498</v>
      </c>
      <c r="F14" s="724">
        <f t="shared" si="4"/>
        <v>-13824487</v>
      </c>
      <c r="G14" s="724">
        <f t="shared" si="4"/>
        <v>0</v>
      </c>
      <c r="H14" s="724">
        <f t="shared" si="4"/>
        <v>0</v>
      </c>
      <c r="I14" s="724">
        <f t="shared" si="4"/>
        <v>0</v>
      </c>
      <c r="J14" s="724">
        <f t="shared" si="4"/>
        <v>0</v>
      </c>
      <c r="K14" s="724">
        <f t="shared" si="4"/>
        <v>2694003011</v>
      </c>
      <c r="L14" s="724">
        <f t="shared" si="4"/>
        <v>7575458642</v>
      </c>
      <c r="M14" s="641">
        <f>'6'!F167</f>
        <v>7575458642</v>
      </c>
      <c r="N14" s="641">
        <f t="shared" ref="N14:N42" si="5">L14-M14</f>
        <v>0</v>
      </c>
    </row>
    <row r="15" spans="1:14" ht="14.45" customHeight="1" x14ac:dyDescent="0.25">
      <c r="A15" s="718" t="s">
        <v>34</v>
      </c>
      <c r="B15" s="719" t="s">
        <v>14</v>
      </c>
      <c r="C15" s="720"/>
      <c r="D15" s="637"/>
      <c r="E15" s="703"/>
      <c r="F15" s="703"/>
      <c r="G15" s="703"/>
      <c r="H15" s="703"/>
      <c r="I15" s="703"/>
      <c r="J15" s="703"/>
      <c r="K15" s="722">
        <f t="shared" si="1"/>
        <v>0</v>
      </c>
      <c r="L15" s="722">
        <f t="shared" si="2"/>
        <v>0</v>
      </c>
      <c r="M15" s="641"/>
      <c r="N15" s="641"/>
    </row>
    <row r="16" spans="1:14" ht="14.45" customHeight="1" x14ac:dyDescent="0.2">
      <c r="A16" s="638" t="s">
        <v>987</v>
      </c>
      <c r="B16" s="639" t="s">
        <v>988</v>
      </c>
      <c r="C16" s="637">
        <v>60681</v>
      </c>
      <c r="D16" s="637"/>
      <c r="E16" s="703"/>
      <c r="F16" s="703"/>
      <c r="G16" s="703"/>
      <c r="H16" s="703"/>
      <c r="I16" s="703"/>
      <c r="J16" s="703"/>
      <c r="K16" s="722">
        <f t="shared" si="1"/>
        <v>0</v>
      </c>
      <c r="L16" s="722">
        <f t="shared" si="2"/>
        <v>0</v>
      </c>
      <c r="M16" s="641"/>
      <c r="N16" s="641"/>
    </row>
    <row r="17" spans="1:14" ht="14.45" customHeight="1" x14ac:dyDescent="0.2">
      <c r="A17" s="692" t="s">
        <v>86</v>
      </c>
      <c r="B17" s="692" t="s">
        <v>87</v>
      </c>
      <c r="C17" s="722">
        <v>1598158911</v>
      </c>
      <c r="D17" s="637">
        <v>1575000000</v>
      </c>
      <c r="E17" s="703"/>
      <c r="F17" s="703"/>
      <c r="G17" s="703"/>
      <c r="H17" s="703"/>
      <c r="I17" s="703"/>
      <c r="J17" s="703"/>
      <c r="K17" s="722">
        <f t="shared" si="1"/>
        <v>0</v>
      </c>
      <c r="L17" s="722">
        <f t="shared" si="2"/>
        <v>1575000000</v>
      </c>
      <c r="M17" s="641"/>
      <c r="N17" s="641"/>
    </row>
    <row r="18" spans="1:14" ht="14.45" customHeight="1" x14ac:dyDescent="0.2">
      <c r="A18" s="640" t="s">
        <v>35</v>
      </c>
      <c r="B18" s="639" t="s">
        <v>37</v>
      </c>
      <c r="C18" s="637"/>
      <c r="D18" s="637"/>
      <c r="E18" s="703"/>
      <c r="F18" s="703"/>
      <c r="G18" s="703"/>
      <c r="H18" s="703"/>
      <c r="I18" s="703"/>
      <c r="J18" s="703"/>
      <c r="K18" s="722">
        <f t="shared" si="1"/>
        <v>0</v>
      </c>
      <c r="L18" s="722">
        <f t="shared" si="2"/>
        <v>0</v>
      </c>
      <c r="M18" s="641"/>
      <c r="N18" s="641"/>
    </row>
    <row r="19" spans="1:14" ht="14.45" customHeight="1" x14ac:dyDescent="0.2">
      <c r="A19" s="638" t="s">
        <v>36</v>
      </c>
      <c r="B19" s="639" t="s">
        <v>6</v>
      </c>
      <c r="C19" s="637">
        <v>7959128228</v>
      </c>
      <c r="D19" s="637">
        <v>7950000000</v>
      </c>
      <c r="E19" s="703"/>
      <c r="F19" s="703"/>
      <c r="G19" s="703"/>
      <c r="H19" s="703"/>
      <c r="I19" s="703"/>
      <c r="J19" s="703"/>
      <c r="K19" s="722">
        <f t="shared" si="1"/>
        <v>0</v>
      </c>
      <c r="L19" s="722">
        <f t="shared" si="2"/>
        <v>7950000000</v>
      </c>
      <c r="M19" s="641"/>
      <c r="N19" s="641"/>
    </row>
    <row r="20" spans="1:14" ht="15" customHeight="1" x14ac:dyDescent="0.2">
      <c r="A20" s="638" t="s">
        <v>38</v>
      </c>
      <c r="B20" s="639" t="s">
        <v>102</v>
      </c>
      <c r="C20" s="637">
        <v>38166535</v>
      </c>
      <c r="D20" s="637">
        <v>37000000</v>
      </c>
      <c r="E20" s="703"/>
      <c r="F20" s="703"/>
      <c r="G20" s="703"/>
      <c r="H20" s="703"/>
      <c r="I20" s="703"/>
      <c r="J20" s="703"/>
      <c r="K20" s="722">
        <f t="shared" si="1"/>
        <v>0</v>
      </c>
      <c r="L20" s="722">
        <f t="shared" si="2"/>
        <v>37000000</v>
      </c>
      <c r="M20" s="641"/>
      <c r="N20" s="641"/>
    </row>
    <row r="21" spans="1:14" ht="30.75" customHeight="1" x14ac:dyDescent="0.2">
      <c r="A21" s="640" t="s">
        <v>39</v>
      </c>
      <c r="B21" s="639" t="s">
        <v>839</v>
      </c>
      <c r="C21" s="637">
        <v>205921127</v>
      </c>
      <c r="D21" s="637">
        <v>120800000</v>
      </c>
      <c r="E21" s="703"/>
      <c r="F21" s="703"/>
      <c r="G21" s="703"/>
      <c r="H21" s="703"/>
      <c r="I21" s="703"/>
      <c r="J21" s="703"/>
      <c r="K21" s="722">
        <f t="shared" si="1"/>
        <v>0</v>
      </c>
      <c r="L21" s="722">
        <f t="shared" si="2"/>
        <v>120800000</v>
      </c>
      <c r="M21" s="641"/>
      <c r="N21" s="641"/>
    </row>
    <row r="22" spans="1:14" ht="15" customHeight="1" x14ac:dyDescent="0.25">
      <c r="A22" s="715"/>
      <c r="B22" s="723" t="s">
        <v>40</v>
      </c>
      <c r="C22" s="724">
        <f>SUM(C15:C21)</f>
        <v>9801435482</v>
      </c>
      <c r="D22" s="724">
        <f>SUM(D15:D21)</f>
        <v>9682800000</v>
      </c>
      <c r="E22" s="724">
        <f t="shared" ref="E22:L22" si="6">SUM(E15:E21)</f>
        <v>0</v>
      </c>
      <c r="F22" s="724">
        <f t="shared" si="6"/>
        <v>0</v>
      </c>
      <c r="G22" s="724">
        <f t="shared" si="6"/>
        <v>0</v>
      </c>
      <c r="H22" s="724">
        <f t="shared" si="6"/>
        <v>0</v>
      </c>
      <c r="I22" s="724">
        <f t="shared" si="6"/>
        <v>0</v>
      </c>
      <c r="J22" s="724">
        <f t="shared" si="6"/>
        <v>0</v>
      </c>
      <c r="K22" s="724">
        <f t="shared" si="6"/>
        <v>0</v>
      </c>
      <c r="L22" s="724">
        <f t="shared" si="6"/>
        <v>9682800000</v>
      </c>
      <c r="M22" s="641">
        <f>'6'!G167</f>
        <v>9682800000</v>
      </c>
      <c r="N22" s="641">
        <f t="shared" si="5"/>
        <v>0</v>
      </c>
    </row>
    <row r="23" spans="1:14" ht="15" customHeight="1" x14ac:dyDescent="0.25">
      <c r="A23" s="715" t="s">
        <v>41</v>
      </c>
      <c r="B23" s="723" t="s">
        <v>147</v>
      </c>
      <c r="C23" s="724">
        <v>6735319570</v>
      </c>
      <c r="D23" s="724">
        <v>5740405611</v>
      </c>
      <c r="E23" s="702">
        <v>105649116</v>
      </c>
      <c r="F23" s="702">
        <v>115117037</v>
      </c>
      <c r="G23" s="702">
        <v>37853419</v>
      </c>
      <c r="H23" s="702"/>
      <c r="I23" s="702"/>
      <c r="J23" s="702"/>
      <c r="K23" s="722">
        <f t="shared" si="1"/>
        <v>258619572</v>
      </c>
      <c r="L23" s="722">
        <f t="shared" si="2"/>
        <v>5999025183</v>
      </c>
      <c r="M23" s="641">
        <f>'6'!H167</f>
        <v>5999025183</v>
      </c>
      <c r="N23" s="641">
        <f t="shared" si="5"/>
        <v>0</v>
      </c>
    </row>
    <row r="24" spans="1:14" ht="15" customHeight="1" x14ac:dyDescent="0.25">
      <c r="A24" s="718" t="s">
        <v>42</v>
      </c>
      <c r="B24" s="719" t="s">
        <v>148</v>
      </c>
      <c r="C24" s="720"/>
      <c r="D24" s="637"/>
      <c r="E24" s="703"/>
      <c r="F24" s="703"/>
      <c r="G24" s="703"/>
      <c r="H24" s="703"/>
      <c r="I24" s="703"/>
      <c r="J24" s="703"/>
      <c r="K24" s="722">
        <f t="shared" si="1"/>
        <v>0</v>
      </c>
      <c r="L24" s="722">
        <f t="shared" si="2"/>
        <v>0</v>
      </c>
      <c r="M24" s="641"/>
      <c r="N24" s="641"/>
    </row>
    <row r="25" spans="1:14" ht="15" customHeight="1" x14ac:dyDescent="0.2">
      <c r="A25" s="690" t="s">
        <v>43</v>
      </c>
      <c r="B25" s="639" t="s">
        <v>44</v>
      </c>
      <c r="C25" s="637">
        <v>220649382</v>
      </c>
      <c r="D25" s="637">
        <v>174046508</v>
      </c>
      <c r="E25" s="703"/>
      <c r="F25" s="703"/>
      <c r="G25" s="703"/>
      <c r="H25" s="703"/>
      <c r="I25" s="703"/>
      <c r="J25" s="703"/>
      <c r="K25" s="722">
        <f t="shared" si="1"/>
        <v>0</v>
      </c>
      <c r="L25" s="722">
        <f t="shared" si="2"/>
        <v>174046508</v>
      </c>
      <c r="M25" s="641"/>
      <c r="N25" s="641"/>
    </row>
    <row r="26" spans="1:14" ht="15" customHeight="1" x14ac:dyDescent="0.2">
      <c r="A26" s="690" t="s">
        <v>88</v>
      </c>
      <c r="B26" s="639" t="s">
        <v>89</v>
      </c>
      <c r="C26" s="637">
        <v>54542485</v>
      </c>
      <c r="D26" s="637"/>
      <c r="E26" s="703"/>
      <c r="F26" s="703"/>
      <c r="G26" s="703"/>
      <c r="H26" s="703"/>
      <c r="I26" s="703"/>
      <c r="J26" s="703"/>
      <c r="K26" s="722">
        <f t="shared" si="1"/>
        <v>0</v>
      </c>
      <c r="L26" s="722">
        <f t="shared" si="2"/>
        <v>0</v>
      </c>
      <c r="M26" s="641"/>
      <c r="N26" s="641"/>
    </row>
    <row r="27" spans="1:14" ht="15" customHeight="1" x14ac:dyDescent="0.2">
      <c r="A27" s="690" t="s">
        <v>819</v>
      </c>
      <c r="B27" s="639" t="s">
        <v>820</v>
      </c>
      <c r="C27" s="637">
        <v>43327900</v>
      </c>
      <c r="D27" s="637"/>
      <c r="E27" s="703"/>
      <c r="F27" s="703"/>
      <c r="G27" s="703"/>
      <c r="H27" s="703"/>
      <c r="I27" s="703"/>
      <c r="J27" s="703"/>
      <c r="K27" s="722">
        <f t="shared" si="1"/>
        <v>0</v>
      </c>
      <c r="L27" s="722">
        <f t="shared" si="2"/>
        <v>0</v>
      </c>
      <c r="M27" s="641"/>
      <c r="N27" s="641"/>
    </row>
    <row r="28" spans="1:14" ht="15" customHeight="1" x14ac:dyDescent="0.25">
      <c r="A28" s="725"/>
      <c r="B28" s="723" t="s">
        <v>45</v>
      </c>
      <c r="C28" s="724">
        <f>SUM(C25:C27)</f>
        <v>318519767</v>
      </c>
      <c r="D28" s="724">
        <f>SUM(D25:D27)</f>
        <v>174046508</v>
      </c>
      <c r="E28" s="724">
        <f t="shared" ref="E28:L28" si="7">SUM(E25:E27)</f>
        <v>0</v>
      </c>
      <c r="F28" s="724">
        <f t="shared" si="7"/>
        <v>0</v>
      </c>
      <c r="G28" s="724">
        <f t="shared" si="7"/>
        <v>0</v>
      </c>
      <c r="H28" s="724">
        <f t="shared" si="7"/>
        <v>0</v>
      </c>
      <c r="I28" s="724">
        <f t="shared" si="7"/>
        <v>0</v>
      </c>
      <c r="J28" s="724">
        <f t="shared" si="7"/>
        <v>0</v>
      </c>
      <c r="K28" s="724">
        <f t="shared" si="7"/>
        <v>0</v>
      </c>
      <c r="L28" s="724">
        <f t="shared" si="7"/>
        <v>174046508</v>
      </c>
      <c r="M28" s="641">
        <f>'6'!I167</f>
        <v>174046508</v>
      </c>
      <c r="N28" s="641">
        <f t="shared" si="5"/>
        <v>0</v>
      </c>
    </row>
    <row r="29" spans="1:14" ht="15" customHeight="1" x14ac:dyDescent="0.25">
      <c r="A29" s="715" t="s">
        <v>46</v>
      </c>
      <c r="B29" s="723" t="s">
        <v>149</v>
      </c>
      <c r="C29" s="726">
        <v>107943628</v>
      </c>
      <c r="D29" s="726">
        <v>3000000</v>
      </c>
      <c r="E29" s="702">
        <v>0</v>
      </c>
      <c r="F29" s="702">
        <v>31210000</v>
      </c>
      <c r="G29" s="702">
        <v>6249</v>
      </c>
      <c r="H29" s="702"/>
      <c r="I29" s="702"/>
      <c r="J29" s="702"/>
      <c r="K29" s="722">
        <f t="shared" si="1"/>
        <v>31216249</v>
      </c>
      <c r="L29" s="722">
        <f t="shared" si="2"/>
        <v>34216249</v>
      </c>
      <c r="M29" s="641">
        <f>'6'!J167</f>
        <v>34216249</v>
      </c>
      <c r="N29" s="641">
        <f t="shared" si="5"/>
        <v>0</v>
      </c>
    </row>
    <row r="30" spans="1:14" ht="15" customHeight="1" x14ac:dyDescent="0.25">
      <c r="A30" s="718" t="s">
        <v>47</v>
      </c>
      <c r="B30" s="719" t="s">
        <v>150</v>
      </c>
      <c r="C30" s="720"/>
      <c r="D30" s="727"/>
      <c r="E30" s="704"/>
      <c r="F30" s="704"/>
      <c r="G30" s="704"/>
      <c r="H30" s="704"/>
      <c r="I30" s="704"/>
      <c r="J30" s="704"/>
      <c r="K30" s="722">
        <f t="shared" si="1"/>
        <v>0</v>
      </c>
      <c r="L30" s="722">
        <f t="shared" si="2"/>
        <v>0</v>
      </c>
      <c r="M30" s="641"/>
      <c r="N30" s="641"/>
    </row>
    <row r="31" spans="1:14" ht="24.95" customHeight="1" x14ac:dyDescent="0.2">
      <c r="A31" s="690" t="s">
        <v>548</v>
      </c>
      <c r="B31" s="639" t="s">
        <v>48</v>
      </c>
      <c r="C31" s="637">
        <v>20922178</v>
      </c>
      <c r="D31" s="728"/>
      <c r="E31" s="705"/>
      <c r="F31" s="705"/>
      <c r="G31" s="705"/>
      <c r="H31" s="705"/>
      <c r="I31" s="705"/>
      <c r="J31" s="705"/>
      <c r="K31" s="722">
        <f t="shared" si="1"/>
        <v>0</v>
      </c>
      <c r="L31" s="722">
        <f t="shared" si="2"/>
        <v>0</v>
      </c>
      <c r="M31" s="641"/>
      <c r="N31" s="641"/>
    </row>
    <row r="32" spans="1:14" ht="15" customHeight="1" x14ac:dyDescent="0.2">
      <c r="A32" s="690" t="s">
        <v>549</v>
      </c>
      <c r="B32" s="639" t="s">
        <v>49</v>
      </c>
      <c r="C32" s="637">
        <v>57682555</v>
      </c>
      <c r="D32" s="728"/>
      <c r="E32" s="703">
        <v>546000</v>
      </c>
      <c r="F32" s="703">
        <v>82380</v>
      </c>
      <c r="G32" s="703"/>
      <c r="H32" s="705"/>
      <c r="I32" s="705"/>
      <c r="J32" s="705"/>
      <c r="K32" s="722">
        <f t="shared" si="1"/>
        <v>628380</v>
      </c>
      <c r="L32" s="722">
        <f t="shared" si="2"/>
        <v>628380</v>
      </c>
      <c r="M32" s="641"/>
      <c r="N32" s="641"/>
    </row>
    <row r="33" spans="1:14" ht="15" customHeight="1" x14ac:dyDescent="0.25">
      <c r="A33" s="725"/>
      <c r="B33" s="723" t="s">
        <v>50</v>
      </c>
      <c r="C33" s="724">
        <f>SUM(C31:C32)</f>
        <v>78604733</v>
      </c>
      <c r="D33" s="724">
        <f>SUM(D31:D32)</f>
        <v>0</v>
      </c>
      <c r="E33" s="724">
        <f t="shared" ref="E33:L33" si="8">SUM(E31:E32)</f>
        <v>546000</v>
      </c>
      <c r="F33" s="724">
        <f t="shared" si="8"/>
        <v>82380</v>
      </c>
      <c r="G33" s="724">
        <f t="shared" si="8"/>
        <v>0</v>
      </c>
      <c r="H33" s="724">
        <f t="shared" si="8"/>
        <v>0</v>
      </c>
      <c r="I33" s="724">
        <f t="shared" si="8"/>
        <v>0</v>
      </c>
      <c r="J33" s="724">
        <f t="shared" si="8"/>
        <v>0</v>
      </c>
      <c r="K33" s="724">
        <f t="shared" si="8"/>
        <v>628380</v>
      </c>
      <c r="L33" s="724">
        <f t="shared" si="8"/>
        <v>628380</v>
      </c>
      <c r="M33" s="641">
        <f>'6'!K167</f>
        <v>628380</v>
      </c>
      <c r="N33" s="641">
        <f t="shared" si="5"/>
        <v>0</v>
      </c>
    </row>
    <row r="34" spans="1:14" ht="15" customHeight="1" x14ac:dyDescent="0.25">
      <c r="A34" s="715" t="s">
        <v>51</v>
      </c>
      <c r="B34" s="723" t="s">
        <v>117</v>
      </c>
      <c r="C34" s="724">
        <f>SUM(C9+C14+C22+C23+C28+C29+C33)</f>
        <v>26447075196</v>
      </c>
      <c r="D34" s="724">
        <f>SUM(D9+D14+D22+D23+D28+D29+D33)</f>
        <v>30245134277</v>
      </c>
      <c r="E34" s="724">
        <f t="shared" ref="E34:L34" si="9">SUM(E9+E14+E22+E23+E28+E29+E33)</f>
        <v>3326421840</v>
      </c>
      <c r="F34" s="724">
        <f t="shared" si="9"/>
        <v>291723681</v>
      </c>
      <c r="G34" s="724">
        <f t="shared" si="9"/>
        <v>39339969</v>
      </c>
      <c r="H34" s="724">
        <f t="shared" si="9"/>
        <v>0</v>
      </c>
      <c r="I34" s="724">
        <f t="shared" si="9"/>
        <v>0</v>
      </c>
      <c r="J34" s="724">
        <f t="shared" si="9"/>
        <v>0</v>
      </c>
      <c r="K34" s="724">
        <f t="shared" si="9"/>
        <v>3657485490</v>
      </c>
      <c r="L34" s="724">
        <f t="shared" si="9"/>
        <v>33902619767</v>
      </c>
      <c r="M34" s="641"/>
      <c r="N34" s="641"/>
    </row>
    <row r="35" spans="1:14" ht="15.95" customHeight="1" x14ac:dyDescent="0.25">
      <c r="A35" s="718" t="s">
        <v>52</v>
      </c>
      <c r="B35" s="719" t="s">
        <v>151</v>
      </c>
      <c r="C35" s="720"/>
      <c r="D35" s="720"/>
      <c r="E35" s="702"/>
      <c r="F35" s="702"/>
      <c r="G35" s="702"/>
      <c r="H35" s="702"/>
      <c r="I35" s="702"/>
      <c r="J35" s="702"/>
      <c r="K35" s="722">
        <f t="shared" si="1"/>
        <v>0</v>
      </c>
      <c r="L35" s="722">
        <f t="shared" si="2"/>
        <v>0</v>
      </c>
      <c r="M35" s="641"/>
      <c r="N35" s="641"/>
    </row>
    <row r="36" spans="1:14" ht="14.45" customHeight="1" x14ac:dyDescent="0.2">
      <c r="A36" s="640" t="s">
        <v>53</v>
      </c>
      <c r="B36" s="639" t="s">
        <v>54</v>
      </c>
      <c r="C36" s="637"/>
      <c r="D36" s="637"/>
      <c r="E36" s="703"/>
      <c r="F36" s="703"/>
      <c r="G36" s="703"/>
      <c r="H36" s="703"/>
      <c r="I36" s="703"/>
      <c r="J36" s="703"/>
      <c r="K36" s="722">
        <f t="shared" si="1"/>
        <v>0</v>
      </c>
      <c r="L36" s="722">
        <f t="shared" si="2"/>
        <v>0</v>
      </c>
      <c r="M36" s="641"/>
      <c r="N36" s="641"/>
    </row>
    <row r="37" spans="1:14" ht="14.45" customHeight="1" x14ac:dyDescent="0.2">
      <c r="A37" s="638" t="s">
        <v>1031</v>
      </c>
      <c r="B37" s="639" t="s">
        <v>1032</v>
      </c>
      <c r="C37" s="637"/>
      <c r="D37" s="637"/>
      <c r="E37" s="703"/>
      <c r="F37" s="703">
        <v>500000000</v>
      </c>
      <c r="G37" s="703"/>
      <c r="H37" s="703"/>
      <c r="I37" s="703"/>
      <c r="J37" s="703"/>
      <c r="K37" s="722">
        <f t="shared" si="1"/>
        <v>500000000</v>
      </c>
      <c r="L37" s="722">
        <f t="shared" si="2"/>
        <v>500000000</v>
      </c>
      <c r="M37" s="641"/>
      <c r="N37" s="641"/>
    </row>
    <row r="38" spans="1:14" ht="14.45" customHeight="1" x14ac:dyDescent="0.2">
      <c r="A38" s="638" t="s">
        <v>158</v>
      </c>
      <c r="B38" s="640" t="s">
        <v>157</v>
      </c>
      <c r="C38" s="729">
        <v>6234000000</v>
      </c>
      <c r="D38" s="729">
        <v>8862180000</v>
      </c>
      <c r="E38" s="706"/>
      <c r="F38" s="706"/>
      <c r="G38" s="706"/>
      <c r="H38" s="706"/>
      <c r="I38" s="706"/>
      <c r="J38" s="706"/>
      <c r="K38" s="722">
        <f t="shared" si="1"/>
        <v>0</v>
      </c>
      <c r="L38" s="722">
        <f t="shared" si="2"/>
        <v>8862180000</v>
      </c>
      <c r="M38" s="641"/>
      <c r="N38" s="641"/>
    </row>
    <row r="39" spans="1:14" ht="14.45" customHeight="1" x14ac:dyDescent="0.2">
      <c r="A39" s="638" t="s">
        <v>55</v>
      </c>
      <c r="B39" s="639" t="s">
        <v>119</v>
      </c>
      <c r="C39" s="729">
        <v>7464090724</v>
      </c>
      <c r="D39" s="729">
        <v>5183003397</v>
      </c>
      <c r="E39" s="706">
        <v>573049</v>
      </c>
      <c r="F39" s="706">
        <v>398275835</v>
      </c>
      <c r="G39" s="706"/>
      <c r="H39" s="706"/>
      <c r="I39" s="706"/>
      <c r="J39" s="706"/>
      <c r="K39" s="722">
        <f t="shared" si="1"/>
        <v>398848884</v>
      </c>
      <c r="L39" s="722">
        <f t="shared" si="2"/>
        <v>5581852281</v>
      </c>
      <c r="M39" s="641"/>
      <c r="N39" s="641"/>
    </row>
    <row r="40" spans="1:14" ht="14.45" customHeight="1" x14ac:dyDescent="0.2">
      <c r="A40" s="638" t="s">
        <v>821</v>
      </c>
      <c r="B40" s="639" t="s">
        <v>822</v>
      </c>
      <c r="C40" s="729">
        <v>620443526</v>
      </c>
      <c r="D40" s="729"/>
      <c r="E40" s="706"/>
      <c r="F40" s="706"/>
      <c r="G40" s="706"/>
      <c r="H40" s="706"/>
      <c r="I40" s="706"/>
      <c r="J40" s="706"/>
      <c r="K40" s="722">
        <f t="shared" si="1"/>
        <v>0</v>
      </c>
      <c r="L40" s="722">
        <f t="shared" si="2"/>
        <v>0</v>
      </c>
      <c r="M40" s="641"/>
      <c r="N40" s="641"/>
    </row>
    <row r="41" spans="1:14" ht="14.45" customHeight="1" x14ac:dyDescent="0.25">
      <c r="A41" s="725"/>
      <c r="B41" s="723" t="s">
        <v>56</v>
      </c>
      <c r="C41" s="730">
        <f>SUM(C37:C40)</f>
        <v>14318534250</v>
      </c>
      <c r="D41" s="730">
        <f t="shared" ref="D41:N41" si="10">SUM(D37:D40)</f>
        <v>14045183397</v>
      </c>
      <c r="E41" s="730">
        <f t="shared" si="10"/>
        <v>573049</v>
      </c>
      <c r="F41" s="730">
        <f t="shared" si="10"/>
        <v>898275835</v>
      </c>
      <c r="G41" s="730">
        <f t="shared" si="10"/>
        <v>0</v>
      </c>
      <c r="H41" s="730">
        <f t="shared" si="10"/>
        <v>0</v>
      </c>
      <c r="I41" s="730">
        <f t="shared" si="10"/>
        <v>0</v>
      </c>
      <c r="J41" s="730">
        <f t="shared" si="10"/>
        <v>0</v>
      </c>
      <c r="K41" s="730">
        <f t="shared" si="10"/>
        <v>898848884</v>
      </c>
      <c r="L41" s="730">
        <f t="shared" si="10"/>
        <v>14944032281</v>
      </c>
      <c r="M41" s="636">
        <f t="shared" si="10"/>
        <v>0</v>
      </c>
      <c r="N41" s="636">
        <f t="shared" si="10"/>
        <v>0</v>
      </c>
    </row>
    <row r="42" spans="1:14" ht="15.95" customHeight="1" x14ac:dyDescent="0.25">
      <c r="A42" s="715"/>
      <c r="B42" s="723" t="s">
        <v>57</v>
      </c>
      <c r="C42" s="730">
        <f>SUM(C34+C41)</f>
        <v>40765609446</v>
      </c>
      <c r="D42" s="730">
        <f>SUM(D34+D41)</f>
        <v>44290317674</v>
      </c>
      <c r="E42" s="730">
        <f t="shared" ref="E42:L42" si="11">SUM(E34+E41)</f>
        <v>3326994889</v>
      </c>
      <c r="F42" s="730">
        <f t="shared" si="11"/>
        <v>1189999516</v>
      </c>
      <c r="G42" s="730">
        <f t="shared" si="11"/>
        <v>39339969</v>
      </c>
      <c r="H42" s="730">
        <f t="shared" si="11"/>
        <v>0</v>
      </c>
      <c r="I42" s="730">
        <f t="shared" si="11"/>
        <v>0</v>
      </c>
      <c r="J42" s="730">
        <f t="shared" si="11"/>
        <v>0</v>
      </c>
      <c r="K42" s="730">
        <f t="shared" si="11"/>
        <v>4556334374</v>
      </c>
      <c r="L42" s="730">
        <f t="shared" si="11"/>
        <v>48846652048</v>
      </c>
      <c r="M42" s="641">
        <f>'6'!O167</f>
        <v>48846652048</v>
      </c>
      <c r="N42" s="641">
        <f t="shared" si="5"/>
        <v>0</v>
      </c>
    </row>
  </sheetData>
  <printOptions horizontalCentered="1"/>
  <pageMargins left="0.39370078740157483" right="0.39370078740157483" top="1.1023622047244095" bottom="0.23622047244094491" header="0.51181102362204722" footer="0.35433070866141736"/>
  <pageSetup paperSize="9" scale="80" orientation="portrait" r:id="rId1"/>
  <headerFooter alignWithMargins="0">
    <oddHeader>&amp;C&amp;"Times New Roman CE,Félkövér dőlt"ZALAEGERSZEG MEGYEI  JOGÚ  VÁROS  ÖNKORMÁNYZATA
ÖSSZESÍTŐ A BEVÉTELEKRŐL ROVATONKÉNT
2026. ÉVBEN&amp;R&amp;"Times New Roman CE,Félkövér dőlt"2. melléklet
Adatok forintban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81"/>
  <sheetViews>
    <sheetView zoomScale="112" zoomScaleNormal="112" workbookViewId="0">
      <pane xSplit="1" ySplit="2" topLeftCell="B48" activePane="bottomRight" state="frozen"/>
      <selection pane="topRight" activeCell="B1" sqref="B1"/>
      <selection pane="bottomLeft" activeCell="A141" sqref="A141"/>
      <selection pane="bottomRight" activeCell="D67" sqref="D67"/>
    </sheetView>
  </sheetViews>
  <sheetFormatPr defaultColWidth="9.1640625" defaultRowHeight="12" x14ac:dyDescent="0.2"/>
  <cols>
    <col min="1" max="1" width="62" style="18" customWidth="1"/>
    <col min="2" max="2" width="10.1640625" style="18" customWidth="1"/>
    <col min="3" max="3" width="12.1640625" style="18" customWidth="1"/>
    <col min="4" max="4" width="16.33203125" style="18" customWidth="1"/>
    <col min="5" max="5" width="9.33203125" style="18" customWidth="1"/>
    <col min="6" max="6" width="10.33203125" style="18" customWidth="1"/>
    <col min="7" max="7" width="16.5" style="18" customWidth="1"/>
    <col min="8" max="8" width="12.5" style="18" hidden="1" customWidth="1"/>
    <col min="9" max="9" width="12.1640625" style="18" hidden="1" customWidth="1"/>
    <col min="10" max="10" width="10.6640625" style="18" hidden="1" customWidth="1"/>
    <col min="11" max="16384" width="9.1640625" style="18"/>
  </cols>
  <sheetData>
    <row r="1" spans="1:10" ht="21" customHeight="1" x14ac:dyDescent="0.2">
      <c r="A1" s="819" t="s">
        <v>159</v>
      </c>
      <c r="B1" s="818" t="s">
        <v>957</v>
      </c>
      <c r="C1" s="818"/>
      <c r="D1" s="818"/>
      <c r="E1" s="818" t="s">
        <v>958</v>
      </c>
      <c r="F1" s="818"/>
      <c r="G1" s="818"/>
      <c r="H1" s="817" t="s">
        <v>959</v>
      </c>
      <c r="I1" s="820" t="s">
        <v>1023</v>
      </c>
      <c r="J1" s="816" t="s">
        <v>1061</v>
      </c>
    </row>
    <row r="2" spans="1:10" ht="32.25" customHeight="1" x14ac:dyDescent="0.2">
      <c r="A2" s="819"/>
      <c r="B2" s="414" t="s">
        <v>162</v>
      </c>
      <c r="C2" s="414" t="s">
        <v>160</v>
      </c>
      <c r="D2" s="414" t="s">
        <v>665</v>
      </c>
      <c r="E2" s="414" t="s">
        <v>162</v>
      </c>
      <c r="F2" s="414" t="s">
        <v>160</v>
      </c>
      <c r="G2" s="414" t="s">
        <v>665</v>
      </c>
      <c r="H2" s="817"/>
      <c r="I2" s="820"/>
      <c r="J2" s="816"/>
    </row>
    <row r="3" spans="1:10" ht="12.75" customHeight="1" x14ac:dyDescent="0.2">
      <c r="A3" s="415" t="s">
        <v>161</v>
      </c>
      <c r="B3" s="413"/>
      <c r="C3" s="416"/>
      <c r="D3" s="416"/>
      <c r="E3" s="413"/>
      <c r="F3" s="413"/>
      <c r="G3" s="413"/>
      <c r="H3" s="542"/>
      <c r="J3" s="754"/>
    </row>
    <row r="4" spans="1:10" ht="16.149999999999999" customHeight="1" x14ac:dyDescent="0.2">
      <c r="A4" s="417" t="s">
        <v>515</v>
      </c>
      <c r="B4" s="423"/>
      <c r="C4" s="423"/>
      <c r="D4" s="423"/>
      <c r="E4" s="540"/>
      <c r="F4" s="416"/>
      <c r="G4" s="416"/>
      <c r="H4" s="542"/>
      <c r="J4" s="754"/>
    </row>
    <row r="5" spans="1:10" ht="16.149999999999999" customHeight="1" x14ac:dyDescent="0.2">
      <c r="A5" s="413" t="s">
        <v>667</v>
      </c>
      <c r="B5" s="424">
        <v>125.17</v>
      </c>
      <c r="C5" s="423">
        <v>7475000</v>
      </c>
      <c r="D5" s="423">
        <f t="shared" ref="D5:D47" si="0">B5*C5</f>
        <v>935645750</v>
      </c>
      <c r="E5" s="540">
        <v>125.17</v>
      </c>
      <c r="F5" s="416">
        <v>7475000</v>
      </c>
      <c r="G5" s="416">
        <f>E5*F5</f>
        <v>935645750</v>
      </c>
      <c r="H5" s="543"/>
      <c r="I5" s="698"/>
      <c r="J5" s="754"/>
    </row>
    <row r="6" spans="1:10" ht="16.149999999999999" customHeight="1" x14ac:dyDescent="0.2">
      <c r="A6" s="413" t="s">
        <v>516</v>
      </c>
      <c r="B6" s="423"/>
      <c r="C6" s="413"/>
      <c r="D6" s="423"/>
      <c r="E6" s="540"/>
      <c r="F6" s="416"/>
      <c r="G6" s="416"/>
      <c r="H6" s="543"/>
      <c r="J6" s="754"/>
    </row>
    <row r="7" spans="1:10" ht="16.149999999999999" customHeight="1" x14ac:dyDescent="0.2">
      <c r="A7" s="413" t="s">
        <v>823</v>
      </c>
      <c r="B7" s="425">
        <v>2403.8000000000002</v>
      </c>
      <c r="C7" s="416">
        <v>26000</v>
      </c>
      <c r="D7" s="423">
        <f t="shared" si="0"/>
        <v>62498800.000000007</v>
      </c>
      <c r="E7" s="540">
        <v>2403.8000000000002</v>
      </c>
      <c r="F7" s="416">
        <v>26000</v>
      </c>
      <c r="G7" s="416">
        <f t="shared" ref="G7:G47" si="1">E7*F7</f>
        <v>62498800.000000007</v>
      </c>
      <c r="H7" s="543"/>
      <c r="J7" s="754"/>
    </row>
    <row r="8" spans="1:10" ht="16.149999999999999" customHeight="1" x14ac:dyDescent="0.2">
      <c r="A8" s="413" t="s">
        <v>824</v>
      </c>
      <c r="B8" s="426"/>
      <c r="C8" s="421"/>
      <c r="D8" s="423">
        <v>204055000</v>
      </c>
      <c r="E8" s="540"/>
      <c r="F8" s="416"/>
      <c r="G8" s="416">
        <v>204055000</v>
      </c>
      <c r="H8" s="543"/>
      <c r="J8" s="754"/>
    </row>
    <row r="9" spans="1:10" ht="16.149999999999999" customHeight="1" x14ac:dyDescent="0.2">
      <c r="A9" s="413" t="s">
        <v>825</v>
      </c>
      <c r="B9" s="423">
        <v>320382</v>
      </c>
      <c r="C9" s="416">
        <v>85</v>
      </c>
      <c r="D9" s="423">
        <f t="shared" si="0"/>
        <v>27232470</v>
      </c>
      <c r="E9" s="540">
        <v>320382</v>
      </c>
      <c r="F9" s="416">
        <v>85</v>
      </c>
      <c r="G9" s="416">
        <f t="shared" si="1"/>
        <v>27232470</v>
      </c>
      <c r="H9" s="543"/>
      <c r="J9" s="754"/>
    </row>
    <row r="10" spans="1:10" ht="16.149999999999999" customHeight="1" x14ac:dyDescent="0.2">
      <c r="A10" s="413" t="s">
        <v>837</v>
      </c>
      <c r="B10" s="427">
        <v>203.08199999999999</v>
      </c>
      <c r="C10" s="416">
        <v>485000</v>
      </c>
      <c r="D10" s="423">
        <f t="shared" si="0"/>
        <v>98494770</v>
      </c>
      <c r="E10" s="540">
        <v>203.08199999999999</v>
      </c>
      <c r="F10" s="416">
        <v>485000</v>
      </c>
      <c r="G10" s="416">
        <f t="shared" si="1"/>
        <v>98494770</v>
      </c>
      <c r="H10" s="543"/>
      <c r="J10" s="754"/>
    </row>
    <row r="11" spans="1:10" ht="16.149999999999999" customHeight="1" x14ac:dyDescent="0.2">
      <c r="A11" s="413" t="s">
        <v>966</v>
      </c>
      <c r="B11" s="423">
        <v>53675</v>
      </c>
      <c r="C11" s="416">
        <v>2800</v>
      </c>
      <c r="D11" s="423">
        <f t="shared" si="0"/>
        <v>150290000</v>
      </c>
      <c r="E11" s="540">
        <v>53675</v>
      </c>
      <c r="F11" s="416">
        <v>2800</v>
      </c>
      <c r="G11" s="416">
        <f t="shared" si="1"/>
        <v>150290000</v>
      </c>
      <c r="H11" s="543"/>
      <c r="J11" s="754"/>
    </row>
    <row r="12" spans="1:10" ht="16.149999999999999" customHeight="1" x14ac:dyDescent="0.2">
      <c r="A12" s="413" t="s">
        <v>666</v>
      </c>
      <c r="B12" s="423">
        <v>5093</v>
      </c>
      <c r="C12" s="416">
        <v>2550</v>
      </c>
      <c r="D12" s="423">
        <f t="shared" si="0"/>
        <v>12987150</v>
      </c>
      <c r="E12" s="540">
        <v>5093</v>
      </c>
      <c r="F12" s="416">
        <v>2550</v>
      </c>
      <c r="G12" s="416">
        <f t="shared" si="1"/>
        <v>12987150</v>
      </c>
      <c r="H12" s="543"/>
      <c r="J12" s="754"/>
    </row>
    <row r="13" spans="1:10" ht="16.149999999999999" customHeight="1" x14ac:dyDescent="0.2">
      <c r="A13" s="413" t="s">
        <v>826</v>
      </c>
      <c r="B13" s="423">
        <v>2000</v>
      </c>
      <c r="C13" s="416">
        <v>1500</v>
      </c>
      <c r="D13" s="423">
        <f t="shared" si="0"/>
        <v>3000000</v>
      </c>
      <c r="E13" s="540">
        <v>2000</v>
      </c>
      <c r="F13" s="416">
        <v>1500</v>
      </c>
      <c r="G13" s="416">
        <f t="shared" si="1"/>
        <v>3000000</v>
      </c>
      <c r="H13" s="543"/>
      <c r="J13" s="754"/>
    </row>
    <row r="14" spans="1:10" ht="16.149999999999999" customHeight="1" x14ac:dyDescent="0.2">
      <c r="A14" s="417" t="s">
        <v>827</v>
      </c>
      <c r="B14" s="423"/>
      <c r="C14" s="423"/>
      <c r="D14" s="423"/>
      <c r="E14" s="541"/>
      <c r="F14" s="421"/>
      <c r="G14" s="416"/>
      <c r="H14" s="543"/>
      <c r="J14" s="754"/>
    </row>
    <row r="15" spans="1:10" ht="12.75" customHeight="1" x14ac:dyDescent="0.2">
      <c r="A15" s="413" t="s">
        <v>967</v>
      </c>
      <c r="B15" s="425">
        <v>1278.7</v>
      </c>
      <c r="C15" s="423">
        <v>172374</v>
      </c>
      <c r="D15" s="423">
        <f t="shared" si="0"/>
        <v>220414633.80000001</v>
      </c>
      <c r="E15" s="540">
        <v>1278.7</v>
      </c>
      <c r="F15" s="416">
        <v>172374</v>
      </c>
      <c r="G15" s="416">
        <f t="shared" si="1"/>
        <v>220414633.80000001</v>
      </c>
      <c r="H15" s="543"/>
      <c r="J15" s="754"/>
    </row>
    <row r="16" spans="1:10" ht="15" customHeight="1" x14ac:dyDescent="0.2">
      <c r="A16" s="418" t="s">
        <v>968</v>
      </c>
      <c r="B16" s="425">
        <v>116.4</v>
      </c>
      <c r="C16" s="423">
        <v>11460000</v>
      </c>
      <c r="D16" s="423">
        <f t="shared" si="0"/>
        <v>1333944000</v>
      </c>
      <c r="E16" s="540">
        <v>116.4</v>
      </c>
      <c r="F16" s="416">
        <v>11460000</v>
      </c>
      <c r="G16" s="416">
        <f t="shared" si="1"/>
        <v>1333944000</v>
      </c>
      <c r="H16" s="543"/>
      <c r="J16" s="754"/>
    </row>
    <row r="17" spans="1:10" ht="15" customHeight="1" x14ac:dyDescent="0.2">
      <c r="A17" s="489" t="s">
        <v>1025</v>
      </c>
      <c r="B17" s="699"/>
      <c r="C17" s="608"/>
      <c r="D17" s="608"/>
      <c r="E17" s="700"/>
      <c r="F17" s="611"/>
      <c r="G17" s="611">
        <v>24555720</v>
      </c>
      <c r="H17" s="543"/>
      <c r="I17" s="698">
        <v>24555720</v>
      </c>
      <c r="J17" s="754"/>
    </row>
    <row r="18" spans="1:10" ht="16.149999999999999" customHeight="1" x14ac:dyDescent="0.2">
      <c r="A18" s="413" t="s">
        <v>517</v>
      </c>
      <c r="B18" s="428"/>
      <c r="C18" s="428"/>
      <c r="D18" s="423"/>
      <c r="E18" s="540"/>
      <c r="F18" s="416"/>
      <c r="G18" s="416"/>
      <c r="H18" s="543"/>
      <c r="J18" s="754"/>
    </row>
    <row r="19" spans="1:10" ht="16.149999999999999" customHeight="1" x14ac:dyDescent="0.2">
      <c r="A19" s="413" t="s">
        <v>828</v>
      </c>
      <c r="B19" s="425">
        <v>43.7</v>
      </c>
      <c r="C19" s="423">
        <v>956000</v>
      </c>
      <c r="D19" s="423">
        <f t="shared" si="0"/>
        <v>41777200</v>
      </c>
      <c r="E19" s="540">
        <v>43.7</v>
      </c>
      <c r="F19" s="416">
        <v>956000</v>
      </c>
      <c r="G19" s="416">
        <f t="shared" si="1"/>
        <v>41777200</v>
      </c>
      <c r="H19" s="543"/>
      <c r="J19" s="754"/>
    </row>
    <row r="20" spans="1:10" ht="25.15" customHeight="1" x14ac:dyDescent="0.2">
      <c r="A20" s="418" t="s">
        <v>829</v>
      </c>
      <c r="B20" s="425">
        <v>3.6</v>
      </c>
      <c r="C20" s="423">
        <v>3565000</v>
      </c>
      <c r="D20" s="423">
        <f t="shared" si="0"/>
        <v>12834000</v>
      </c>
      <c r="E20" s="540">
        <v>3.6</v>
      </c>
      <c r="F20" s="416">
        <v>3565000</v>
      </c>
      <c r="G20" s="416">
        <f t="shared" si="1"/>
        <v>12834000</v>
      </c>
      <c r="H20" s="543"/>
      <c r="J20" s="754"/>
    </row>
    <row r="21" spans="1:10" ht="24.75" customHeight="1" x14ac:dyDescent="0.2">
      <c r="A21" s="418" t="s">
        <v>969</v>
      </c>
      <c r="B21" s="425">
        <v>81</v>
      </c>
      <c r="C21" s="423">
        <v>5567000</v>
      </c>
      <c r="D21" s="423">
        <f t="shared" si="0"/>
        <v>450927000</v>
      </c>
      <c r="E21" s="540">
        <v>81</v>
      </c>
      <c r="F21" s="416">
        <v>5567000</v>
      </c>
      <c r="G21" s="416">
        <f t="shared" si="1"/>
        <v>450927000</v>
      </c>
      <c r="H21" s="543"/>
      <c r="J21" s="754"/>
    </row>
    <row r="22" spans="1:10" ht="15" customHeight="1" x14ac:dyDescent="0.2">
      <c r="A22" s="417" t="s">
        <v>518</v>
      </c>
      <c r="B22" s="428"/>
      <c r="C22" s="428"/>
      <c r="D22" s="423"/>
      <c r="E22" s="541"/>
      <c r="F22" s="421"/>
      <c r="G22" s="416"/>
      <c r="H22" s="543"/>
      <c r="J22" s="754"/>
    </row>
    <row r="23" spans="1:10" ht="13.5" customHeight="1" x14ac:dyDescent="0.2">
      <c r="A23" s="413" t="s">
        <v>830</v>
      </c>
      <c r="B23" s="425">
        <v>8.9</v>
      </c>
      <c r="C23" s="423">
        <v>7855000</v>
      </c>
      <c r="D23" s="423">
        <f t="shared" si="0"/>
        <v>69909500</v>
      </c>
      <c r="E23" s="540">
        <v>8.9</v>
      </c>
      <c r="F23" s="416">
        <v>7855000</v>
      </c>
      <c r="G23" s="416">
        <f t="shared" si="1"/>
        <v>69909500</v>
      </c>
      <c r="H23" s="543"/>
      <c r="J23" s="754"/>
    </row>
    <row r="24" spans="1:10" ht="27.75" customHeight="1" x14ac:dyDescent="0.2">
      <c r="A24" s="418" t="s">
        <v>970</v>
      </c>
      <c r="B24" s="424">
        <v>22.4</v>
      </c>
      <c r="C24" s="423">
        <v>7270000</v>
      </c>
      <c r="D24" s="423">
        <v>179048000</v>
      </c>
      <c r="E24" s="540">
        <v>22.4</v>
      </c>
      <c r="F24" s="416">
        <v>7270000</v>
      </c>
      <c r="G24" s="416">
        <v>179048000</v>
      </c>
      <c r="H24" s="543"/>
      <c r="J24" s="754"/>
    </row>
    <row r="25" spans="1:10" ht="15" customHeight="1" x14ac:dyDescent="0.2">
      <c r="A25" s="418" t="s">
        <v>609</v>
      </c>
      <c r="B25" s="423">
        <v>13726</v>
      </c>
      <c r="C25" s="423">
        <v>5640</v>
      </c>
      <c r="D25" s="423">
        <f t="shared" si="0"/>
        <v>77414640</v>
      </c>
      <c r="E25" s="540">
        <v>13726</v>
      </c>
      <c r="F25" s="416">
        <v>5640</v>
      </c>
      <c r="G25" s="416">
        <f t="shared" si="1"/>
        <v>77414640</v>
      </c>
      <c r="H25" s="543"/>
      <c r="J25" s="754"/>
    </row>
    <row r="26" spans="1:10" ht="12.75" customHeight="1" x14ac:dyDescent="0.2">
      <c r="A26" s="413" t="s">
        <v>971</v>
      </c>
      <c r="B26" s="423">
        <v>305</v>
      </c>
      <c r="C26" s="423">
        <v>103990</v>
      </c>
      <c r="D26" s="423">
        <f t="shared" si="0"/>
        <v>31716950</v>
      </c>
      <c r="E26" s="540">
        <v>305</v>
      </c>
      <c r="F26" s="416">
        <v>103990</v>
      </c>
      <c r="G26" s="416">
        <f t="shared" si="1"/>
        <v>31716950</v>
      </c>
      <c r="H26" s="543"/>
      <c r="J26" s="754"/>
    </row>
    <row r="27" spans="1:10" ht="14.25" customHeight="1" x14ac:dyDescent="0.2">
      <c r="A27" s="413" t="s">
        <v>519</v>
      </c>
      <c r="B27" s="423"/>
      <c r="C27" s="423"/>
      <c r="D27" s="423"/>
      <c r="E27" s="540"/>
      <c r="F27" s="416"/>
      <c r="G27" s="416"/>
      <c r="H27" s="543"/>
      <c r="J27" s="754"/>
    </row>
    <row r="28" spans="1:10" ht="15" customHeight="1" x14ac:dyDescent="0.2">
      <c r="A28" s="413" t="s">
        <v>520</v>
      </c>
      <c r="B28" s="423">
        <v>2</v>
      </c>
      <c r="C28" s="423">
        <v>25000</v>
      </c>
      <c r="D28" s="423">
        <f t="shared" si="0"/>
        <v>50000</v>
      </c>
      <c r="E28" s="540">
        <v>2</v>
      </c>
      <c r="F28" s="416">
        <v>25000</v>
      </c>
      <c r="G28" s="416">
        <f t="shared" si="1"/>
        <v>50000</v>
      </c>
      <c r="H28" s="543"/>
      <c r="J28" s="754"/>
    </row>
    <row r="29" spans="1:10" ht="15" customHeight="1" x14ac:dyDescent="0.2">
      <c r="A29" s="413" t="s">
        <v>831</v>
      </c>
      <c r="B29" s="423">
        <v>49</v>
      </c>
      <c r="C29" s="423">
        <v>928930</v>
      </c>
      <c r="D29" s="423">
        <f t="shared" si="0"/>
        <v>45517570</v>
      </c>
      <c r="E29" s="540">
        <v>49</v>
      </c>
      <c r="F29" s="416">
        <v>928930</v>
      </c>
      <c r="G29" s="416">
        <f t="shared" si="1"/>
        <v>45517570</v>
      </c>
      <c r="H29" s="543"/>
      <c r="J29" s="754"/>
    </row>
    <row r="30" spans="1:10" ht="30" customHeight="1" x14ac:dyDescent="0.2">
      <c r="A30" s="418" t="s">
        <v>972</v>
      </c>
      <c r="B30" s="423">
        <v>55</v>
      </c>
      <c r="C30" s="423">
        <v>606400</v>
      </c>
      <c r="D30" s="423">
        <f t="shared" si="0"/>
        <v>33352000</v>
      </c>
      <c r="E30" s="540">
        <v>55</v>
      </c>
      <c r="F30" s="416">
        <v>606400</v>
      </c>
      <c r="G30" s="416">
        <f t="shared" si="1"/>
        <v>33352000</v>
      </c>
      <c r="H30" s="543"/>
      <c r="J30" s="754"/>
    </row>
    <row r="31" spans="1:10" ht="24.75" customHeight="1" x14ac:dyDescent="0.2">
      <c r="A31" s="418" t="s">
        <v>973</v>
      </c>
      <c r="B31" s="423">
        <v>4</v>
      </c>
      <c r="C31" s="423">
        <v>1187880</v>
      </c>
      <c r="D31" s="423">
        <f t="shared" si="0"/>
        <v>4751520</v>
      </c>
      <c r="E31" s="540">
        <v>4</v>
      </c>
      <c r="F31" s="416">
        <v>1187880</v>
      </c>
      <c r="G31" s="416">
        <f t="shared" si="1"/>
        <v>4751520</v>
      </c>
      <c r="H31" s="543"/>
      <c r="J31" s="754"/>
    </row>
    <row r="32" spans="1:10" ht="31.5" customHeight="1" x14ac:dyDescent="0.2">
      <c r="A32" s="418" t="s">
        <v>974</v>
      </c>
      <c r="B32" s="423">
        <v>20</v>
      </c>
      <c r="C32" s="423">
        <v>637180</v>
      </c>
      <c r="D32" s="423">
        <f t="shared" si="0"/>
        <v>12743600</v>
      </c>
      <c r="E32" s="540">
        <v>20</v>
      </c>
      <c r="F32" s="416">
        <v>637180</v>
      </c>
      <c r="G32" s="416">
        <f t="shared" si="1"/>
        <v>12743600</v>
      </c>
      <c r="H32" s="543"/>
      <c r="J32" s="754"/>
    </row>
    <row r="33" spans="1:10" ht="36" customHeight="1" x14ac:dyDescent="0.2">
      <c r="A33" s="418" t="s">
        <v>975</v>
      </c>
      <c r="B33" s="423">
        <v>8</v>
      </c>
      <c r="C33" s="423">
        <v>603600</v>
      </c>
      <c r="D33" s="423">
        <f t="shared" si="0"/>
        <v>4828800</v>
      </c>
      <c r="E33" s="540">
        <v>8</v>
      </c>
      <c r="F33" s="416">
        <v>603600</v>
      </c>
      <c r="G33" s="416">
        <f t="shared" si="1"/>
        <v>4828800</v>
      </c>
      <c r="H33" s="543"/>
      <c r="J33" s="754"/>
    </row>
    <row r="34" spans="1:10" ht="15" customHeight="1" x14ac:dyDescent="0.2">
      <c r="A34" s="419" t="s">
        <v>832</v>
      </c>
      <c r="B34" s="423"/>
      <c r="C34" s="423"/>
      <c r="D34" s="423"/>
      <c r="E34" s="540"/>
      <c r="F34" s="416"/>
      <c r="G34" s="416"/>
      <c r="H34" s="543"/>
      <c r="J34" s="754"/>
    </row>
    <row r="35" spans="1:10" ht="13.5" customHeight="1" x14ac:dyDescent="0.2">
      <c r="A35" s="413" t="s">
        <v>976</v>
      </c>
      <c r="B35" s="423"/>
      <c r="C35" s="423"/>
      <c r="D35" s="423"/>
      <c r="E35" s="540"/>
      <c r="F35" s="416"/>
      <c r="G35" s="416"/>
      <c r="H35" s="543"/>
      <c r="J35" s="754"/>
    </row>
    <row r="36" spans="1:10" ht="24" customHeight="1" x14ac:dyDescent="0.2">
      <c r="A36" s="418" t="s">
        <v>521</v>
      </c>
      <c r="B36" s="425">
        <v>26.2</v>
      </c>
      <c r="C36" s="423">
        <v>11312000</v>
      </c>
      <c r="D36" s="423">
        <f t="shared" si="0"/>
        <v>296374400</v>
      </c>
      <c r="E36" s="540">
        <v>26.2</v>
      </c>
      <c r="F36" s="416">
        <v>11312000</v>
      </c>
      <c r="G36" s="416">
        <f t="shared" si="1"/>
        <v>296374400</v>
      </c>
      <c r="H36" s="543"/>
      <c r="J36" s="754"/>
    </row>
    <row r="37" spans="1:10" ht="26.25" customHeight="1" x14ac:dyDescent="0.2">
      <c r="A37" s="418" t="s">
        <v>522</v>
      </c>
      <c r="B37" s="425">
        <v>54.8</v>
      </c>
      <c r="C37" s="423">
        <v>8538000</v>
      </c>
      <c r="D37" s="423">
        <f t="shared" si="0"/>
        <v>467882400</v>
      </c>
      <c r="E37" s="540">
        <v>54.8</v>
      </c>
      <c r="F37" s="416">
        <v>8538000</v>
      </c>
      <c r="G37" s="416">
        <f t="shared" si="1"/>
        <v>467882400</v>
      </c>
      <c r="H37" s="543"/>
      <c r="J37" s="754"/>
    </row>
    <row r="38" spans="1:10" ht="13.5" customHeight="1" x14ac:dyDescent="0.2">
      <c r="A38" s="413" t="s">
        <v>523</v>
      </c>
      <c r="B38" s="423"/>
      <c r="C38" s="423"/>
      <c r="D38" s="423">
        <v>117701040</v>
      </c>
      <c r="E38" s="540"/>
      <c r="F38" s="416"/>
      <c r="G38" s="416">
        <v>117701040</v>
      </c>
      <c r="H38" s="543"/>
      <c r="J38" s="754"/>
    </row>
    <row r="39" spans="1:10" ht="33.75" customHeight="1" x14ac:dyDescent="0.2">
      <c r="A39" s="419" t="s">
        <v>833</v>
      </c>
      <c r="B39" s="423"/>
      <c r="C39" s="423"/>
      <c r="D39" s="423"/>
      <c r="E39" s="541"/>
      <c r="F39" s="421"/>
      <c r="G39" s="416"/>
      <c r="H39" s="543"/>
      <c r="J39" s="754"/>
    </row>
    <row r="40" spans="1:10" ht="13.5" customHeight="1" x14ac:dyDescent="0.2">
      <c r="A40" s="418" t="s">
        <v>834</v>
      </c>
      <c r="B40" s="425">
        <v>35.200000000000003</v>
      </c>
      <c r="C40" s="423">
        <v>8675000</v>
      </c>
      <c r="D40" s="423">
        <f t="shared" si="0"/>
        <v>305360000</v>
      </c>
      <c r="E40" s="540">
        <v>35.200000000000003</v>
      </c>
      <c r="F40" s="416">
        <v>8675000</v>
      </c>
      <c r="G40" s="416">
        <f t="shared" si="1"/>
        <v>305360000</v>
      </c>
      <c r="H40" s="543"/>
      <c r="J40" s="754"/>
    </row>
    <row r="41" spans="1:10" ht="13.5" customHeight="1" x14ac:dyDescent="0.2">
      <c r="A41" s="413" t="s">
        <v>835</v>
      </c>
      <c r="B41" s="423"/>
      <c r="C41" s="423"/>
      <c r="D41" s="423">
        <v>85747152</v>
      </c>
      <c r="E41" s="540"/>
      <c r="F41" s="416"/>
      <c r="G41" s="416">
        <v>85747152</v>
      </c>
      <c r="H41" s="543"/>
      <c r="J41" s="754"/>
    </row>
    <row r="42" spans="1:10" ht="13.5" customHeight="1" x14ac:dyDescent="0.2">
      <c r="A42" s="417" t="s">
        <v>524</v>
      </c>
      <c r="B42" s="423"/>
      <c r="C42" s="423"/>
      <c r="D42" s="423"/>
      <c r="E42" s="541"/>
      <c r="F42" s="421"/>
      <c r="G42" s="416"/>
      <c r="H42" s="543"/>
      <c r="J42" s="754"/>
    </row>
    <row r="43" spans="1:10" ht="13.5" customHeight="1" x14ac:dyDescent="0.2">
      <c r="A43" s="413" t="s">
        <v>836</v>
      </c>
      <c r="B43" s="424">
        <v>98.1</v>
      </c>
      <c r="C43" s="423">
        <v>4400000</v>
      </c>
      <c r="D43" s="423">
        <f t="shared" si="0"/>
        <v>431640000</v>
      </c>
      <c r="E43" s="540">
        <v>98.1</v>
      </c>
      <c r="F43" s="416">
        <v>4400000</v>
      </c>
      <c r="G43" s="416">
        <f t="shared" si="1"/>
        <v>431640000</v>
      </c>
      <c r="H43" s="543"/>
      <c r="J43" s="754"/>
    </row>
    <row r="44" spans="1:10" ht="13.5" customHeight="1" x14ac:dyDescent="0.2">
      <c r="A44" s="413" t="s">
        <v>525</v>
      </c>
      <c r="B44" s="423"/>
      <c r="C44" s="423"/>
      <c r="D44" s="423">
        <v>603712995</v>
      </c>
      <c r="E44" s="540"/>
      <c r="F44" s="416"/>
      <c r="G44" s="416">
        <v>603712995</v>
      </c>
      <c r="H44" s="543"/>
      <c r="J44" s="754"/>
    </row>
    <row r="45" spans="1:10" ht="13.5" customHeight="1" x14ac:dyDescent="0.2">
      <c r="A45" s="413" t="s">
        <v>526</v>
      </c>
      <c r="B45" s="423">
        <v>584</v>
      </c>
      <c r="C45" s="423">
        <v>400</v>
      </c>
      <c r="D45" s="423">
        <f t="shared" si="0"/>
        <v>233600</v>
      </c>
      <c r="E45" s="540">
        <v>584</v>
      </c>
      <c r="F45" s="416">
        <v>400</v>
      </c>
      <c r="G45" s="416">
        <f t="shared" si="1"/>
        <v>233600</v>
      </c>
      <c r="H45" s="543"/>
      <c r="J45" s="754"/>
    </row>
    <row r="46" spans="1:10" ht="13.5" customHeight="1" x14ac:dyDescent="0.2">
      <c r="A46" s="417" t="s">
        <v>527</v>
      </c>
      <c r="B46" s="423"/>
      <c r="C46" s="423"/>
      <c r="D46" s="423"/>
      <c r="E46" s="541"/>
      <c r="F46" s="421"/>
      <c r="G46" s="416"/>
      <c r="H46" s="543"/>
      <c r="J46" s="754"/>
    </row>
    <row r="47" spans="1:10" ht="30" customHeight="1" x14ac:dyDescent="0.2">
      <c r="A47" s="418" t="s">
        <v>620</v>
      </c>
      <c r="B47" s="423">
        <v>53675</v>
      </c>
      <c r="C47" s="423">
        <v>964</v>
      </c>
      <c r="D47" s="423">
        <f t="shared" si="0"/>
        <v>51742700</v>
      </c>
      <c r="E47" s="416">
        <v>53675</v>
      </c>
      <c r="F47" s="416">
        <v>964</v>
      </c>
      <c r="G47" s="416">
        <f t="shared" si="1"/>
        <v>51742700</v>
      </c>
      <c r="H47" s="543"/>
      <c r="J47" s="754"/>
    </row>
    <row r="48" spans="1:10" ht="25.15" customHeight="1" x14ac:dyDescent="0.2">
      <c r="A48" s="418" t="s">
        <v>619</v>
      </c>
      <c r="B48" s="428"/>
      <c r="C48" s="428"/>
      <c r="D48" s="423">
        <v>175751860</v>
      </c>
      <c r="E48" s="541"/>
      <c r="F48" s="421"/>
      <c r="G48" s="416">
        <v>175751860</v>
      </c>
      <c r="H48" s="543"/>
      <c r="J48" s="754"/>
    </row>
    <row r="49" spans="1:10" ht="17.25" customHeight="1" x14ac:dyDescent="0.2">
      <c r="A49" s="420" t="s">
        <v>528</v>
      </c>
      <c r="B49" s="428"/>
      <c r="C49" s="428"/>
      <c r="D49" s="423"/>
      <c r="E49" s="541"/>
      <c r="F49" s="421"/>
      <c r="G49" s="416"/>
      <c r="H49" s="543"/>
      <c r="J49" s="754"/>
    </row>
    <row r="50" spans="1:10" ht="13.5" customHeight="1" x14ac:dyDescent="0.2">
      <c r="A50" s="612" t="s">
        <v>1060</v>
      </c>
      <c r="B50" s="607"/>
      <c r="C50" s="607"/>
      <c r="D50" s="608"/>
      <c r="E50" s="609"/>
      <c r="F50" s="610"/>
      <c r="G50" s="611">
        <v>1486550</v>
      </c>
      <c r="H50" s="543"/>
      <c r="J50" s="754">
        <v>1486550</v>
      </c>
    </row>
    <row r="51" spans="1:10" ht="15" customHeight="1" x14ac:dyDescent="0.2">
      <c r="A51" s="612" t="s">
        <v>961</v>
      </c>
      <c r="B51" s="607"/>
      <c r="C51" s="607"/>
      <c r="D51" s="608"/>
      <c r="E51" s="609"/>
      <c r="F51" s="610"/>
      <c r="G51" s="611">
        <f>52079162+35238818</f>
        <v>87317980</v>
      </c>
      <c r="H51" s="543">
        <v>52079162</v>
      </c>
      <c r="I51" s="543">
        <v>35238818</v>
      </c>
      <c r="J51" s="754"/>
    </row>
    <row r="52" spans="1:10" ht="15" customHeight="1" x14ac:dyDescent="0.2">
      <c r="A52" s="612" t="s">
        <v>1024</v>
      </c>
      <c r="B52" s="607"/>
      <c r="C52" s="607"/>
      <c r="D52" s="608"/>
      <c r="E52" s="609"/>
      <c r="F52" s="610"/>
      <c r="G52" s="611">
        <v>28560807</v>
      </c>
      <c r="H52" s="543"/>
      <c r="I52" s="543">
        <v>28560807</v>
      </c>
      <c r="J52" s="754"/>
    </row>
    <row r="53" spans="1:10" ht="13.5" customHeight="1" x14ac:dyDescent="0.2">
      <c r="A53" s="418" t="s">
        <v>962</v>
      </c>
      <c r="B53" s="428"/>
      <c r="C53" s="421"/>
      <c r="D53" s="423">
        <v>110200000</v>
      </c>
      <c r="E53" s="541"/>
      <c r="F53" s="421"/>
      <c r="G53" s="416">
        <v>110200000</v>
      </c>
      <c r="H53" s="543"/>
      <c r="I53" s="543"/>
      <c r="J53" s="754"/>
    </row>
    <row r="54" spans="1:10" ht="12" customHeight="1" x14ac:dyDescent="0.2">
      <c r="A54" s="418" t="s">
        <v>610</v>
      </c>
      <c r="B54" s="428"/>
      <c r="C54" s="421"/>
      <c r="D54" s="423">
        <v>40649414</v>
      </c>
      <c r="E54" s="541"/>
      <c r="F54" s="421"/>
      <c r="G54" s="416">
        <v>40649414</v>
      </c>
      <c r="H54" s="543"/>
      <c r="I54" s="543"/>
      <c r="J54" s="754"/>
    </row>
    <row r="55" spans="1:10" ht="14.25" customHeight="1" x14ac:dyDescent="0.2">
      <c r="A55" s="418" t="s">
        <v>963</v>
      </c>
      <c r="B55" s="428"/>
      <c r="C55" s="421"/>
      <c r="D55" s="423">
        <v>135000000</v>
      </c>
      <c r="E55" s="541"/>
      <c r="F55" s="421"/>
      <c r="G55" s="416">
        <v>135000000</v>
      </c>
      <c r="H55" s="543"/>
      <c r="I55" s="543"/>
      <c r="J55" s="754"/>
    </row>
    <row r="56" spans="1:10" ht="14.25" customHeight="1" x14ac:dyDescent="0.2">
      <c r="A56" s="418" t="s">
        <v>610</v>
      </c>
      <c r="B56" s="428"/>
      <c r="C56" s="421"/>
      <c r="D56" s="423">
        <v>35500000</v>
      </c>
      <c r="E56" s="541"/>
      <c r="F56" s="421"/>
      <c r="G56" s="416">
        <v>35500000</v>
      </c>
      <c r="H56" s="543"/>
      <c r="I56" s="543"/>
      <c r="J56" s="754"/>
    </row>
    <row r="57" spans="1:10" ht="18.75" customHeight="1" x14ac:dyDescent="0.2">
      <c r="A57" s="418" t="s">
        <v>964</v>
      </c>
      <c r="B57" s="428"/>
      <c r="C57" s="421"/>
      <c r="D57" s="423">
        <v>239207617</v>
      </c>
      <c r="E57" s="541"/>
      <c r="F57" s="421"/>
      <c r="G57" s="416">
        <v>508997042</v>
      </c>
      <c r="H57" s="543">
        <v>269789425</v>
      </c>
      <c r="I57" s="543"/>
      <c r="J57" s="754"/>
    </row>
    <row r="58" spans="1:10" ht="13.5" customHeight="1" x14ac:dyDescent="0.2">
      <c r="A58" s="418" t="s">
        <v>965</v>
      </c>
      <c r="B58" s="428"/>
      <c r="C58" s="421"/>
      <c r="D58" s="423">
        <v>150000000</v>
      </c>
      <c r="E58" s="541"/>
      <c r="F58" s="421"/>
      <c r="G58" s="416">
        <v>150000000</v>
      </c>
      <c r="H58" s="543"/>
      <c r="I58" s="543"/>
      <c r="J58" s="754"/>
    </row>
    <row r="59" spans="1:10" ht="13.5" customHeight="1" x14ac:dyDescent="0.2">
      <c r="A59" s="422" t="s">
        <v>163</v>
      </c>
      <c r="B59" s="429"/>
      <c r="C59" s="429"/>
      <c r="D59" s="429">
        <f>SUM(D5:D58)</f>
        <v>7260136531.8000002</v>
      </c>
      <c r="E59" s="429"/>
      <c r="F59" s="429"/>
      <c r="G59" s="429">
        <f>SUM(G5:G58)</f>
        <v>7671847013.8000002</v>
      </c>
      <c r="H59" s="429">
        <f t="shared" ref="H59:J59" si="2">SUM(H5:H58)</f>
        <v>321868587</v>
      </c>
      <c r="I59" s="429">
        <f t="shared" si="2"/>
        <v>88355345</v>
      </c>
      <c r="J59" s="429">
        <f t="shared" si="2"/>
        <v>1486550</v>
      </c>
    </row>
    <row r="60" spans="1:10" x14ac:dyDescent="0.2">
      <c r="H60" s="543"/>
    </row>
    <row r="61" spans="1:10" x14ac:dyDescent="0.2">
      <c r="H61" s="543"/>
    </row>
    <row r="62" spans="1:10" x14ac:dyDescent="0.2">
      <c r="H62" s="543"/>
    </row>
    <row r="63" spans="1:10" x14ac:dyDescent="0.2">
      <c r="H63" s="543"/>
    </row>
    <row r="64" spans="1:10" x14ac:dyDescent="0.2">
      <c r="H64" s="543"/>
    </row>
    <row r="65" spans="8:8" x14ac:dyDescent="0.2">
      <c r="H65" s="543"/>
    </row>
    <row r="66" spans="8:8" x14ac:dyDescent="0.2">
      <c r="H66" s="543"/>
    </row>
    <row r="67" spans="8:8" x14ac:dyDescent="0.2">
      <c r="H67" s="543"/>
    </row>
    <row r="68" spans="8:8" x14ac:dyDescent="0.2">
      <c r="H68" s="543"/>
    </row>
    <row r="69" spans="8:8" x14ac:dyDescent="0.2">
      <c r="H69" s="543"/>
    </row>
    <row r="70" spans="8:8" x14ac:dyDescent="0.2">
      <c r="H70" s="543"/>
    </row>
    <row r="71" spans="8:8" x14ac:dyDescent="0.2">
      <c r="H71" s="543"/>
    </row>
    <row r="72" spans="8:8" x14ac:dyDescent="0.2">
      <c r="H72" s="543"/>
    </row>
    <row r="73" spans="8:8" x14ac:dyDescent="0.2">
      <c r="H73" s="543"/>
    </row>
    <row r="74" spans="8:8" x14ac:dyDescent="0.2">
      <c r="H74" s="543"/>
    </row>
    <row r="75" spans="8:8" x14ac:dyDescent="0.2">
      <c r="H75" s="543"/>
    </row>
    <row r="76" spans="8:8" x14ac:dyDescent="0.2">
      <c r="H76" s="543"/>
    </row>
    <row r="77" spans="8:8" x14ac:dyDescent="0.2">
      <c r="H77" s="543"/>
    </row>
    <row r="78" spans="8:8" x14ac:dyDescent="0.2">
      <c r="H78" s="543"/>
    </row>
    <row r="79" spans="8:8" x14ac:dyDescent="0.2">
      <c r="H79" s="543"/>
    </row>
    <row r="80" spans="8:8" x14ac:dyDescent="0.2">
      <c r="H80" s="543"/>
    </row>
    <row r="81" spans="8:8" x14ac:dyDescent="0.2">
      <c r="H81" s="543"/>
    </row>
  </sheetData>
  <sheetProtection selectLockedCells="1" selectUnlockedCells="1"/>
  <mergeCells count="6">
    <mergeCell ref="J1:J2"/>
    <mergeCell ref="H1:H2"/>
    <mergeCell ref="B1:D1"/>
    <mergeCell ref="A1:A2"/>
    <mergeCell ref="E1:G1"/>
    <mergeCell ref="I1:I2"/>
  </mergeCells>
  <printOptions horizontalCentered="1" verticalCentered="1"/>
  <pageMargins left="0.43307086614173229" right="0.43307086614173229" top="0.39370078740157483" bottom="0.23622047244094491" header="0" footer="3.937007874015748E-2"/>
  <pageSetup paperSize="9" scale="72" firstPageNumber="0" orientation="portrait" r:id="rId1"/>
  <headerFooter alignWithMargins="0">
    <oddHeader>&amp;C&amp;"Times New Roman,Félkövér dőlt"
ÁLLAMI HOZZÁJÁRULÁSOKBÓL SZÁRMAZÓ BEVÉTEL 2026. ÉVBEN&amp;R&amp;"Times New Roman,Dőlt"
3. melléklet
Adatok forintban</oddHead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F32"/>
  <sheetViews>
    <sheetView workbookViewId="0">
      <selection activeCell="B26" sqref="B26"/>
    </sheetView>
  </sheetViews>
  <sheetFormatPr defaultColWidth="9.33203125" defaultRowHeight="12" x14ac:dyDescent="0.2"/>
  <cols>
    <col min="1" max="1" width="9.33203125" style="2"/>
    <col min="2" max="2" width="44.1640625" style="2" customWidth="1"/>
    <col min="3" max="3" width="19" style="2" customWidth="1"/>
    <col min="4" max="4" width="22" style="2" customWidth="1"/>
    <col min="5" max="6" width="20.5" style="2" customWidth="1"/>
    <col min="7" max="16384" width="9.33203125" style="2"/>
  </cols>
  <sheetData>
    <row r="1" spans="1:6" s="10" customFormat="1" ht="50.1" customHeight="1" thickBot="1" x14ac:dyDescent="0.25">
      <c r="A1" s="549" t="s">
        <v>123</v>
      </c>
      <c r="B1" s="549" t="s">
        <v>111</v>
      </c>
      <c r="C1" s="14" t="s">
        <v>953</v>
      </c>
      <c r="D1" s="14" t="s">
        <v>808</v>
      </c>
      <c r="E1" s="14" t="s">
        <v>960</v>
      </c>
      <c r="F1" s="14" t="s">
        <v>955</v>
      </c>
    </row>
    <row r="2" spans="1:6" s="10" customFormat="1" ht="19.5" customHeight="1" x14ac:dyDescent="0.2">
      <c r="A2" s="550"/>
      <c r="B2" s="546" t="s">
        <v>116</v>
      </c>
      <c r="C2" s="551"/>
      <c r="D2" s="551"/>
      <c r="E2" s="559"/>
      <c r="F2" s="559"/>
    </row>
    <row r="3" spans="1:6" s="11" customFormat="1" ht="12.75" x14ac:dyDescent="0.2">
      <c r="A3" s="552" t="s">
        <v>124</v>
      </c>
      <c r="B3" s="544" t="s">
        <v>100</v>
      </c>
      <c r="C3" s="553">
        <v>7650417154</v>
      </c>
      <c r="D3" s="553">
        <v>8806752914</v>
      </c>
      <c r="E3" s="547">
        <f>275388044+táj2!G581</f>
        <v>280778044</v>
      </c>
      <c r="F3" s="547">
        <f>SUM(D3:E3)</f>
        <v>9087530958</v>
      </c>
    </row>
    <row r="4" spans="1:6" s="11" customFormat="1" ht="25.5" x14ac:dyDescent="0.2">
      <c r="A4" s="552" t="s">
        <v>125</v>
      </c>
      <c r="B4" s="544" t="s">
        <v>144</v>
      </c>
      <c r="C4" s="553">
        <v>1008664377</v>
      </c>
      <c r="D4" s="553">
        <v>1310324181</v>
      </c>
      <c r="E4" s="547">
        <f>38947833+táj2!H581</f>
        <v>39637583</v>
      </c>
      <c r="F4" s="547">
        <f t="shared" ref="F4:F14" si="0">SUM(D4:E4)</f>
        <v>1349961764</v>
      </c>
    </row>
    <row r="5" spans="1:6" s="11" customFormat="1" ht="12.75" x14ac:dyDescent="0.2">
      <c r="A5" s="552" t="s">
        <v>126</v>
      </c>
      <c r="B5" s="545" t="s">
        <v>145</v>
      </c>
      <c r="C5" s="556">
        <v>8395426848</v>
      </c>
      <c r="D5" s="553">
        <v>10473811744</v>
      </c>
      <c r="E5" s="547">
        <f>406160956+táj2!I581</f>
        <v>375764704</v>
      </c>
      <c r="F5" s="547">
        <f t="shared" si="0"/>
        <v>10849576448</v>
      </c>
    </row>
    <row r="6" spans="1:6" s="11" customFormat="1" ht="12.75" x14ac:dyDescent="0.2">
      <c r="A6" s="552" t="s">
        <v>127</v>
      </c>
      <c r="B6" s="545" t="s">
        <v>15</v>
      </c>
      <c r="C6" s="556">
        <v>76787137</v>
      </c>
      <c r="D6" s="553">
        <v>112689501</v>
      </c>
      <c r="E6" s="547">
        <f>1057550+táj2!J581</f>
        <v>1057550</v>
      </c>
      <c r="F6" s="547">
        <f t="shared" si="0"/>
        <v>113747051</v>
      </c>
    </row>
    <row r="7" spans="1:6" s="11" customFormat="1" ht="12.75" x14ac:dyDescent="0.2">
      <c r="A7" s="552" t="s">
        <v>128</v>
      </c>
      <c r="B7" s="545" t="s">
        <v>21</v>
      </c>
      <c r="C7" s="556">
        <v>7024086002</v>
      </c>
      <c r="D7" s="553">
        <v>7534948958</v>
      </c>
      <c r="E7" s="547">
        <f>321018693+táj2!K581</f>
        <v>322905243</v>
      </c>
      <c r="F7" s="547">
        <f t="shared" si="0"/>
        <v>7857854201</v>
      </c>
    </row>
    <row r="8" spans="1:6" s="11" customFormat="1" ht="13.5" x14ac:dyDescent="0.2">
      <c r="A8" s="552"/>
      <c r="B8" s="546" t="s">
        <v>153</v>
      </c>
      <c r="C8" s="554">
        <f>SUM(C3:C7)</f>
        <v>24155381518</v>
      </c>
      <c r="D8" s="554">
        <f>SUM(D3:D7)</f>
        <v>28238527298</v>
      </c>
      <c r="E8" s="554">
        <f t="shared" ref="E8:F8" si="1">SUM(E3:E7)</f>
        <v>1020143124</v>
      </c>
      <c r="F8" s="554">
        <f t="shared" si="1"/>
        <v>29258670422</v>
      </c>
    </row>
    <row r="9" spans="1:6" s="11" customFormat="1" ht="12.75" x14ac:dyDescent="0.2">
      <c r="A9" s="555" t="s">
        <v>129</v>
      </c>
      <c r="B9" s="547" t="s">
        <v>19</v>
      </c>
      <c r="C9" s="556">
        <v>3923576495</v>
      </c>
      <c r="D9" s="556">
        <v>6881822071</v>
      </c>
      <c r="E9" s="547">
        <f>2166203255+táj2!L581</f>
        <v>2195374179</v>
      </c>
      <c r="F9" s="547">
        <f t="shared" si="0"/>
        <v>9077196250</v>
      </c>
    </row>
    <row r="10" spans="1:6" s="11" customFormat="1" ht="12.75" x14ac:dyDescent="0.2">
      <c r="A10" s="555" t="s">
        <v>130</v>
      </c>
      <c r="B10" s="547" t="s">
        <v>18</v>
      </c>
      <c r="C10" s="556">
        <v>2268539904</v>
      </c>
      <c r="D10" s="556">
        <v>3682194497</v>
      </c>
      <c r="E10" s="547">
        <f>807833875+táj2!M581</f>
        <v>840432872</v>
      </c>
      <c r="F10" s="547">
        <f t="shared" si="0"/>
        <v>4522627369</v>
      </c>
    </row>
    <row r="11" spans="1:6" s="11" customFormat="1" ht="12.75" x14ac:dyDescent="0.2">
      <c r="A11" s="555" t="s">
        <v>131</v>
      </c>
      <c r="B11" s="547" t="s">
        <v>68</v>
      </c>
      <c r="C11" s="556">
        <v>141380917</v>
      </c>
      <c r="D11" s="556">
        <v>125794890</v>
      </c>
      <c r="E11" s="547">
        <f>384199+táj2!N581</f>
        <v>384199</v>
      </c>
      <c r="F11" s="547">
        <f t="shared" si="0"/>
        <v>126179089</v>
      </c>
    </row>
    <row r="12" spans="1:6" s="11" customFormat="1" ht="13.5" x14ac:dyDescent="0.2">
      <c r="A12" s="555"/>
      <c r="B12" s="546" t="s">
        <v>154</v>
      </c>
      <c r="C12" s="554">
        <f>SUM(C9:C11)</f>
        <v>6333497316</v>
      </c>
      <c r="D12" s="554">
        <f>SUM(D9:D11)</f>
        <v>10689811458</v>
      </c>
      <c r="E12" s="554">
        <f t="shared" ref="E12:F12" si="2">SUM(E9:E11)</f>
        <v>3036191250</v>
      </c>
      <c r="F12" s="554">
        <f t="shared" si="2"/>
        <v>13726002708</v>
      </c>
    </row>
    <row r="13" spans="1:6" s="11" customFormat="1" ht="18" customHeight="1" x14ac:dyDescent="0.2">
      <c r="A13" s="555" t="s">
        <v>69</v>
      </c>
      <c r="B13" s="546" t="s">
        <v>70</v>
      </c>
      <c r="C13" s="554">
        <f>SUM(C8+C12)</f>
        <v>30488878834</v>
      </c>
      <c r="D13" s="554">
        <f>SUM(D8+D12)</f>
        <v>38928338756</v>
      </c>
      <c r="E13" s="554">
        <f t="shared" ref="E13:F13" si="3">SUM(E8+E12)</f>
        <v>4056334374</v>
      </c>
      <c r="F13" s="554">
        <f t="shared" si="3"/>
        <v>42984673130</v>
      </c>
    </row>
    <row r="14" spans="1:6" s="11" customFormat="1" ht="16.5" customHeight="1" x14ac:dyDescent="0.2">
      <c r="A14" s="555" t="s">
        <v>71</v>
      </c>
      <c r="B14" s="546" t="s">
        <v>115</v>
      </c>
      <c r="C14" s="554">
        <v>4694878331</v>
      </c>
      <c r="D14" s="554">
        <f>'7'!L17+'7'!M17</f>
        <v>5861978918</v>
      </c>
      <c r="E14" s="547">
        <f>0+táj2!P581</f>
        <v>0</v>
      </c>
      <c r="F14" s="547">
        <f t="shared" si="0"/>
        <v>5861978918</v>
      </c>
    </row>
    <row r="15" spans="1:6" s="11" customFormat="1" ht="18.75" customHeight="1" x14ac:dyDescent="0.2">
      <c r="A15" s="557"/>
      <c r="B15" s="548" t="s">
        <v>107</v>
      </c>
      <c r="C15" s="558">
        <f>SUM(C13:C14)</f>
        <v>35183757165</v>
      </c>
      <c r="D15" s="558">
        <f>SUM(D13:D14)</f>
        <v>44790317674</v>
      </c>
      <c r="E15" s="558">
        <f t="shared" ref="E15:F15" si="4">SUM(E13:E14)</f>
        <v>4056334374</v>
      </c>
      <c r="F15" s="558">
        <f t="shared" si="4"/>
        <v>48846652048</v>
      </c>
    </row>
    <row r="16" spans="1:6" s="1" customFormat="1" ht="12.75" x14ac:dyDescent="0.2">
      <c r="A16" s="15"/>
      <c r="B16" s="15"/>
      <c r="C16" s="15"/>
      <c r="D16" s="15"/>
    </row>
    <row r="17" spans="1:4" s="1" customFormat="1" ht="12.75" x14ac:dyDescent="0.2">
      <c r="A17" s="15"/>
      <c r="B17" s="15"/>
      <c r="C17" s="15"/>
      <c r="D17" s="15"/>
    </row>
    <row r="18" spans="1:4" s="1" customFormat="1" ht="12.75" x14ac:dyDescent="0.2">
      <c r="A18" s="15"/>
      <c r="B18" s="15"/>
      <c r="C18" s="15"/>
      <c r="D18" s="15"/>
    </row>
    <row r="19" spans="1:4" s="1" customFormat="1" ht="12.75" x14ac:dyDescent="0.2">
      <c r="A19" s="15"/>
      <c r="B19" s="15"/>
      <c r="C19" s="15"/>
      <c r="D19" s="15"/>
    </row>
    <row r="20" spans="1:4" s="1" customFormat="1" ht="12.75" x14ac:dyDescent="0.2">
      <c r="A20" s="15"/>
      <c r="B20" s="15"/>
      <c r="C20" s="15"/>
      <c r="D20" s="15"/>
    </row>
    <row r="21" spans="1:4" s="1" customFormat="1" ht="12.75" x14ac:dyDescent="0.2">
      <c r="A21" s="15"/>
      <c r="B21" s="15"/>
      <c r="C21" s="15"/>
      <c r="D21" s="15"/>
    </row>
    <row r="22" spans="1:4" s="1" customFormat="1" ht="12.75" x14ac:dyDescent="0.2">
      <c r="A22" s="15"/>
      <c r="B22" s="15"/>
      <c r="C22" s="15"/>
      <c r="D22" s="15"/>
    </row>
    <row r="23" spans="1:4" s="1" customFormat="1" ht="12.75" x14ac:dyDescent="0.2">
      <c r="A23" s="15"/>
      <c r="B23" s="15"/>
      <c r="C23" s="15"/>
      <c r="D23" s="15"/>
    </row>
    <row r="24" spans="1:4" s="1" customFormat="1" ht="12.75" x14ac:dyDescent="0.2">
      <c r="A24" s="15"/>
      <c r="B24" s="15"/>
      <c r="C24" s="15"/>
      <c r="D24" s="15"/>
    </row>
    <row r="25" spans="1:4" s="1" customFormat="1" ht="12.75" x14ac:dyDescent="0.2">
      <c r="A25" s="15"/>
      <c r="B25" s="15"/>
      <c r="C25" s="15"/>
      <c r="D25" s="15"/>
    </row>
    <row r="26" spans="1:4" s="1" customFormat="1" ht="12.75" x14ac:dyDescent="0.2">
      <c r="A26" s="16"/>
      <c r="B26" s="15"/>
      <c r="C26" s="15"/>
      <c r="D26" s="15"/>
    </row>
    <row r="27" spans="1:4" ht="12.75" x14ac:dyDescent="0.2">
      <c r="A27" s="16"/>
      <c r="B27" s="16"/>
      <c r="C27" s="16"/>
      <c r="D27" s="16"/>
    </row>
    <row r="28" spans="1:4" ht="12.75" x14ac:dyDescent="0.2">
      <c r="A28" s="16"/>
      <c r="B28" s="16"/>
      <c r="C28" s="16"/>
      <c r="D28" s="16"/>
    </row>
    <row r="29" spans="1:4" ht="12.75" x14ac:dyDescent="0.2">
      <c r="A29" s="16"/>
      <c r="B29" s="16"/>
      <c r="C29" s="16"/>
      <c r="D29" s="16"/>
    </row>
    <row r="30" spans="1:4" ht="12.75" x14ac:dyDescent="0.2">
      <c r="A30" s="16"/>
      <c r="B30" s="16"/>
      <c r="C30" s="16"/>
      <c r="D30" s="16"/>
    </row>
    <row r="31" spans="1:4" ht="12.75" x14ac:dyDescent="0.2">
      <c r="A31" s="16"/>
      <c r="B31" s="16"/>
      <c r="C31" s="16"/>
      <c r="D31" s="16"/>
    </row>
    <row r="32" spans="1:4" ht="12.75" x14ac:dyDescent="0.2">
      <c r="B32" s="16"/>
      <c r="C32" s="16"/>
      <c r="D32" s="16"/>
    </row>
  </sheetData>
  <phoneticPr fontId="0" type="noConversion"/>
  <printOptions horizontalCentered="1"/>
  <pageMargins left="0.39370078740157483" right="0.35433070866141736" top="1.3779527559055118" bottom="0.6692913385826772" header="0.78740157480314965" footer="0.51181102362204722"/>
  <pageSetup paperSize="9" orientation="landscape" r:id="rId1"/>
  <headerFooter alignWithMargins="0">
    <oddHeader>&amp;C&amp;"Times New Roman CE,Félkövér dőlt"ZALAEGERSZEG MEGYEI  JOGÚ  VÁROS  ÖNKORMÁNYZATA
 KIADÁSAI KIEMELT ELŐIRÁNYZATONKÉNT 2026.  ÉVBEN&amp;R&amp;"Times New Roman CE,Félkövér dőlt"4. melléklet
Adatok forintban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Munka8">
    <pageSetUpPr fitToPage="1"/>
  </sheetPr>
  <dimension ref="A1:N18"/>
  <sheetViews>
    <sheetView zoomScale="130" zoomScaleNormal="130" workbookViewId="0">
      <pane ySplit="2" topLeftCell="A3" activePane="bottomLeft" state="frozen"/>
      <selection activeCell="M5" sqref="M5"/>
      <selection pane="bottomLeft" activeCell="G21" sqref="G21"/>
    </sheetView>
  </sheetViews>
  <sheetFormatPr defaultColWidth="9.33203125" defaultRowHeight="12.75" x14ac:dyDescent="0.2"/>
  <cols>
    <col min="1" max="1" width="3.33203125" style="6" customWidth="1"/>
    <col min="2" max="2" width="4.5" style="6" customWidth="1"/>
    <col min="3" max="3" width="23.33203125" style="6" customWidth="1"/>
    <col min="4" max="4" width="15.1640625" style="6" customWidth="1"/>
    <col min="5" max="6" width="14.33203125" style="6" customWidth="1"/>
    <col min="7" max="7" width="13.1640625" style="6" customWidth="1"/>
    <col min="8" max="8" width="12" style="6" customWidth="1"/>
    <col min="9" max="9" width="12.5" style="6" customWidth="1"/>
    <col min="10" max="10" width="14.83203125" style="6" customWidth="1"/>
    <col min="11" max="11" width="21.1640625" style="6" customWidth="1"/>
    <col min="12" max="12" width="13.5" style="6" customWidth="1"/>
    <col min="13" max="13" width="14" style="6" customWidth="1"/>
    <col min="14" max="14" width="14.1640625" style="6" customWidth="1"/>
    <col min="15" max="16384" width="9.33203125" style="6"/>
  </cols>
  <sheetData>
    <row r="1" spans="1:14" ht="33" customHeight="1" x14ac:dyDescent="0.2">
      <c r="A1" s="822" t="s">
        <v>985</v>
      </c>
      <c r="B1" s="822" t="s">
        <v>986</v>
      </c>
      <c r="C1" s="821" t="s">
        <v>111</v>
      </c>
      <c r="D1" s="823" t="s">
        <v>117</v>
      </c>
      <c r="E1" s="823"/>
      <c r="F1" s="823"/>
      <c r="G1" s="823"/>
      <c r="H1" s="823"/>
      <c r="I1" s="823"/>
      <c r="J1" s="823"/>
      <c r="K1" s="823" t="s">
        <v>151</v>
      </c>
      <c r="L1" s="823"/>
      <c r="M1" s="823"/>
      <c r="N1" s="821" t="s">
        <v>112</v>
      </c>
    </row>
    <row r="2" spans="1:14" s="7" customFormat="1" ht="54.95" customHeight="1" x14ac:dyDescent="0.2">
      <c r="A2" s="822"/>
      <c r="B2" s="822"/>
      <c r="C2" s="821"/>
      <c r="D2" s="435" t="s">
        <v>12</v>
      </c>
      <c r="E2" s="435" t="s">
        <v>13</v>
      </c>
      <c r="F2" s="449" t="s">
        <v>14</v>
      </c>
      <c r="G2" s="435" t="s">
        <v>147</v>
      </c>
      <c r="H2" s="449" t="s">
        <v>148</v>
      </c>
      <c r="I2" s="449" t="s">
        <v>149</v>
      </c>
      <c r="J2" s="449" t="s">
        <v>150</v>
      </c>
      <c r="K2" s="449" t="s">
        <v>118</v>
      </c>
      <c r="L2" s="449" t="s">
        <v>119</v>
      </c>
      <c r="M2" s="449" t="s">
        <v>121</v>
      </c>
      <c r="N2" s="821"/>
    </row>
    <row r="3" spans="1:14" ht="17.100000000000001" customHeight="1" x14ac:dyDescent="0.2">
      <c r="A3" s="431">
        <v>1</v>
      </c>
      <c r="B3" s="431"/>
      <c r="C3" s="431" t="s">
        <v>141</v>
      </c>
      <c r="D3" s="431"/>
      <c r="E3" s="431"/>
      <c r="F3" s="431"/>
      <c r="G3" s="431"/>
      <c r="H3" s="431"/>
      <c r="I3" s="431"/>
      <c r="J3" s="431"/>
      <c r="K3" s="431"/>
      <c r="L3" s="431"/>
      <c r="M3" s="431"/>
      <c r="N3" s="431"/>
    </row>
    <row r="4" spans="1:14" ht="24.95" customHeight="1" x14ac:dyDescent="0.2">
      <c r="A4" s="436"/>
      <c r="B4" s="436">
        <v>12</v>
      </c>
      <c r="C4" s="432" t="s">
        <v>90</v>
      </c>
      <c r="D4" s="437">
        <f>'6'!E11</f>
        <v>0</v>
      </c>
      <c r="E4" s="437">
        <f>'6'!F11</f>
        <v>0</v>
      </c>
      <c r="F4" s="437">
        <f>'6'!G11</f>
        <v>3000000</v>
      </c>
      <c r="G4" s="437">
        <f>'6'!H11</f>
        <v>24000000</v>
      </c>
      <c r="H4" s="437">
        <f>'6'!I11</f>
        <v>0</v>
      </c>
      <c r="I4" s="437">
        <f>'6'!J11</f>
        <v>3000000</v>
      </c>
      <c r="J4" s="437">
        <f>'6'!K11</f>
        <v>0</v>
      </c>
      <c r="K4" s="437">
        <f>'6'!L11</f>
        <v>0</v>
      </c>
      <c r="L4" s="437">
        <f>'6'!M11</f>
        <v>0</v>
      </c>
      <c r="M4" s="437">
        <f>'6'!N11</f>
        <v>0</v>
      </c>
      <c r="N4" s="437">
        <f>SUM(D4:M4)</f>
        <v>30000000</v>
      </c>
    </row>
    <row r="5" spans="1:14" ht="17.100000000000001" customHeight="1" x14ac:dyDescent="0.2">
      <c r="A5" s="436"/>
      <c r="B5" s="436">
        <v>13</v>
      </c>
      <c r="C5" s="431" t="s">
        <v>91</v>
      </c>
      <c r="D5" s="437">
        <f>'6'!E21</f>
        <v>292850000</v>
      </c>
      <c r="E5" s="437">
        <f>'6'!F21</f>
        <v>0</v>
      </c>
      <c r="F5" s="437">
        <f>'6'!G21</f>
        <v>0</v>
      </c>
      <c r="G5" s="437">
        <f>'6'!H21</f>
        <v>9519000</v>
      </c>
      <c r="H5" s="437">
        <f>'6'!I21</f>
        <v>0</v>
      </c>
      <c r="I5" s="437">
        <f>'6'!J21</f>
        <v>0</v>
      </c>
      <c r="J5" s="437">
        <f>'6'!K21</f>
        <v>0</v>
      </c>
      <c r="K5" s="437">
        <f>'6'!L21</f>
        <v>0</v>
      </c>
      <c r="L5" s="437">
        <f>'6'!M21</f>
        <v>0</v>
      </c>
      <c r="M5" s="437">
        <f>'6'!N21</f>
        <v>0</v>
      </c>
      <c r="N5" s="437">
        <f t="shared" ref="N5:N15" si="0">SUM(D5:M5)</f>
        <v>302369000</v>
      </c>
    </row>
    <row r="6" spans="1:14" ht="17.100000000000001" customHeight="1" x14ac:dyDescent="0.2">
      <c r="A6" s="438"/>
      <c r="B6" s="438">
        <v>14</v>
      </c>
      <c r="C6" s="439" t="s">
        <v>143</v>
      </c>
      <c r="D6" s="437">
        <f>'6'!E25</f>
        <v>0</v>
      </c>
      <c r="E6" s="437">
        <f>'6'!F25</f>
        <v>0</v>
      </c>
      <c r="F6" s="437">
        <f>'6'!G25</f>
        <v>0</v>
      </c>
      <c r="G6" s="437">
        <f>'6'!H25</f>
        <v>5080000</v>
      </c>
      <c r="H6" s="437">
        <f>'6'!I25</f>
        <v>0</v>
      </c>
      <c r="I6" s="437">
        <f>'6'!J25</f>
        <v>0</v>
      </c>
      <c r="J6" s="437">
        <f>'6'!K25</f>
        <v>0</v>
      </c>
      <c r="K6" s="437">
        <f>'6'!L25</f>
        <v>0</v>
      </c>
      <c r="L6" s="437">
        <f>'6'!M25</f>
        <v>0</v>
      </c>
      <c r="M6" s="437">
        <f>'6'!N25</f>
        <v>0</v>
      </c>
      <c r="N6" s="437">
        <f t="shared" si="0"/>
        <v>5080000</v>
      </c>
    </row>
    <row r="7" spans="1:14" ht="17.100000000000001" customHeight="1" x14ac:dyDescent="0.2">
      <c r="A7" s="436"/>
      <c r="B7" s="436">
        <v>15</v>
      </c>
      <c r="C7" s="431" t="s">
        <v>113</v>
      </c>
      <c r="D7" s="437">
        <f>'6'!E41</f>
        <v>0</v>
      </c>
      <c r="E7" s="437">
        <f>'6'!F41</f>
        <v>0</v>
      </c>
      <c r="F7" s="437">
        <f>'6'!G41</f>
        <v>0</v>
      </c>
      <c r="G7" s="437">
        <f>'6'!H41</f>
        <v>864561156</v>
      </c>
      <c r="H7" s="437">
        <f>'6'!I41</f>
        <v>0</v>
      </c>
      <c r="I7" s="437">
        <f>'6'!J41</f>
        <v>0</v>
      </c>
      <c r="J7" s="437">
        <f>'6'!K41</f>
        <v>0</v>
      </c>
      <c r="K7" s="437">
        <f>'6'!L41</f>
        <v>0</v>
      </c>
      <c r="L7" s="437">
        <f>'6'!M41</f>
        <v>35863798</v>
      </c>
      <c r="M7" s="437">
        <f>'6'!N41</f>
        <v>0</v>
      </c>
      <c r="N7" s="437">
        <f t="shared" si="0"/>
        <v>900424954</v>
      </c>
    </row>
    <row r="8" spans="1:14" ht="17.100000000000001" customHeight="1" x14ac:dyDescent="0.2">
      <c r="A8" s="436"/>
      <c r="B8" s="436">
        <v>16</v>
      </c>
      <c r="C8" s="431" t="s">
        <v>106</v>
      </c>
      <c r="D8" s="437">
        <f>'6'!E93</f>
        <v>1163926979</v>
      </c>
      <c r="E8" s="437">
        <f>'6'!F93</f>
        <v>7557048778</v>
      </c>
      <c r="F8" s="437">
        <f>'6'!G93</f>
        <v>0</v>
      </c>
      <c r="G8" s="437">
        <f>'6'!H93</f>
        <v>1645188196</v>
      </c>
      <c r="H8" s="437">
        <f>'6'!I93</f>
        <v>0</v>
      </c>
      <c r="I8" s="437">
        <f>'6'!J93</f>
        <v>6249</v>
      </c>
      <c r="J8" s="437">
        <f>'6'!K93</f>
        <v>0</v>
      </c>
      <c r="K8" s="437">
        <f>'6'!L93</f>
        <v>0</v>
      </c>
      <c r="L8" s="437">
        <f>'6'!M93</f>
        <v>3153413943</v>
      </c>
      <c r="M8" s="437">
        <f>'6'!N93</f>
        <v>1222710000</v>
      </c>
      <c r="N8" s="437">
        <f t="shared" si="0"/>
        <v>14742294145</v>
      </c>
    </row>
    <row r="9" spans="1:14" ht="17.100000000000001" customHeight="1" x14ac:dyDescent="0.2">
      <c r="A9" s="436"/>
      <c r="B9" s="436">
        <v>17</v>
      </c>
      <c r="C9" s="431" t="s">
        <v>114</v>
      </c>
      <c r="D9" s="437">
        <f>'6'!E120</f>
        <v>0</v>
      </c>
      <c r="E9" s="437">
        <f>'6'!F120</f>
        <v>0</v>
      </c>
      <c r="F9" s="437">
        <f>'6'!G120</f>
        <v>0</v>
      </c>
      <c r="G9" s="437">
        <f>'6'!H120</f>
        <v>1183926420</v>
      </c>
      <c r="H9" s="437">
        <f>'6'!I120</f>
        <v>174046508</v>
      </c>
      <c r="I9" s="437">
        <f>'6'!J120</f>
        <v>0</v>
      </c>
      <c r="J9" s="437">
        <f>'6'!K120</f>
        <v>0</v>
      </c>
      <c r="K9" s="437">
        <f>'6'!L120</f>
        <v>0</v>
      </c>
      <c r="L9" s="437">
        <f>'6'!M120</f>
        <v>13698479</v>
      </c>
      <c r="M9" s="437">
        <f>'6'!N120</f>
        <v>39470000</v>
      </c>
      <c r="N9" s="437">
        <f t="shared" si="0"/>
        <v>1411141407</v>
      </c>
    </row>
    <row r="10" spans="1:14" ht="17.100000000000001" customHeight="1" x14ac:dyDescent="0.2">
      <c r="A10" s="436"/>
      <c r="B10" s="436">
        <v>18</v>
      </c>
      <c r="C10" s="431" t="s">
        <v>139</v>
      </c>
      <c r="D10" s="437">
        <f>'6'!E128</f>
        <v>0</v>
      </c>
      <c r="E10" s="437">
        <f>'6'!F128</f>
        <v>0</v>
      </c>
      <c r="F10" s="437">
        <f>'6'!G128</f>
        <v>107800000</v>
      </c>
      <c r="G10" s="437">
        <f>'6'!H128</f>
        <v>44840000</v>
      </c>
      <c r="H10" s="437">
        <f>'6'!I128</f>
        <v>0</v>
      </c>
      <c r="I10" s="437">
        <f>'6'!J128</f>
        <v>0</v>
      </c>
      <c r="J10" s="437">
        <f>'6'!K128</f>
        <v>0</v>
      </c>
      <c r="K10" s="437">
        <f>'6'!L128</f>
        <v>0</v>
      </c>
      <c r="L10" s="437">
        <f>'6'!M128</f>
        <v>0</v>
      </c>
      <c r="M10" s="437">
        <f>'6'!N128</f>
        <v>0</v>
      </c>
      <c r="N10" s="437">
        <f t="shared" si="0"/>
        <v>152640000</v>
      </c>
    </row>
    <row r="11" spans="1:14" ht="17.100000000000001" customHeight="1" x14ac:dyDescent="0.2">
      <c r="A11" s="436"/>
      <c r="B11" s="436">
        <v>19</v>
      </c>
      <c r="C11" s="431" t="s">
        <v>78</v>
      </c>
      <c r="D11" s="437">
        <f>'6'!E159</f>
        <v>7901963697</v>
      </c>
      <c r="E11" s="437">
        <f>'6'!F159</f>
        <v>0</v>
      </c>
      <c r="F11" s="437">
        <f>'6'!G159</f>
        <v>9567000000</v>
      </c>
      <c r="G11" s="437">
        <f>'6'!H159</f>
        <v>178340510</v>
      </c>
      <c r="H11" s="437">
        <f>'6'!I159</f>
        <v>0</v>
      </c>
      <c r="I11" s="437">
        <f>'6'!J159</f>
        <v>26600000</v>
      </c>
      <c r="J11" s="437">
        <f>'6'!K159</f>
        <v>0</v>
      </c>
      <c r="K11" s="437">
        <f>'6'!L159</f>
        <v>500000000</v>
      </c>
      <c r="L11" s="437">
        <f>'6'!M159</f>
        <v>1371487516</v>
      </c>
      <c r="M11" s="437">
        <f>'6'!N159</f>
        <v>7600000000</v>
      </c>
      <c r="N11" s="437">
        <f t="shared" si="0"/>
        <v>27145391723</v>
      </c>
    </row>
    <row r="12" spans="1:14" ht="17.100000000000001" customHeight="1" x14ac:dyDescent="0.2">
      <c r="A12" s="436"/>
      <c r="B12" s="436">
        <v>22</v>
      </c>
      <c r="C12" s="450" t="s">
        <v>7</v>
      </c>
      <c r="D12" s="437">
        <f>'6'!E164</f>
        <v>160179</v>
      </c>
      <c r="E12" s="437">
        <f>'6'!F164</f>
        <v>0</v>
      </c>
      <c r="F12" s="437">
        <f>'6'!G164</f>
        <v>0</v>
      </c>
      <c r="G12" s="437">
        <f>'6'!H164</f>
        <v>0</v>
      </c>
      <c r="H12" s="437">
        <f>'6'!I164</f>
        <v>0</v>
      </c>
      <c r="I12" s="437">
        <f>'6'!J164</f>
        <v>300000</v>
      </c>
      <c r="J12" s="437">
        <f>'6'!K164</f>
        <v>0</v>
      </c>
      <c r="K12" s="437">
        <f>'6'!L164</f>
        <v>0</v>
      </c>
      <c r="L12" s="437">
        <f>'6'!M164</f>
        <v>0</v>
      </c>
      <c r="M12" s="437">
        <f>'6'!N164</f>
        <v>0</v>
      </c>
      <c r="N12" s="437">
        <f t="shared" si="0"/>
        <v>460179</v>
      </c>
    </row>
    <row r="13" spans="1:14" ht="36" customHeight="1" x14ac:dyDescent="0.2">
      <c r="A13" s="440"/>
      <c r="B13" s="440"/>
      <c r="C13" s="433" t="s">
        <v>10</v>
      </c>
      <c r="D13" s="441">
        <f t="shared" ref="D13:M13" si="1">SUM(D4:D12)</f>
        <v>9358900855</v>
      </c>
      <c r="E13" s="441">
        <f t="shared" si="1"/>
        <v>7557048778</v>
      </c>
      <c r="F13" s="441">
        <f t="shared" si="1"/>
        <v>9677800000</v>
      </c>
      <c r="G13" s="441">
        <f t="shared" si="1"/>
        <v>3955455282</v>
      </c>
      <c r="H13" s="441">
        <f t="shared" si="1"/>
        <v>174046508</v>
      </c>
      <c r="I13" s="441">
        <f t="shared" si="1"/>
        <v>29906249</v>
      </c>
      <c r="J13" s="441">
        <f t="shared" si="1"/>
        <v>0</v>
      </c>
      <c r="K13" s="441">
        <f t="shared" si="1"/>
        <v>500000000</v>
      </c>
      <c r="L13" s="441">
        <f t="shared" si="1"/>
        <v>4574463736</v>
      </c>
      <c r="M13" s="441">
        <f t="shared" si="1"/>
        <v>8862180000</v>
      </c>
      <c r="N13" s="441">
        <f t="shared" si="0"/>
        <v>44689801408</v>
      </c>
    </row>
    <row r="14" spans="1:14" ht="16.5" customHeight="1" x14ac:dyDescent="0.2">
      <c r="A14" s="436">
        <v>2</v>
      </c>
      <c r="B14" s="436"/>
      <c r="C14" s="431" t="s">
        <v>142</v>
      </c>
      <c r="D14" s="437">
        <f>'6'!E166</f>
        <v>1077543950</v>
      </c>
      <c r="E14" s="437">
        <f>'6'!F166</f>
        <v>18409864</v>
      </c>
      <c r="F14" s="437">
        <f>'6'!G166</f>
        <v>5000000</v>
      </c>
      <c r="G14" s="437">
        <f>'6'!H166</f>
        <v>2043569901</v>
      </c>
      <c r="H14" s="437">
        <f>'6'!I166</f>
        <v>0</v>
      </c>
      <c r="I14" s="437">
        <f>'6'!J166</f>
        <v>4310000</v>
      </c>
      <c r="J14" s="437">
        <f>'6'!K166</f>
        <v>628380</v>
      </c>
      <c r="K14" s="437"/>
      <c r="L14" s="437">
        <f>'6'!M166</f>
        <v>1007388545</v>
      </c>
      <c r="M14" s="437">
        <f>'6'!N166</f>
        <v>0</v>
      </c>
      <c r="N14" s="437">
        <f t="shared" si="0"/>
        <v>4156850640</v>
      </c>
    </row>
    <row r="15" spans="1:14" ht="17.100000000000001" customHeight="1" x14ac:dyDescent="0.2">
      <c r="A15" s="440"/>
      <c r="B15" s="440"/>
      <c r="C15" s="434" t="s">
        <v>134</v>
      </c>
      <c r="D15" s="441">
        <f t="shared" ref="D15:M15" si="2">SUM(D13:D14)</f>
        <v>10436444805</v>
      </c>
      <c r="E15" s="441">
        <f t="shared" si="2"/>
        <v>7575458642</v>
      </c>
      <c r="F15" s="441">
        <f t="shared" si="2"/>
        <v>9682800000</v>
      </c>
      <c r="G15" s="441">
        <f t="shared" si="2"/>
        <v>5999025183</v>
      </c>
      <c r="H15" s="441">
        <f t="shared" si="2"/>
        <v>174046508</v>
      </c>
      <c r="I15" s="441">
        <f t="shared" si="2"/>
        <v>34216249</v>
      </c>
      <c r="J15" s="441">
        <f t="shared" si="2"/>
        <v>628380</v>
      </c>
      <c r="K15" s="441">
        <f t="shared" si="2"/>
        <v>500000000</v>
      </c>
      <c r="L15" s="441">
        <f t="shared" si="2"/>
        <v>5581852281</v>
      </c>
      <c r="M15" s="441">
        <f t="shared" si="2"/>
        <v>8862180000</v>
      </c>
      <c r="N15" s="441">
        <f t="shared" si="0"/>
        <v>48846652048</v>
      </c>
    </row>
    <row r="16" spans="1:14" ht="17.100000000000001" hidden="1" customHeight="1" x14ac:dyDescent="0.2">
      <c r="C16" s="8"/>
      <c r="D16" s="9"/>
      <c r="E16" s="9"/>
      <c r="F16" s="9"/>
      <c r="G16" s="9"/>
      <c r="H16" s="9"/>
      <c r="I16" s="9"/>
      <c r="J16" s="9"/>
      <c r="K16" s="9"/>
      <c r="L16" s="9"/>
      <c r="M16" s="9"/>
    </row>
    <row r="17" spans="3:12" ht="14.1" hidden="1" customHeight="1" x14ac:dyDescent="0.2">
      <c r="C17" s="8"/>
      <c r="D17" s="9"/>
      <c r="E17" s="9"/>
      <c r="F17" s="9"/>
      <c r="G17" s="9"/>
      <c r="H17" s="9"/>
      <c r="I17" s="9" t="s">
        <v>943</v>
      </c>
      <c r="J17" s="9"/>
      <c r="K17" s="9">
        <f>SUM(D15:J15)</f>
        <v>33902619767</v>
      </c>
      <c r="L17" s="9"/>
    </row>
    <row r="18" spans="3:12" ht="14.1" hidden="1" customHeight="1" x14ac:dyDescent="0.2">
      <c r="D18" s="9"/>
      <c r="E18" s="9"/>
      <c r="F18" s="9"/>
      <c r="G18" s="9"/>
      <c r="H18" s="9"/>
      <c r="I18" s="9"/>
      <c r="J18" s="9"/>
      <c r="K18" s="9"/>
      <c r="L18" s="9"/>
    </row>
  </sheetData>
  <mergeCells count="6">
    <mergeCell ref="C1:C2"/>
    <mergeCell ref="B1:B2"/>
    <mergeCell ref="A1:A2"/>
    <mergeCell ref="N1:N2"/>
    <mergeCell ref="K1:M1"/>
    <mergeCell ref="D1:J1"/>
  </mergeCells>
  <phoneticPr fontId="0" type="noConversion"/>
  <printOptions horizontalCentered="1"/>
  <pageMargins left="0.39370078740157483" right="0.39370078740157483" top="1.6141732283464567" bottom="0.98425196850393704" header="0.86614173228346458" footer="0.51181102362204722"/>
  <pageSetup paperSize="9" scale="81" orientation="landscape" r:id="rId1"/>
  <headerFooter alignWithMargins="0">
    <oddHeader>&amp;C&amp;"Times New Roman,Félkövér dőlt"ZALAEGERSZEG MEGYEI JOGÚ VÁROS ÖNKORMÁNYZATA 
2026.  ÉVI  BEVÉTELI ELŐIRÁNYZATAI CíMENKÉNTI BONTÁSBAN&amp;R&amp;"Times New Roman,Félkövér dőlt"5. melléklet
Adatok forintban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Q173"/>
  <sheetViews>
    <sheetView zoomScale="124" zoomScaleNormal="124" workbookViewId="0">
      <pane ySplit="2" topLeftCell="A155" activePane="bottomLeft" state="frozen"/>
      <selection activeCell="M5" sqref="M5"/>
      <selection pane="bottomLeft" activeCell="C161" sqref="C161"/>
    </sheetView>
  </sheetViews>
  <sheetFormatPr defaultRowHeight="12.75" x14ac:dyDescent="0.2"/>
  <cols>
    <col min="1" max="1" width="3.6640625" style="19" customWidth="1"/>
    <col min="2" max="2" width="4.1640625" style="19" customWidth="1"/>
    <col min="3" max="3" width="38.5" style="19" customWidth="1"/>
    <col min="4" max="4" width="7.83203125" style="34" customWidth="1"/>
    <col min="5" max="5" width="18" style="19" customWidth="1"/>
    <col min="6" max="6" width="17.33203125" style="19" customWidth="1"/>
    <col min="7" max="7" width="17.1640625" style="19" customWidth="1"/>
    <col min="8" max="8" width="16.6640625" style="19" customWidth="1"/>
    <col min="9" max="9" width="15.1640625" style="19" customWidth="1"/>
    <col min="10" max="10" width="14.5" style="19" customWidth="1"/>
    <col min="11" max="11" width="11.1640625" style="19" customWidth="1"/>
    <col min="12" max="12" width="15.5" style="19" customWidth="1"/>
    <col min="13" max="13" width="17.33203125" style="19" customWidth="1"/>
    <col min="14" max="14" width="17" style="19" customWidth="1"/>
    <col min="15" max="15" width="18.1640625" style="19" customWidth="1"/>
    <col min="16" max="16" width="15.83203125" style="19" customWidth="1"/>
    <col min="17" max="254" width="9.33203125" style="19"/>
    <col min="255" max="256" width="5.33203125" style="19" customWidth="1"/>
    <col min="257" max="257" width="40.83203125" style="19" customWidth="1"/>
    <col min="258" max="258" width="9.83203125" style="19" customWidth="1"/>
    <col min="259" max="259" width="13" style="19" customWidth="1"/>
    <col min="260" max="260" width="13.1640625" style="19" customWidth="1"/>
    <col min="261" max="261" width="12.33203125" style="19" customWidth="1"/>
    <col min="262" max="262" width="11.33203125" style="19" customWidth="1"/>
    <col min="263" max="263" width="11.83203125" style="19" customWidth="1"/>
    <col min="264" max="264" width="10.83203125" style="19" customWidth="1"/>
    <col min="265" max="265" width="13.1640625" style="19" customWidth="1"/>
    <col min="266" max="266" width="11.33203125" style="19" customWidth="1"/>
    <col min="267" max="268" width="12.33203125" style="19" customWidth="1"/>
    <col min="269" max="269" width="13.1640625" style="19" customWidth="1"/>
    <col min="270" max="270" width="18.33203125" style="19" customWidth="1"/>
    <col min="271" max="271" width="7.33203125" style="19" customWidth="1"/>
    <col min="272" max="510" width="9.33203125" style="19"/>
    <col min="511" max="512" width="5.33203125" style="19" customWidth="1"/>
    <col min="513" max="513" width="40.83203125" style="19" customWidth="1"/>
    <col min="514" max="514" width="9.83203125" style="19" customWidth="1"/>
    <col min="515" max="515" width="13" style="19" customWidth="1"/>
    <col min="516" max="516" width="13.1640625" style="19" customWidth="1"/>
    <col min="517" max="517" width="12.33203125" style="19" customWidth="1"/>
    <col min="518" max="518" width="11.33203125" style="19" customWidth="1"/>
    <col min="519" max="519" width="11.83203125" style="19" customWidth="1"/>
    <col min="520" max="520" width="10.83203125" style="19" customWidth="1"/>
    <col min="521" max="521" width="13.1640625" style="19" customWidth="1"/>
    <col min="522" max="522" width="11.33203125" style="19" customWidth="1"/>
    <col min="523" max="524" width="12.33203125" style="19" customWidth="1"/>
    <col min="525" max="525" width="13.1640625" style="19" customWidth="1"/>
    <col min="526" max="526" width="18.33203125" style="19" customWidth="1"/>
    <col min="527" max="527" width="7.33203125" style="19" customWidth="1"/>
    <col min="528" max="766" width="9.33203125" style="19"/>
    <col min="767" max="768" width="5.33203125" style="19" customWidth="1"/>
    <col min="769" max="769" width="40.83203125" style="19" customWidth="1"/>
    <col min="770" max="770" width="9.83203125" style="19" customWidth="1"/>
    <col min="771" max="771" width="13" style="19" customWidth="1"/>
    <col min="772" max="772" width="13.1640625" style="19" customWidth="1"/>
    <col min="773" max="773" width="12.33203125" style="19" customWidth="1"/>
    <col min="774" max="774" width="11.33203125" style="19" customWidth="1"/>
    <col min="775" max="775" width="11.83203125" style="19" customWidth="1"/>
    <col min="776" max="776" width="10.83203125" style="19" customWidth="1"/>
    <col min="777" max="777" width="13.1640625" style="19" customWidth="1"/>
    <col min="778" max="778" width="11.33203125" style="19" customWidth="1"/>
    <col min="779" max="780" width="12.33203125" style="19" customWidth="1"/>
    <col min="781" max="781" width="13.1640625" style="19" customWidth="1"/>
    <col min="782" max="782" width="18.33203125" style="19" customWidth="1"/>
    <col min="783" max="783" width="7.33203125" style="19" customWidth="1"/>
    <col min="784" max="1022" width="9.33203125" style="19"/>
    <col min="1023" max="1024" width="5.33203125" style="19" customWidth="1"/>
    <col min="1025" max="1025" width="40.83203125" style="19" customWidth="1"/>
    <col min="1026" max="1026" width="9.83203125" style="19" customWidth="1"/>
    <col min="1027" max="1027" width="13" style="19" customWidth="1"/>
    <col min="1028" max="1028" width="13.1640625" style="19" customWidth="1"/>
    <col min="1029" max="1029" width="12.33203125" style="19" customWidth="1"/>
    <col min="1030" max="1030" width="11.33203125" style="19" customWidth="1"/>
    <col min="1031" max="1031" width="11.83203125" style="19" customWidth="1"/>
    <col min="1032" max="1032" width="10.83203125" style="19" customWidth="1"/>
    <col min="1033" max="1033" width="13.1640625" style="19" customWidth="1"/>
    <col min="1034" max="1034" width="11.33203125" style="19" customWidth="1"/>
    <col min="1035" max="1036" width="12.33203125" style="19" customWidth="1"/>
    <col min="1037" max="1037" width="13.1640625" style="19" customWidth="1"/>
    <col min="1038" max="1038" width="18.33203125" style="19" customWidth="1"/>
    <col min="1039" max="1039" width="7.33203125" style="19" customWidth="1"/>
    <col min="1040" max="1278" width="9.33203125" style="19"/>
    <col min="1279" max="1280" width="5.33203125" style="19" customWidth="1"/>
    <col min="1281" max="1281" width="40.83203125" style="19" customWidth="1"/>
    <col min="1282" max="1282" width="9.83203125" style="19" customWidth="1"/>
    <col min="1283" max="1283" width="13" style="19" customWidth="1"/>
    <col min="1284" max="1284" width="13.1640625" style="19" customWidth="1"/>
    <col min="1285" max="1285" width="12.33203125" style="19" customWidth="1"/>
    <col min="1286" max="1286" width="11.33203125" style="19" customWidth="1"/>
    <col min="1287" max="1287" width="11.83203125" style="19" customWidth="1"/>
    <col min="1288" max="1288" width="10.83203125" style="19" customWidth="1"/>
    <col min="1289" max="1289" width="13.1640625" style="19" customWidth="1"/>
    <col min="1290" max="1290" width="11.33203125" style="19" customWidth="1"/>
    <col min="1291" max="1292" width="12.33203125" style="19" customWidth="1"/>
    <col min="1293" max="1293" width="13.1640625" style="19" customWidth="1"/>
    <col min="1294" max="1294" width="18.33203125" style="19" customWidth="1"/>
    <col min="1295" max="1295" width="7.33203125" style="19" customWidth="1"/>
    <col min="1296" max="1534" width="9.33203125" style="19"/>
    <col min="1535" max="1536" width="5.33203125" style="19" customWidth="1"/>
    <col min="1537" max="1537" width="40.83203125" style="19" customWidth="1"/>
    <col min="1538" max="1538" width="9.83203125" style="19" customWidth="1"/>
    <col min="1539" max="1539" width="13" style="19" customWidth="1"/>
    <col min="1540" max="1540" width="13.1640625" style="19" customWidth="1"/>
    <col min="1541" max="1541" width="12.33203125" style="19" customWidth="1"/>
    <col min="1542" max="1542" width="11.33203125" style="19" customWidth="1"/>
    <col min="1543" max="1543" width="11.83203125" style="19" customWidth="1"/>
    <col min="1544" max="1544" width="10.83203125" style="19" customWidth="1"/>
    <col min="1545" max="1545" width="13.1640625" style="19" customWidth="1"/>
    <col min="1546" max="1546" width="11.33203125" style="19" customWidth="1"/>
    <col min="1547" max="1548" width="12.33203125" style="19" customWidth="1"/>
    <col min="1549" max="1549" width="13.1640625" style="19" customWidth="1"/>
    <col min="1550" max="1550" width="18.33203125" style="19" customWidth="1"/>
    <col min="1551" max="1551" width="7.33203125" style="19" customWidth="1"/>
    <col min="1552" max="1790" width="9.33203125" style="19"/>
    <col min="1791" max="1792" width="5.33203125" style="19" customWidth="1"/>
    <col min="1793" max="1793" width="40.83203125" style="19" customWidth="1"/>
    <col min="1794" max="1794" width="9.83203125" style="19" customWidth="1"/>
    <col min="1795" max="1795" width="13" style="19" customWidth="1"/>
    <col min="1796" max="1796" width="13.1640625" style="19" customWidth="1"/>
    <col min="1797" max="1797" width="12.33203125" style="19" customWidth="1"/>
    <col min="1798" max="1798" width="11.33203125" style="19" customWidth="1"/>
    <col min="1799" max="1799" width="11.83203125" style="19" customWidth="1"/>
    <col min="1800" max="1800" width="10.83203125" style="19" customWidth="1"/>
    <col min="1801" max="1801" width="13.1640625" style="19" customWidth="1"/>
    <col min="1802" max="1802" width="11.33203125" style="19" customWidth="1"/>
    <col min="1803" max="1804" width="12.33203125" style="19" customWidth="1"/>
    <col min="1805" max="1805" width="13.1640625" style="19" customWidth="1"/>
    <col min="1806" max="1806" width="18.33203125" style="19" customWidth="1"/>
    <col min="1807" max="1807" width="7.33203125" style="19" customWidth="1"/>
    <col min="1808" max="2046" width="9.33203125" style="19"/>
    <col min="2047" max="2048" width="5.33203125" style="19" customWidth="1"/>
    <col min="2049" max="2049" width="40.83203125" style="19" customWidth="1"/>
    <col min="2050" max="2050" width="9.83203125" style="19" customWidth="1"/>
    <col min="2051" max="2051" width="13" style="19" customWidth="1"/>
    <col min="2052" max="2052" width="13.1640625" style="19" customWidth="1"/>
    <col min="2053" max="2053" width="12.33203125" style="19" customWidth="1"/>
    <col min="2054" max="2054" width="11.33203125" style="19" customWidth="1"/>
    <col min="2055" max="2055" width="11.83203125" style="19" customWidth="1"/>
    <col min="2056" max="2056" width="10.83203125" style="19" customWidth="1"/>
    <col min="2057" max="2057" width="13.1640625" style="19" customWidth="1"/>
    <col min="2058" max="2058" width="11.33203125" style="19" customWidth="1"/>
    <col min="2059" max="2060" width="12.33203125" style="19" customWidth="1"/>
    <col min="2061" max="2061" width="13.1640625" style="19" customWidth="1"/>
    <col min="2062" max="2062" width="18.33203125" style="19" customWidth="1"/>
    <col min="2063" max="2063" width="7.33203125" style="19" customWidth="1"/>
    <col min="2064" max="2302" width="9.33203125" style="19"/>
    <col min="2303" max="2304" width="5.33203125" style="19" customWidth="1"/>
    <col min="2305" max="2305" width="40.83203125" style="19" customWidth="1"/>
    <col min="2306" max="2306" width="9.83203125" style="19" customWidth="1"/>
    <col min="2307" max="2307" width="13" style="19" customWidth="1"/>
    <col min="2308" max="2308" width="13.1640625" style="19" customWidth="1"/>
    <col min="2309" max="2309" width="12.33203125" style="19" customWidth="1"/>
    <col min="2310" max="2310" width="11.33203125" style="19" customWidth="1"/>
    <col min="2311" max="2311" width="11.83203125" style="19" customWidth="1"/>
    <col min="2312" max="2312" width="10.83203125" style="19" customWidth="1"/>
    <col min="2313" max="2313" width="13.1640625" style="19" customWidth="1"/>
    <col min="2314" max="2314" width="11.33203125" style="19" customWidth="1"/>
    <col min="2315" max="2316" width="12.33203125" style="19" customWidth="1"/>
    <col min="2317" max="2317" width="13.1640625" style="19" customWidth="1"/>
    <col min="2318" max="2318" width="18.33203125" style="19" customWidth="1"/>
    <col min="2319" max="2319" width="7.33203125" style="19" customWidth="1"/>
    <col min="2320" max="2558" width="9.33203125" style="19"/>
    <col min="2559" max="2560" width="5.33203125" style="19" customWidth="1"/>
    <col min="2561" max="2561" width="40.83203125" style="19" customWidth="1"/>
    <col min="2562" max="2562" width="9.83203125" style="19" customWidth="1"/>
    <col min="2563" max="2563" width="13" style="19" customWidth="1"/>
    <col min="2564" max="2564" width="13.1640625" style="19" customWidth="1"/>
    <col min="2565" max="2565" width="12.33203125" style="19" customWidth="1"/>
    <col min="2566" max="2566" width="11.33203125" style="19" customWidth="1"/>
    <col min="2567" max="2567" width="11.83203125" style="19" customWidth="1"/>
    <col min="2568" max="2568" width="10.83203125" style="19" customWidth="1"/>
    <col min="2569" max="2569" width="13.1640625" style="19" customWidth="1"/>
    <col min="2570" max="2570" width="11.33203125" style="19" customWidth="1"/>
    <col min="2571" max="2572" width="12.33203125" style="19" customWidth="1"/>
    <col min="2573" max="2573" width="13.1640625" style="19" customWidth="1"/>
    <col min="2574" max="2574" width="18.33203125" style="19" customWidth="1"/>
    <col min="2575" max="2575" width="7.33203125" style="19" customWidth="1"/>
    <col min="2576" max="2814" width="9.33203125" style="19"/>
    <col min="2815" max="2816" width="5.33203125" style="19" customWidth="1"/>
    <col min="2817" max="2817" width="40.83203125" style="19" customWidth="1"/>
    <col min="2818" max="2818" width="9.83203125" style="19" customWidth="1"/>
    <col min="2819" max="2819" width="13" style="19" customWidth="1"/>
    <col min="2820" max="2820" width="13.1640625" style="19" customWidth="1"/>
    <col min="2821" max="2821" width="12.33203125" style="19" customWidth="1"/>
    <col min="2822" max="2822" width="11.33203125" style="19" customWidth="1"/>
    <col min="2823" max="2823" width="11.83203125" style="19" customWidth="1"/>
    <col min="2824" max="2824" width="10.83203125" style="19" customWidth="1"/>
    <col min="2825" max="2825" width="13.1640625" style="19" customWidth="1"/>
    <col min="2826" max="2826" width="11.33203125" style="19" customWidth="1"/>
    <col min="2827" max="2828" width="12.33203125" style="19" customWidth="1"/>
    <col min="2829" max="2829" width="13.1640625" style="19" customWidth="1"/>
    <col min="2830" max="2830" width="18.33203125" style="19" customWidth="1"/>
    <col min="2831" max="2831" width="7.33203125" style="19" customWidth="1"/>
    <col min="2832" max="3070" width="9.33203125" style="19"/>
    <col min="3071" max="3072" width="5.33203125" style="19" customWidth="1"/>
    <col min="3073" max="3073" width="40.83203125" style="19" customWidth="1"/>
    <col min="3074" max="3074" width="9.83203125" style="19" customWidth="1"/>
    <col min="3075" max="3075" width="13" style="19" customWidth="1"/>
    <col min="3076" max="3076" width="13.1640625" style="19" customWidth="1"/>
    <col min="3077" max="3077" width="12.33203125" style="19" customWidth="1"/>
    <col min="3078" max="3078" width="11.33203125" style="19" customWidth="1"/>
    <col min="3079" max="3079" width="11.83203125" style="19" customWidth="1"/>
    <col min="3080" max="3080" width="10.83203125" style="19" customWidth="1"/>
    <col min="3081" max="3081" width="13.1640625" style="19" customWidth="1"/>
    <col min="3082" max="3082" width="11.33203125" style="19" customWidth="1"/>
    <col min="3083" max="3084" width="12.33203125" style="19" customWidth="1"/>
    <col min="3085" max="3085" width="13.1640625" style="19" customWidth="1"/>
    <col min="3086" max="3086" width="18.33203125" style="19" customWidth="1"/>
    <col min="3087" max="3087" width="7.33203125" style="19" customWidth="1"/>
    <col min="3088" max="3326" width="9.33203125" style="19"/>
    <col min="3327" max="3328" width="5.33203125" style="19" customWidth="1"/>
    <col min="3329" max="3329" width="40.83203125" style="19" customWidth="1"/>
    <col min="3330" max="3330" width="9.83203125" style="19" customWidth="1"/>
    <col min="3331" max="3331" width="13" style="19" customWidth="1"/>
    <col min="3332" max="3332" width="13.1640625" style="19" customWidth="1"/>
    <col min="3333" max="3333" width="12.33203125" style="19" customWidth="1"/>
    <col min="3334" max="3334" width="11.33203125" style="19" customWidth="1"/>
    <col min="3335" max="3335" width="11.83203125" style="19" customWidth="1"/>
    <col min="3336" max="3336" width="10.83203125" style="19" customWidth="1"/>
    <col min="3337" max="3337" width="13.1640625" style="19" customWidth="1"/>
    <col min="3338" max="3338" width="11.33203125" style="19" customWidth="1"/>
    <col min="3339" max="3340" width="12.33203125" style="19" customWidth="1"/>
    <col min="3341" max="3341" width="13.1640625" style="19" customWidth="1"/>
    <col min="3342" max="3342" width="18.33203125" style="19" customWidth="1"/>
    <col min="3343" max="3343" width="7.33203125" style="19" customWidth="1"/>
    <col min="3344" max="3582" width="9.33203125" style="19"/>
    <col min="3583" max="3584" width="5.33203125" style="19" customWidth="1"/>
    <col min="3585" max="3585" width="40.83203125" style="19" customWidth="1"/>
    <col min="3586" max="3586" width="9.83203125" style="19" customWidth="1"/>
    <col min="3587" max="3587" width="13" style="19" customWidth="1"/>
    <col min="3588" max="3588" width="13.1640625" style="19" customWidth="1"/>
    <col min="3589" max="3589" width="12.33203125" style="19" customWidth="1"/>
    <col min="3590" max="3590" width="11.33203125" style="19" customWidth="1"/>
    <col min="3591" max="3591" width="11.83203125" style="19" customWidth="1"/>
    <col min="3592" max="3592" width="10.83203125" style="19" customWidth="1"/>
    <col min="3593" max="3593" width="13.1640625" style="19" customWidth="1"/>
    <col min="3594" max="3594" width="11.33203125" style="19" customWidth="1"/>
    <col min="3595" max="3596" width="12.33203125" style="19" customWidth="1"/>
    <col min="3597" max="3597" width="13.1640625" style="19" customWidth="1"/>
    <col min="3598" max="3598" width="18.33203125" style="19" customWidth="1"/>
    <col min="3599" max="3599" width="7.33203125" style="19" customWidth="1"/>
    <col min="3600" max="3838" width="9.33203125" style="19"/>
    <col min="3839" max="3840" width="5.33203125" style="19" customWidth="1"/>
    <col min="3841" max="3841" width="40.83203125" style="19" customWidth="1"/>
    <col min="3842" max="3842" width="9.83203125" style="19" customWidth="1"/>
    <col min="3843" max="3843" width="13" style="19" customWidth="1"/>
    <col min="3844" max="3844" width="13.1640625" style="19" customWidth="1"/>
    <col min="3845" max="3845" width="12.33203125" style="19" customWidth="1"/>
    <col min="3846" max="3846" width="11.33203125" style="19" customWidth="1"/>
    <col min="3847" max="3847" width="11.83203125" style="19" customWidth="1"/>
    <col min="3848" max="3848" width="10.83203125" style="19" customWidth="1"/>
    <col min="3849" max="3849" width="13.1640625" style="19" customWidth="1"/>
    <col min="3850" max="3850" width="11.33203125" style="19" customWidth="1"/>
    <col min="3851" max="3852" width="12.33203125" style="19" customWidth="1"/>
    <col min="3853" max="3853" width="13.1640625" style="19" customWidth="1"/>
    <col min="3854" max="3854" width="18.33203125" style="19" customWidth="1"/>
    <col min="3855" max="3855" width="7.33203125" style="19" customWidth="1"/>
    <col min="3856" max="4094" width="9.33203125" style="19"/>
    <col min="4095" max="4096" width="5.33203125" style="19" customWidth="1"/>
    <col min="4097" max="4097" width="40.83203125" style="19" customWidth="1"/>
    <col min="4098" max="4098" width="9.83203125" style="19" customWidth="1"/>
    <col min="4099" max="4099" width="13" style="19" customWidth="1"/>
    <col min="4100" max="4100" width="13.1640625" style="19" customWidth="1"/>
    <col min="4101" max="4101" width="12.33203125" style="19" customWidth="1"/>
    <col min="4102" max="4102" width="11.33203125" style="19" customWidth="1"/>
    <col min="4103" max="4103" width="11.83203125" style="19" customWidth="1"/>
    <col min="4104" max="4104" width="10.83203125" style="19" customWidth="1"/>
    <col min="4105" max="4105" width="13.1640625" style="19" customWidth="1"/>
    <col min="4106" max="4106" width="11.33203125" style="19" customWidth="1"/>
    <col min="4107" max="4108" width="12.33203125" style="19" customWidth="1"/>
    <col min="4109" max="4109" width="13.1640625" style="19" customWidth="1"/>
    <col min="4110" max="4110" width="18.33203125" style="19" customWidth="1"/>
    <col min="4111" max="4111" width="7.33203125" style="19" customWidth="1"/>
    <col min="4112" max="4350" width="9.33203125" style="19"/>
    <col min="4351" max="4352" width="5.33203125" style="19" customWidth="1"/>
    <col min="4353" max="4353" width="40.83203125" style="19" customWidth="1"/>
    <col min="4354" max="4354" width="9.83203125" style="19" customWidth="1"/>
    <col min="4355" max="4355" width="13" style="19" customWidth="1"/>
    <col min="4356" max="4356" width="13.1640625" style="19" customWidth="1"/>
    <col min="4357" max="4357" width="12.33203125" style="19" customWidth="1"/>
    <col min="4358" max="4358" width="11.33203125" style="19" customWidth="1"/>
    <col min="4359" max="4359" width="11.83203125" style="19" customWidth="1"/>
    <col min="4360" max="4360" width="10.83203125" style="19" customWidth="1"/>
    <col min="4361" max="4361" width="13.1640625" style="19" customWidth="1"/>
    <col min="4362" max="4362" width="11.33203125" style="19" customWidth="1"/>
    <col min="4363" max="4364" width="12.33203125" style="19" customWidth="1"/>
    <col min="4365" max="4365" width="13.1640625" style="19" customWidth="1"/>
    <col min="4366" max="4366" width="18.33203125" style="19" customWidth="1"/>
    <col min="4367" max="4367" width="7.33203125" style="19" customWidth="1"/>
    <col min="4368" max="4606" width="9.33203125" style="19"/>
    <col min="4607" max="4608" width="5.33203125" style="19" customWidth="1"/>
    <col min="4609" max="4609" width="40.83203125" style="19" customWidth="1"/>
    <col min="4610" max="4610" width="9.83203125" style="19" customWidth="1"/>
    <col min="4611" max="4611" width="13" style="19" customWidth="1"/>
    <col min="4612" max="4612" width="13.1640625" style="19" customWidth="1"/>
    <col min="4613" max="4613" width="12.33203125" style="19" customWidth="1"/>
    <col min="4614" max="4614" width="11.33203125" style="19" customWidth="1"/>
    <col min="4615" max="4615" width="11.83203125" style="19" customWidth="1"/>
    <col min="4616" max="4616" width="10.83203125" style="19" customWidth="1"/>
    <col min="4617" max="4617" width="13.1640625" style="19" customWidth="1"/>
    <col min="4618" max="4618" width="11.33203125" style="19" customWidth="1"/>
    <col min="4619" max="4620" width="12.33203125" style="19" customWidth="1"/>
    <col min="4621" max="4621" width="13.1640625" style="19" customWidth="1"/>
    <col min="4622" max="4622" width="18.33203125" style="19" customWidth="1"/>
    <col min="4623" max="4623" width="7.33203125" style="19" customWidth="1"/>
    <col min="4624" max="4862" width="9.33203125" style="19"/>
    <col min="4863" max="4864" width="5.33203125" style="19" customWidth="1"/>
    <col min="4865" max="4865" width="40.83203125" style="19" customWidth="1"/>
    <col min="4866" max="4866" width="9.83203125" style="19" customWidth="1"/>
    <col min="4867" max="4867" width="13" style="19" customWidth="1"/>
    <col min="4868" max="4868" width="13.1640625" style="19" customWidth="1"/>
    <col min="4869" max="4869" width="12.33203125" style="19" customWidth="1"/>
    <col min="4870" max="4870" width="11.33203125" style="19" customWidth="1"/>
    <col min="4871" max="4871" width="11.83203125" style="19" customWidth="1"/>
    <col min="4872" max="4872" width="10.83203125" style="19" customWidth="1"/>
    <col min="4873" max="4873" width="13.1640625" style="19" customWidth="1"/>
    <col min="4874" max="4874" width="11.33203125" style="19" customWidth="1"/>
    <col min="4875" max="4876" width="12.33203125" style="19" customWidth="1"/>
    <col min="4877" max="4877" width="13.1640625" style="19" customWidth="1"/>
    <col min="4878" max="4878" width="18.33203125" style="19" customWidth="1"/>
    <col min="4879" max="4879" width="7.33203125" style="19" customWidth="1"/>
    <col min="4880" max="5118" width="9.33203125" style="19"/>
    <col min="5119" max="5120" width="5.33203125" style="19" customWidth="1"/>
    <col min="5121" max="5121" width="40.83203125" style="19" customWidth="1"/>
    <col min="5122" max="5122" width="9.83203125" style="19" customWidth="1"/>
    <col min="5123" max="5123" width="13" style="19" customWidth="1"/>
    <col min="5124" max="5124" width="13.1640625" style="19" customWidth="1"/>
    <col min="5125" max="5125" width="12.33203125" style="19" customWidth="1"/>
    <col min="5126" max="5126" width="11.33203125" style="19" customWidth="1"/>
    <col min="5127" max="5127" width="11.83203125" style="19" customWidth="1"/>
    <col min="5128" max="5128" width="10.83203125" style="19" customWidth="1"/>
    <col min="5129" max="5129" width="13.1640625" style="19" customWidth="1"/>
    <col min="5130" max="5130" width="11.33203125" style="19" customWidth="1"/>
    <col min="5131" max="5132" width="12.33203125" style="19" customWidth="1"/>
    <col min="5133" max="5133" width="13.1640625" style="19" customWidth="1"/>
    <col min="5134" max="5134" width="18.33203125" style="19" customWidth="1"/>
    <col min="5135" max="5135" width="7.33203125" style="19" customWidth="1"/>
    <col min="5136" max="5374" width="9.33203125" style="19"/>
    <col min="5375" max="5376" width="5.33203125" style="19" customWidth="1"/>
    <col min="5377" max="5377" width="40.83203125" style="19" customWidth="1"/>
    <col min="5378" max="5378" width="9.83203125" style="19" customWidth="1"/>
    <col min="5379" max="5379" width="13" style="19" customWidth="1"/>
    <col min="5380" max="5380" width="13.1640625" style="19" customWidth="1"/>
    <col min="5381" max="5381" width="12.33203125" style="19" customWidth="1"/>
    <col min="5382" max="5382" width="11.33203125" style="19" customWidth="1"/>
    <col min="5383" max="5383" width="11.83203125" style="19" customWidth="1"/>
    <col min="5384" max="5384" width="10.83203125" style="19" customWidth="1"/>
    <col min="5385" max="5385" width="13.1640625" style="19" customWidth="1"/>
    <col min="5386" max="5386" width="11.33203125" style="19" customWidth="1"/>
    <col min="5387" max="5388" width="12.33203125" style="19" customWidth="1"/>
    <col min="5389" max="5389" width="13.1640625" style="19" customWidth="1"/>
    <col min="5390" max="5390" width="18.33203125" style="19" customWidth="1"/>
    <col min="5391" max="5391" width="7.33203125" style="19" customWidth="1"/>
    <col min="5392" max="5630" width="9.33203125" style="19"/>
    <col min="5631" max="5632" width="5.33203125" style="19" customWidth="1"/>
    <col min="5633" max="5633" width="40.83203125" style="19" customWidth="1"/>
    <col min="5634" max="5634" width="9.83203125" style="19" customWidth="1"/>
    <col min="5635" max="5635" width="13" style="19" customWidth="1"/>
    <col min="5636" max="5636" width="13.1640625" style="19" customWidth="1"/>
    <col min="5637" max="5637" width="12.33203125" style="19" customWidth="1"/>
    <col min="5638" max="5638" width="11.33203125" style="19" customWidth="1"/>
    <col min="5639" max="5639" width="11.83203125" style="19" customWidth="1"/>
    <col min="5640" max="5640" width="10.83203125" style="19" customWidth="1"/>
    <col min="5641" max="5641" width="13.1640625" style="19" customWidth="1"/>
    <col min="5642" max="5642" width="11.33203125" style="19" customWidth="1"/>
    <col min="5643" max="5644" width="12.33203125" style="19" customWidth="1"/>
    <col min="5645" max="5645" width="13.1640625" style="19" customWidth="1"/>
    <col min="5646" max="5646" width="18.33203125" style="19" customWidth="1"/>
    <col min="5647" max="5647" width="7.33203125" style="19" customWidth="1"/>
    <col min="5648" max="5886" width="9.33203125" style="19"/>
    <col min="5887" max="5888" width="5.33203125" style="19" customWidth="1"/>
    <col min="5889" max="5889" width="40.83203125" style="19" customWidth="1"/>
    <col min="5890" max="5890" width="9.83203125" style="19" customWidth="1"/>
    <col min="5891" max="5891" width="13" style="19" customWidth="1"/>
    <col min="5892" max="5892" width="13.1640625" style="19" customWidth="1"/>
    <col min="5893" max="5893" width="12.33203125" style="19" customWidth="1"/>
    <col min="5894" max="5894" width="11.33203125" style="19" customWidth="1"/>
    <col min="5895" max="5895" width="11.83203125" style="19" customWidth="1"/>
    <col min="5896" max="5896" width="10.83203125" style="19" customWidth="1"/>
    <col min="5897" max="5897" width="13.1640625" style="19" customWidth="1"/>
    <col min="5898" max="5898" width="11.33203125" style="19" customWidth="1"/>
    <col min="5899" max="5900" width="12.33203125" style="19" customWidth="1"/>
    <col min="5901" max="5901" width="13.1640625" style="19" customWidth="1"/>
    <col min="5902" max="5902" width="18.33203125" style="19" customWidth="1"/>
    <col min="5903" max="5903" width="7.33203125" style="19" customWidth="1"/>
    <col min="5904" max="6142" width="9.33203125" style="19"/>
    <col min="6143" max="6144" width="5.33203125" style="19" customWidth="1"/>
    <col min="6145" max="6145" width="40.83203125" style="19" customWidth="1"/>
    <col min="6146" max="6146" width="9.83203125" style="19" customWidth="1"/>
    <col min="6147" max="6147" width="13" style="19" customWidth="1"/>
    <col min="6148" max="6148" width="13.1640625" style="19" customWidth="1"/>
    <col min="6149" max="6149" width="12.33203125" style="19" customWidth="1"/>
    <col min="6150" max="6150" width="11.33203125" style="19" customWidth="1"/>
    <col min="6151" max="6151" width="11.83203125" style="19" customWidth="1"/>
    <col min="6152" max="6152" width="10.83203125" style="19" customWidth="1"/>
    <col min="6153" max="6153" width="13.1640625" style="19" customWidth="1"/>
    <col min="6154" max="6154" width="11.33203125" style="19" customWidth="1"/>
    <col min="6155" max="6156" width="12.33203125" style="19" customWidth="1"/>
    <col min="6157" max="6157" width="13.1640625" style="19" customWidth="1"/>
    <col min="6158" max="6158" width="18.33203125" style="19" customWidth="1"/>
    <col min="6159" max="6159" width="7.33203125" style="19" customWidth="1"/>
    <col min="6160" max="6398" width="9.33203125" style="19"/>
    <col min="6399" max="6400" width="5.33203125" style="19" customWidth="1"/>
    <col min="6401" max="6401" width="40.83203125" style="19" customWidth="1"/>
    <col min="6402" max="6402" width="9.83203125" style="19" customWidth="1"/>
    <col min="6403" max="6403" width="13" style="19" customWidth="1"/>
    <col min="6404" max="6404" width="13.1640625" style="19" customWidth="1"/>
    <col min="6405" max="6405" width="12.33203125" style="19" customWidth="1"/>
    <col min="6406" max="6406" width="11.33203125" style="19" customWidth="1"/>
    <col min="6407" max="6407" width="11.83203125" style="19" customWidth="1"/>
    <col min="6408" max="6408" width="10.83203125" style="19" customWidth="1"/>
    <col min="6409" max="6409" width="13.1640625" style="19" customWidth="1"/>
    <col min="6410" max="6410" width="11.33203125" style="19" customWidth="1"/>
    <col min="6411" max="6412" width="12.33203125" style="19" customWidth="1"/>
    <col min="6413" max="6413" width="13.1640625" style="19" customWidth="1"/>
    <col min="6414" max="6414" width="18.33203125" style="19" customWidth="1"/>
    <col min="6415" max="6415" width="7.33203125" style="19" customWidth="1"/>
    <col min="6416" max="6654" width="9.33203125" style="19"/>
    <col min="6655" max="6656" width="5.33203125" style="19" customWidth="1"/>
    <col min="6657" max="6657" width="40.83203125" style="19" customWidth="1"/>
    <col min="6658" max="6658" width="9.83203125" style="19" customWidth="1"/>
    <col min="6659" max="6659" width="13" style="19" customWidth="1"/>
    <col min="6660" max="6660" width="13.1640625" style="19" customWidth="1"/>
    <col min="6661" max="6661" width="12.33203125" style="19" customWidth="1"/>
    <col min="6662" max="6662" width="11.33203125" style="19" customWidth="1"/>
    <col min="6663" max="6663" width="11.83203125" style="19" customWidth="1"/>
    <col min="6664" max="6664" width="10.83203125" style="19" customWidth="1"/>
    <col min="6665" max="6665" width="13.1640625" style="19" customWidth="1"/>
    <col min="6666" max="6666" width="11.33203125" style="19" customWidth="1"/>
    <col min="6667" max="6668" width="12.33203125" style="19" customWidth="1"/>
    <col min="6669" max="6669" width="13.1640625" style="19" customWidth="1"/>
    <col min="6670" max="6670" width="18.33203125" style="19" customWidth="1"/>
    <col min="6671" max="6671" width="7.33203125" style="19" customWidth="1"/>
    <col min="6672" max="6910" width="9.33203125" style="19"/>
    <col min="6911" max="6912" width="5.33203125" style="19" customWidth="1"/>
    <col min="6913" max="6913" width="40.83203125" style="19" customWidth="1"/>
    <col min="6914" max="6914" width="9.83203125" style="19" customWidth="1"/>
    <col min="6915" max="6915" width="13" style="19" customWidth="1"/>
    <col min="6916" max="6916" width="13.1640625" style="19" customWidth="1"/>
    <col min="6917" max="6917" width="12.33203125" style="19" customWidth="1"/>
    <col min="6918" max="6918" width="11.33203125" style="19" customWidth="1"/>
    <col min="6919" max="6919" width="11.83203125" style="19" customWidth="1"/>
    <col min="6920" max="6920" width="10.83203125" style="19" customWidth="1"/>
    <col min="6921" max="6921" width="13.1640625" style="19" customWidth="1"/>
    <col min="6922" max="6922" width="11.33203125" style="19" customWidth="1"/>
    <col min="6923" max="6924" width="12.33203125" style="19" customWidth="1"/>
    <col min="6925" max="6925" width="13.1640625" style="19" customWidth="1"/>
    <col min="6926" max="6926" width="18.33203125" style="19" customWidth="1"/>
    <col min="6927" max="6927" width="7.33203125" style="19" customWidth="1"/>
    <col min="6928" max="7166" width="9.33203125" style="19"/>
    <col min="7167" max="7168" width="5.33203125" style="19" customWidth="1"/>
    <col min="7169" max="7169" width="40.83203125" style="19" customWidth="1"/>
    <col min="7170" max="7170" width="9.83203125" style="19" customWidth="1"/>
    <col min="7171" max="7171" width="13" style="19" customWidth="1"/>
    <col min="7172" max="7172" width="13.1640625" style="19" customWidth="1"/>
    <col min="7173" max="7173" width="12.33203125" style="19" customWidth="1"/>
    <col min="7174" max="7174" width="11.33203125" style="19" customWidth="1"/>
    <col min="7175" max="7175" width="11.83203125" style="19" customWidth="1"/>
    <col min="7176" max="7176" width="10.83203125" style="19" customWidth="1"/>
    <col min="7177" max="7177" width="13.1640625" style="19" customWidth="1"/>
    <col min="7178" max="7178" width="11.33203125" style="19" customWidth="1"/>
    <col min="7179" max="7180" width="12.33203125" style="19" customWidth="1"/>
    <col min="7181" max="7181" width="13.1640625" style="19" customWidth="1"/>
    <col min="7182" max="7182" width="18.33203125" style="19" customWidth="1"/>
    <col min="7183" max="7183" width="7.33203125" style="19" customWidth="1"/>
    <col min="7184" max="7422" width="9.33203125" style="19"/>
    <col min="7423" max="7424" width="5.33203125" style="19" customWidth="1"/>
    <col min="7425" max="7425" width="40.83203125" style="19" customWidth="1"/>
    <col min="7426" max="7426" width="9.83203125" style="19" customWidth="1"/>
    <col min="7427" max="7427" width="13" style="19" customWidth="1"/>
    <col min="7428" max="7428" width="13.1640625" style="19" customWidth="1"/>
    <col min="7429" max="7429" width="12.33203125" style="19" customWidth="1"/>
    <col min="7430" max="7430" width="11.33203125" style="19" customWidth="1"/>
    <col min="7431" max="7431" width="11.83203125" style="19" customWidth="1"/>
    <col min="7432" max="7432" width="10.83203125" style="19" customWidth="1"/>
    <col min="7433" max="7433" width="13.1640625" style="19" customWidth="1"/>
    <col min="7434" max="7434" width="11.33203125" style="19" customWidth="1"/>
    <col min="7435" max="7436" width="12.33203125" style="19" customWidth="1"/>
    <col min="7437" max="7437" width="13.1640625" style="19" customWidth="1"/>
    <col min="7438" max="7438" width="18.33203125" style="19" customWidth="1"/>
    <col min="7439" max="7439" width="7.33203125" style="19" customWidth="1"/>
    <col min="7440" max="7678" width="9.33203125" style="19"/>
    <col min="7679" max="7680" width="5.33203125" style="19" customWidth="1"/>
    <col min="7681" max="7681" width="40.83203125" style="19" customWidth="1"/>
    <col min="7682" max="7682" width="9.83203125" style="19" customWidth="1"/>
    <col min="7683" max="7683" width="13" style="19" customWidth="1"/>
    <col min="7684" max="7684" width="13.1640625" style="19" customWidth="1"/>
    <col min="7685" max="7685" width="12.33203125" style="19" customWidth="1"/>
    <col min="7686" max="7686" width="11.33203125" style="19" customWidth="1"/>
    <col min="7687" max="7687" width="11.83203125" style="19" customWidth="1"/>
    <col min="7688" max="7688" width="10.83203125" style="19" customWidth="1"/>
    <col min="7689" max="7689" width="13.1640625" style="19" customWidth="1"/>
    <col min="7690" max="7690" width="11.33203125" style="19" customWidth="1"/>
    <col min="7691" max="7692" width="12.33203125" style="19" customWidth="1"/>
    <col min="7693" max="7693" width="13.1640625" style="19" customWidth="1"/>
    <col min="7694" max="7694" width="18.33203125" style="19" customWidth="1"/>
    <col min="7695" max="7695" width="7.33203125" style="19" customWidth="1"/>
    <col min="7696" max="7934" width="9.33203125" style="19"/>
    <col min="7935" max="7936" width="5.33203125" style="19" customWidth="1"/>
    <col min="7937" max="7937" width="40.83203125" style="19" customWidth="1"/>
    <col min="7938" max="7938" width="9.83203125" style="19" customWidth="1"/>
    <col min="7939" max="7939" width="13" style="19" customWidth="1"/>
    <col min="7940" max="7940" width="13.1640625" style="19" customWidth="1"/>
    <col min="7941" max="7941" width="12.33203125" style="19" customWidth="1"/>
    <col min="7942" max="7942" width="11.33203125" style="19" customWidth="1"/>
    <col min="7943" max="7943" width="11.83203125" style="19" customWidth="1"/>
    <col min="7944" max="7944" width="10.83203125" style="19" customWidth="1"/>
    <col min="7945" max="7945" width="13.1640625" style="19" customWidth="1"/>
    <col min="7946" max="7946" width="11.33203125" style="19" customWidth="1"/>
    <col min="7947" max="7948" width="12.33203125" style="19" customWidth="1"/>
    <col min="7949" max="7949" width="13.1640625" style="19" customWidth="1"/>
    <col min="7950" max="7950" width="18.33203125" style="19" customWidth="1"/>
    <col min="7951" max="7951" width="7.33203125" style="19" customWidth="1"/>
    <col min="7952" max="8190" width="9.33203125" style="19"/>
    <col min="8191" max="8192" width="5.33203125" style="19" customWidth="1"/>
    <col min="8193" max="8193" width="40.83203125" style="19" customWidth="1"/>
    <col min="8194" max="8194" width="9.83203125" style="19" customWidth="1"/>
    <col min="8195" max="8195" width="13" style="19" customWidth="1"/>
    <col min="8196" max="8196" width="13.1640625" style="19" customWidth="1"/>
    <col min="8197" max="8197" width="12.33203125" style="19" customWidth="1"/>
    <col min="8198" max="8198" width="11.33203125" style="19" customWidth="1"/>
    <col min="8199" max="8199" width="11.83203125" style="19" customWidth="1"/>
    <col min="8200" max="8200" width="10.83203125" style="19" customWidth="1"/>
    <col min="8201" max="8201" width="13.1640625" style="19" customWidth="1"/>
    <col min="8202" max="8202" width="11.33203125" style="19" customWidth="1"/>
    <col min="8203" max="8204" width="12.33203125" style="19" customWidth="1"/>
    <col min="8205" max="8205" width="13.1640625" style="19" customWidth="1"/>
    <col min="8206" max="8206" width="18.33203125" style="19" customWidth="1"/>
    <col min="8207" max="8207" width="7.33203125" style="19" customWidth="1"/>
    <col min="8208" max="8446" width="9.33203125" style="19"/>
    <col min="8447" max="8448" width="5.33203125" style="19" customWidth="1"/>
    <col min="8449" max="8449" width="40.83203125" style="19" customWidth="1"/>
    <col min="8450" max="8450" width="9.83203125" style="19" customWidth="1"/>
    <col min="8451" max="8451" width="13" style="19" customWidth="1"/>
    <col min="8452" max="8452" width="13.1640625" style="19" customWidth="1"/>
    <col min="8453" max="8453" width="12.33203125" style="19" customWidth="1"/>
    <col min="8454" max="8454" width="11.33203125" style="19" customWidth="1"/>
    <col min="8455" max="8455" width="11.83203125" style="19" customWidth="1"/>
    <col min="8456" max="8456" width="10.83203125" style="19" customWidth="1"/>
    <col min="8457" max="8457" width="13.1640625" style="19" customWidth="1"/>
    <col min="8458" max="8458" width="11.33203125" style="19" customWidth="1"/>
    <col min="8459" max="8460" width="12.33203125" style="19" customWidth="1"/>
    <col min="8461" max="8461" width="13.1640625" style="19" customWidth="1"/>
    <col min="8462" max="8462" width="18.33203125" style="19" customWidth="1"/>
    <col min="8463" max="8463" width="7.33203125" style="19" customWidth="1"/>
    <col min="8464" max="8702" width="9.33203125" style="19"/>
    <col min="8703" max="8704" width="5.33203125" style="19" customWidth="1"/>
    <col min="8705" max="8705" width="40.83203125" style="19" customWidth="1"/>
    <col min="8706" max="8706" width="9.83203125" style="19" customWidth="1"/>
    <col min="8707" max="8707" width="13" style="19" customWidth="1"/>
    <col min="8708" max="8708" width="13.1640625" style="19" customWidth="1"/>
    <col min="8709" max="8709" width="12.33203125" style="19" customWidth="1"/>
    <col min="8710" max="8710" width="11.33203125" style="19" customWidth="1"/>
    <col min="8711" max="8711" width="11.83203125" style="19" customWidth="1"/>
    <col min="8712" max="8712" width="10.83203125" style="19" customWidth="1"/>
    <col min="8713" max="8713" width="13.1640625" style="19" customWidth="1"/>
    <col min="8714" max="8714" width="11.33203125" style="19" customWidth="1"/>
    <col min="8715" max="8716" width="12.33203125" style="19" customWidth="1"/>
    <col min="8717" max="8717" width="13.1640625" style="19" customWidth="1"/>
    <col min="8718" max="8718" width="18.33203125" style="19" customWidth="1"/>
    <col min="8719" max="8719" width="7.33203125" style="19" customWidth="1"/>
    <col min="8720" max="8958" width="9.33203125" style="19"/>
    <col min="8959" max="8960" width="5.33203125" style="19" customWidth="1"/>
    <col min="8961" max="8961" width="40.83203125" style="19" customWidth="1"/>
    <col min="8962" max="8962" width="9.83203125" style="19" customWidth="1"/>
    <col min="8963" max="8963" width="13" style="19" customWidth="1"/>
    <col min="8964" max="8964" width="13.1640625" style="19" customWidth="1"/>
    <col min="8965" max="8965" width="12.33203125" style="19" customWidth="1"/>
    <col min="8966" max="8966" width="11.33203125" style="19" customWidth="1"/>
    <col min="8967" max="8967" width="11.83203125" style="19" customWidth="1"/>
    <col min="8968" max="8968" width="10.83203125" style="19" customWidth="1"/>
    <col min="8969" max="8969" width="13.1640625" style="19" customWidth="1"/>
    <col min="8970" max="8970" width="11.33203125" style="19" customWidth="1"/>
    <col min="8971" max="8972" width="12.33203125" style="19" customWidth="1"/>
    <col min="8973" max="8973" width="13.1640625" style="19" customWidth="1"/>
    <col min="8974" max="8974" width="18.33203125" style="19" customWidth="1"/>
    <col min="8975" max="8975" width="7.33203125" style="19" customWidth="1"/>
    <col min="8976" max="9214" width="9.33203125" style="19"/>
    <col min="9215" max="9216" width="5.33203125" style="19" customWidth="1"/>
    <col min="9217" max="9217" width="40.83203125" style="19" customWidth="1"/>
    <col min="9218" max="9218" width="9.83203125" style="19" customWidth="1"/>
    <col min="9219" max="9219" width="13" style="19" customWidth="1"/>
    <col min="9220" max="9220" width="13.1640625" style="19" customWidth="1"/>
    <col min="9221" max="9221" width="12.33203125" style="19" customWidth="1"/>
    <col min="9222" max="9222" width="11.33203125" style="19" customWidth="1"/>
    <col min="9223" max="9223" width="11.83203125" style="19" customWidth="1"/>
    <col min="9224" max="9224" width="10.83203125" style="19" customWidth="1"/>
    <col min="9225" max="9225" width="13.1640625" style="19" customWidth="1"/>
    <col min="9226" max="9226" width="11.33203125" style="19" customWidth="1"/>
    <col min="9227" max="9228" width="12.33203125" style="19" customWidth="1"/>
    <col min="9229" max="9229" width="13.1640625" style="19" customWidth="1"/>
    <col min="9230" max="9230" width="18.33203125" style="19" customWidth="1"/>
    <col min="9231" max="9231" width="7.33203125" style="19" customWidth="1"/>
    <col min="9232" max="9470" width="9.33203125" style="19"/>
    <col min="9471" max="9472" width="5.33203125" style="19" customWidth="1"/>
    <col min="9473" max="9473" width="40.83203125" style="19" customWidth="1"/>
    <col min="9474" max="9474" width="9.83203125" style="19" customWidth="1"/>
    <col min="9475" max="9475" width="13" style="19" customWidth="1"/>
    <col min="9476" max="9476" width="13.1640625" style="19" customWidth="1"/>
    <col min="9477" max="9477" width="12.33203125" style="19" customWidth="1"/>
    <col min="9478" max="9478" width="11.33203125" style="19" customWidth="1"/>
    <col min="9479" max="9479" width="11.83203125" style="19" customWidth="1"/>
    <col min="9480" max="9480" width="10.83203125" style="19" customWidth="1"/>
    <col min="9481" max="9481" width="13.1640625" style="19" customWidth="1"/>
    <col min="9482" max="9482" width="11.33203125" style="19" customWidth="1"/>
    <col min="9483" max="9484" width="12.33203125" style="19" customWidth="1"/>
    <col min="9485" max="9485" width="13.1640625" style="19" customWidth="1"/>
    <col min="9486" max="9486" width="18.33203125" style="19" customWidth="1"/>
    <col min="9487" max="9487" width="7.33203125" style="19" customWidth="1"/>
    <col min="9488" max="9726" width="9.33203125" style="19"/>
    <col min="9727" max="9728" width="5.33203125" style="19" customWidth="1"/>
    <col min="9729" max="9729" width="40.83203125" style="19" customWidth="1"/>
    <col min="9730" max="9730" width="9.83203125" style="19" customWidth="1"/>
    <col min="9731" max="9731" width="13" style="19" customWidth="1"/>
    <col min="9732" max="9732" width="13.1640625" style="19" customWidth="1"/>
    <col min="9733" max="9733" width="12.33203125" style="19" customWidth="1"/>
    <col min="9734" max="9734" width="11.33203125" style="19" customWidth="1"/>
    <col min="9735" max="9735" width="11.83203125" style="19" customWidth="1"/>
    <col min="9736" max="9736" width="10.83203125" style="19" customWidth="1"/>
    <col min="9737" max="9737" width="13.1640625" style="19" customWidth="1"/>
    <col min="9738" max="9738" width="11.33203125" style="19" customWidth="1"/>
    <col min="9739" max="9740" width="12.33203125" style="19" customWidth="1"/>
    <col min="9741" max="9741" width="13.1640625" style="19" customWidth="1"/>
    <col min="9742" max="9742" width="18.33203125" style="19" customWidth="1"/>
    <col min="9743" max="9743" width="7.33203125" style="19" customWidth="1"/>
    <col min="9744" max="9982" width="9.33203125" style="19"/>
    <col min="9983" max="9984" width="5.33203125" style="19" customWidth="1"/>
    <col min="9985" max="9985" width="40.83203125" style="19" customWidth="1"/>
    <col min="9986" max="9986" width="9.83203125" style="19" customWidth="1"/>
    <col min="9987" max="9987" width="13" style="19" customWidth="1"/>
    <col min="9988" max="9988" width="13.1640625" style="19" customWidth="1"/>
    <col min="9989" max="9989" width="12.33203125" style="19" customWidth="1"/>
    <col min="9990" max="9990" width="11.33203125" style="19" customWidth="1"/>
    <col min="9991" max="9991" width="11.83203125" style="19" customWidth="1"/>
    <col min="9992" max="9992" width="10.83203125" style="19" customWidth="1"/>
    <col min="9993" max="9993" width="13.1640625" style="19" customWidth="1"/>
    <col min="9994" max="9994" width="11.33203125" style="19" customWidth="1"/>
    <col min="9995" max="9996" width="12.33203125" style="19" customWidth="1"/>
    <col min="9997" max="9997" width="13.1640625" style="19" customWidth="1"/>
    <col min="9998" max="9998" width="18.33203125" style="19" customWidth="1"/>
    <col min="9999" max="9999" width="7.33203125" style="19" customWidth="1"/>
    <col min="10000" max="10238" width="9.33203125" style="19"/>
    <col min="10239" max="10240" width="5.33203125" style="19" customWidth="1"/>
    <col min="10241" max="10241" width="40.83203125" style="19" customWidth="1"/>
    <col min="10242" max="10242" width="9.83203125" style="19" customWidth="1"/>
    <col min="10243" max="10243" width="13" style="19" customWidth="1"/>
    <col min="10244" max="10244" width="13.1640625" style="19" customWidth="1"/>
    <col min="10245" max="10245" width="12.33203125" style="19" customWidth="1"/>
    <col min="10246" max="10246" width="11.33203125" style="19" customWidth="1"/>
    <col min="10247" max="10247" width="11.83203125" style="19" customWidth="1"/>
    <col min="10248" max="10248" width="10.83203125" style="19" customWidth="1"/>
    <col min="10249" max="10249" width="13.1640625" style="19" customWidth="1"/>
    <col min="10250" max="10250" width="11.33203125" style="19" customWidth="1"/>
    <col min="10251" max="10252" width="12.33203125" style="19" customWidth="1"/>
    <col min="10253" max="10253" width="13.1640625" style="19" customWidth="1"/>
    <col min="10254" max="10254" width="18.33203125" style="19" customWidth="1"/>
    <col min="10255" max="10255" width="7.33203125" style="19" customWidth="1"/>
    <col min="10256" max="10494" width="9.33203125" style="19"/>
    <col min="10495" max="10496" width="5.33203125" style="19" customWidth="1"/>
    <col min="10497" max="10497" width="40.83203125" style="19" customWidth="1"/>
    <col min="10498" max="10498" width="9.83203125" style="19" customWidth="1"/>
    <col min="10499" max="10499" width="13" style="19" customWidth="1"/>
    <col min="10500" max="10500" width="13.1640625" style="19" customWidth="1"/>
    <col min="10501" max="10501" width="12.33203125" style="19" customWidth="1"/>
    <col min="10502" max="10502" width="11.33203125" style="19" customWidth="1"/>
    <col min="10503" max="10503" width="11.83203125" style="19" customWidth="1"/>
    <col min="10504" max="10504" width="10.83203125" style="19" customWidth="1"/>
    <col min="10505" max="10505" width="13.1640625" style="19" customWidth="1"/>
    <col min="10506" max="10506" width="11.33203125" style="19" customWidth="1"/>
    <col min="10507" max="10508" width="12.33203125" style="19" customWidth="1"/>
    <col min="10509" max="10509" width="13.1640625" style="19" customWidth="1"/>
    <col min="10510" max="10510" width="18.33203125" style="19" customWidth="1"/>
    <col min="10511" max="10511" width="7.33203125" style="19" customWidth="1"/>
    <col min="10512" max="10750" width="9.33203125" style="19"/>
    <col min="10751" max="10752" width="5.33203125" style="19" customWidth="1"/>
    <col min="10753" max="10753" width="40.83203125" style="19" customWidth="1"/>
    <col min="10754" max="10754" width="9.83203125" style="19" customWidth="1"/>
    <col min="10755" max="10755" width="13" style="19" customWidth="1"/>
    <col min="10756" max="10756" width="13.1640625" style="19" customWidth="1"/>
    <col min="10757" max="10757" width="12.33203125" style="19" customWidth="1"/>
    <col min="10758" max="10758" width="11.33203125" style="19" customWidth="1"/>
    <col min="10759" max="10759" width="11.83203125" style="19" customWidth="1"/>
    <col min="10760" max="10760" width="10.83203125" style="19" customWidth="1"/>
    <col min="10761" max="10761" width="13.1640625" style="19" customWidth="1"/>
    <col min="10762" max="10762" width="11.33203125" style="19" customWidth="1"/>
    <col min="10763" max="10764" width="12.33203125" style="19" customWidth="1"/>
    <col min="10765" max="10765" width="13.1640625" style="19" customWidth="1"/>
    <col min="10766" max="10766" width="18.33203125" style="19" customWidth="1"/>
    <col min="10767" max="10767" width="7.33203125" style="19" customWidth="1"/>
    <col min="10768" max="11006" width="9.33203125" style="19"/>
    <col min="11007" max="11008" width="5.33203125" style="19" customWidth="1"/>
    <col min="11009" max="11009" width="40.83203125" style="19" customWidth="1"/>
    <col min="11010" max="11010" width="9.83203125" style="19" customWidth="1"/>
    <col min="11011" max="11011" width="13" style="19" customWidth="1"/>
    <col min="11012" max="11012" width="13.1640625" style="19" customWidth="1"/>
    <col min="11013" max="11013" width="12.33203125" style="19" customWidth="1"/>
    <col min="11014" max="11014" width="11.33203125" style="19" customWidth="1"/>
    <col min="11015" max="11015" width="11.83203125" style="19" customWidth="1"/>
    <col min="11016" max="11016" width="10.83203125" style="19" customWidth="1"/>
    <col min="11017" max="11017" width="13.1640625" style="19" customWidth="1"/>
    <col min="11018" max="11018" width="11.33203125" style="19" customWidth="1"/>
    <col min="11019" max="11020" width="12.33203125" style="19" customWidth="1"/>
    <col min="11021" max="11021" width="13.1640625" style="19" customWidth="1"/>
    <col min="11022" max="11022" width="18.33203125" style="19" customWidth="1"/>
    <col min="11023" max="11023" width="7.33203125" style="19" customWidth="1"/>
    <col min="11024" max="11262" width="9.33203125" style="19"/>
    <col min="11263" max="11264" width="5.33203125" style="19" customWidth="1"/>
    <col min="11265" max="11265" width="40.83203125" style="19" customWidth="1"/>
    <col min="11266" max="11266" width="9.83203125" style="19" customWidth="1"/>
    <col min="11267" max="11267" width="13" style="19" customWidth="1"/>
    <col min="11268" max="11268" width="13.1640625" style="19" customWidth="1"/>
    <col min="11269" max="11269" width="12.33203125" style="19" customWidth="1"/>
    <col min="11270" max="11270" width="11.33203125" style="19" customWidth="1"/>
    <col min="11271" max="11271" width="11.83203125" style="19" customWidth="1"/>
    <col min="11272" max="11272" width="10.83203125" style="19" customWidth="1"/>
    <col min="11273" max="11273" width="13.1640625" style="19" customWidth="1"/>
    <col min="11274" max="11274" width="11.33203125" style="19" customWidth="1"/>
    <col min="11275" max="11276" width="12.33203125" style="19" customWidth="1"/>
    <col min="11277" max="11277" width="13.1640625" style="19" customWidth="1"/>
    <col min="11278" max="11278" width="18.33203125" style="19" customWidth="1"/>
    <col min="11279" max="11279" width="7.33203125" style="19" customWidth="1"/>
    <col min="11280" max="11518" width="9.33203125" style="19"/>
    <col min="11519" max="11520" width="5.33203125" style="19" customWidth="1"/>
    <col min="11521" max="11521" width="40.83203125" style="19" customWidth="1"/>
    <col min="11522" max="11522" width="9.83203125" style="19" customWidth="1"/>
    <col min="11523" max="11523" width="13" style="19" customWidth="1"/>
    <col min="11524" max="11524" width="13.1640625" style="19" customWidth="1"/>
    <col min="11525" max="11525" width="12.33203125" style="19" customWidth="1"/>
    <col min="11526" max="11526" width="11.33203125" style="19" customWidth="1"/>
    <col min="11527" max="11527" width="11.83203125" style="19" customWidth="1"/>
    <col min="11528" max="11528" width="10.83203125" style="19" customWidth="1"/>
    <col min="11529" max="11529" width="13.1640625" style="19" customWidth="1"/>
    <col min="11530" max="11530" width="11.33203125" style="19" customWidth="1"/>
    <col min="11531" max="11532" width="12.33203125" style="19" customWidth="1"/>
    <col min="11533" max="11533" width="13.1640625" style="19" customWidth="1"/>
    <col min="11534" max="11534" width="18.33203125" style="19" customWidth="1"/>
    <col min="11535" max="11535" width="7.33203125" style="19" customWidth="1"/>
    <col min="11536" max="11774" width="9.33203125" style="19"/>
    <col min="11775" max="11776" width="5.33203125" style="19" customWidth="1"/>
    <col min="11777" max="11777" width="40.83203125" style="19" customWidth="1"/>
    <col min="11778" max="11778" width="9.83203125" style="19" customWidth="1"/>
    <col min="11779" max="11779" width="13" style="19" customWidth="1"/>
    <col min="11780" max="11780" width="13.1640625" style="19" customWidth="1"/>
    <col min="11781" max="11781" width="12.33203125" style="19" customWidth="1"/>
    <col min="11782" max="11782" width="11.33203125" style="19" customWidth="1"/>
    <col min="11783" max="11783" width="11.83203125" style="19" customWidth="1"/>
    <col min="11784" max="11784" width="10.83203125" style="19" customWidth="1"/>
    <col min="11785" max="11785" width="13.1640625" style="19" customWidth="1"/>
    <col min="11786" max="11786" width="11.33203125" style="19" customWidth="1"/>
    <col min="11787" max="11788" width="12.33203125" style="19" customWidth="1"/>
    <col min="11789" max="11789" width="13.1640625" style="19" customWidth="1"/>
    <col min="11790" max="11790" width="18.33203125" style="19" customWidth="1"/>
    <col min="11791" max="11791" width="7.33203125" style="19" customWidth="1"/>
    <col min="11792" max="12030" width="9.33203125" style="19"/>
    <col min="12031" max="12032" width="5.33203125" style="19" customWidth="1"/>
    <col min="12033" max="12033" width="40.83203125" style="19" customWidth="1"/>
    <col min="12034" max="12034" width="9.83203125" style="19" customWidth="1"/>
    <col min="12035" max="12035" width="13" style="19" customWidth="1"/>
    <col min="12036" max="12036" width="13.1640625" style="19" customWidth="1"/>
    <col min="12037" max="12037" width="12.33203125" style="19" customWidth="1"/>
    <col min="12038" max="12038" width="11.33203125" style="19" customWidth="1"/>
    <col min="12039" max="12039" width="11.83203125" style="19" customWidth="1"/>
    <col min="12040" max="12040" width="10.83203125" style="19" customWidth="1"/>
    <col min="12041" max="12041" width="13.1640625" style="19" customWidth="1"/>
    <col min="12042" max="12042" width="11.33203125" style="19" customWidth="1"/>
    <col min="12043" max="12044" width="12.33203125" style="19" customWidth="1"/>
    <col min="12045" max="12045" width="13.1640625" style="19" customWidth="1"/>
    <col min="12046" max="12046" width="18.33203125" style="19" customWidth="1"/>
    <col min="12047" max="12047" width="7.33203125" style="19" customWidth="1"/>
    <col min="12048" max="12286" width="9.33203125" style="19"/>
    <col min="12287" max="12288" width="5.33203125" style="19" customWidth="1"/>
    <col min="12289" max="12289" width="40.83203125" style="19" customWidth="1"/>
    <col min="12290" max="12290" width="9.83203125" style="19" customWidth="1"/>
    <col min="12291" max="12291" width="13" style="19" customWidth="1"/>
    <col min="12292" max="12292" width="13.1640625" style="19" customWidth="1"/>
    <col min="12293" max="12293" width="12.33203125" style="19" customWidth="1"/>
    <col min="12294" max="12294" width="11.33203125" style="19" customWidth="1"/>
    <col min="12295" max="12295" width="11.83203125" style="19" customWidth="1"/>
    <col min="12296" max="12296" width="10.83203125" style="19" customWidth="1"/>
    <col min="12297" max="12297" width="13.1640625" style="19" customWidth="1"/>
    <col min="12298" max="12298" width="11.33203125" style="19" customWidth="1"/>
    <col min="12299" max="12300" width="12.33203125" style="19" customWidth="1"/>
    <col min="12301" max="12301" width="13.1640625" style="19" customWidth="1"/>
    <col min="12302" max="12302" width="18.33203125" style="19" customWidth="1"/>
    <col min="12303" max="12303" width="7.33203125" style="19" customWidth="1"/>
    <col min="12304" max="12542" width="9.33203125" style="19"/>
    <col min="12543" max="12544" width="5.33203125" style="19" customWidth="1"/>
    <col min="12545" max="12545" width="40.83203125" style="19" customWidth="1"/>
    <col min="12546" max="12546" width="9.83203125" style="19" customWidth="1"/>
    <col min="12547" max="12547" width="13" style="19" customWidth="1"/>
    <col min="12548" max="12548" width="13.1640625" style="19" customWidth="1"/>
    <col min="12549" max="12549" width="12.33203125" style="19" customWidth="1"/>
    <col min="12550" max="12550" width="11.33203125" style="19" customWidth="1"/>
    <col min="12551" max="12551" width="11.83203125" style="19" customWidth="1"/>
    <col min="12552" max="12552" width="10.83203125" style="19" customWidth="1"/>
    <col min="12553" max="12553" width="13.1640625" style="19" customWidth="1"/>
    <col min="12554" max="12554" width="11.33203125" style="19" customWidth="1"/>
    <col min="12555" max="12556" width="12.33203125" style="19" customWidth="1"/>
    <col min="12557" max="12557" width="13.1640625" style="19" customWidth="1"/>
    <col min="12558" max="12558" width="18.33203125" style="19" customWidth="1"/>
    <col min="12559" max="12559" width="7.33203125" style="19" customWidth="1"/>
    <col min="12560" max="12798" width="9.33203125" style="19"/>
    <col min="12799" max="12800" width="5.33203125" style="19" customWidth="1"/>
    <col min="12801" max="12801" width="40.83203125" style="19" customWidth="1"/>
    <col min="12802" max="12802" width="9.83203125" style="19" customWidth="1"/>
    <col min="12803" max="12803" width="13" style="19" customWidth="1"/>
    <col min="12804" max="12804" width="13.1640625" style="19" customWidth="1"/>
    <col min="12805" max="12805" width="12.33203125" style="19" customWidth="1"/>
    <col min="12806" max="12806" width="11.33203125" style="19" customWidth="1"/>
    <col min="12807" max="12807" width="11.83203125" style="19" customWidth="1"/>
    <col min="12808" max="12808" width="10.83203125" style="19" customWidth="1"/>
    <col min="12809" max="12809" width="13.1640625" style="19" customWidth="1"/>
    <col min="12810" max="12810" width="11.33203125" style="19" customWidth="1"/>
    <col min="12811" max="12812" width="12.33203125" style="19" customWidth="1"/>
    <col min="12813" max="12813" width="13.1640625" style="19" customWidth="1"/>
    <col min="12814" max="12814" width="18.33203125" style="19" customWidth="1"/>
    <col min="12815" max="12815" width="7.33203125" style="19" customWidth="1"/>
    <col min="12816" max="13054" width="9.33203125" style="19"/>
    <col min="13055" max="13056" width="5.33203125" style="19" customWidth="1"/>
    <col min="13057" max="13057" width="40.83203125" style="19" customWidth="1"/>
    <col min="13058" max="13058" width="9.83203125" style="19" customWidth="1"/>
    <col min="13059" max="13059" width="13" style="19" customWidth="1"/>
    <col min="13060" max="13060" width="13.1640625" style="19" customWidth="1"/>
    <col min="13061" max="13061" width="12.33203125" style="19" customWidth="1"/>
    <col min="13062" max="13062" width="11.33203125" style="19" customWidth="1"/>
    <col min="13063" max="13063" width="11.83203125" style="19" customWidth="1"/>
    <col min="13064" max="13064" width="10.83203125" style="19" customWidth="1"/>
    <col min="13065" max="13065" width="13.1640625" style="19" customWidth="1"/>
    <col min="13066" max="13066" width="11.33203125" style="19" customWidth="1"/>
    <col min="13067" max="13068" width="12.33203125" style="19" customWidth="1"/>
    <col min="13069" max="13069" width="13.1640625" style="19" customWidth="1"/>
    <col min="13070" max="13070" width="18.33203125" style="19" customWidth="1"/>
    <col min="13071" max="13071" width="7.33203125" style="19" customWidth="1"/>
    <col min="13072" max="13310" width="9.33203125" style="19"/>
    <col min="13311" max="13312" width="5.33203125" style="19" customWidth="1"/>
    <col min="13313" max="13313" width="40.83203125" style="19" customWidth="1"/>
    <col min="13314" max="13314" width="9.83203125" style="19" customWidth="1"/>
    <col min="13315" max="13315" width="13" style="19" customWidth="1"/>
    <col min="13316" max="13316" width="13.1640625" style="19" customWidth="1"/>
    <col min="13317" max="13317" width="12.33203125" style="19" customWidth="1"/>
    <col min="13318" max="13318" width="11.33203125" style="19" customWidth="1"/>
    <col min="13319" max="13319" width="11.83203125" style="19" customWidth="1"/>
    <col min="13320" max="13320" width="10.83203125" style="19" customWidth="1"/>
    <col min="13321" max="13321" width="13.1640625" style="19" customWidth="1"/>
    <col min="13322" max="13322" width="11.33203125" style="19" customWidth="1"/>
    <col min="13323" max="13324" width="12.33203125" style="19" customWidth="1"/>
    <col min="13325" max="13325" width="13.1640625" style="19" customWidth="1"/>
    <col min="13326" max="13326" width="18.33203125" style="19" customWidth="1"/>
    <col min="13327" max="13327" width="7.33203125" style="19" customWidth="1"/>
    <col min="13328" max="13566" width="9.33203125" style="19"/>
    <col min="13567" max="13568" width="5.33203125" style="19" customWidth="1"/>
    <col min="13569" max="13569" width="40.83203125" style="19" customWidth="1"/>
    <col min="13570" max="13570" width="9.83203125" style="19" customWidth="1"/>
    <col min="13571" max="13571" width="13" style="19" customWidth="1"/>
    <col min="13572" max="13572" width="13.1640625" style="19" customWidth="1"/>
    <col min="13573" max="13573" width="12.33203125" style="19" customWidth="1"/>
    <col min="13574" max="13574" width="11.33203125" style="19" customWidth="1"/>
    <col min="13575" max="13575" width="11.83203125" style="19" customWidth="1"/>
    <col min="13576" max="13576" width="10.83203125" style="19" customWidth="1"/>
    <col min="13577" max="13577" width="13.1640625" style="19" customWidth="1"/>
    <col min="13578" max="13578" width="11.33203125" style="19" customWidth="1"/>
    <col min="13579" max="13580" width="12.33203125" style="19" customWidth="1"/>
    <col min="13581" max="13581" width="13.1640625" style="19" customWidth="1"/>
    <col min="13582" max="13582" width="18.33203125" style="19" customWidth="1"/>
    <col min="13583" max="13583" width="7.33203125" style="19" customWidth="1"/>
    <col min="13584" max="13822" width="9.33203125" style="19"/>
    <col min="13823" max="13824" width="5.33203125" style="19" customWidth="1"/>
    <col min="13825" max="13825" width="40.83203125" style="19" customWidth="1"/>
    <col min="13826" max="13826" width="9.83203125" style="19" customWidth="1"/>
    <col min="13827" max="13827" width="13" style="19" customWidth="1"/>
    <col min="13828" max="13828" width="13.1640625" style="19" customWidth="1"/>
    <col min="13829" max="13829" width="12.33203125" style="19" customWidth="1"/>
    <col min="13830" max="13830" width="11.33203125" style="19" customWidth="1"/>
    <col min="13831" max="13831" width="11.83203125" style="19" customWidth="1"/>
    <col min="13832" max="13832" width="10.83203125" style="19" customWidth="1"/>
    <col min="13833" max="13833" width="13.1640625" style="19" customWidth="1"/>
    <col min="13834" max="13834" width="11.33203125" style="19" customWidth="1"/>
    <col min="13835" max="13836" width="12.33203125" style="19" customWidth="1"/>
    <col min="13837" max="13837" width="13.1640625" style="19" customWidth="1"/>
    <col min="13838" max="13838" width="18.33203125" style="19" customWidth="1"/>
    <col min="13839" max="13839" width="7.33203125" style="19" customWidth="1"/>
    <col min="13840" max="14078" width="9.33203125" style="19"/>
    <col min="14079" max="14080" width="5.33203125" style="19" customWidth="1"/>
    <col min="14081" max="14081" width="40.83203125" style="19" customWidth="1"/>
    <col min="14082" max="14082" width="9.83203125" style="19" customWidth="1"/>
    <col min="14083" max="14083" width="13" style="19" customWidth="1"/>
    <col min="14084" max="14084" width="13.1640625" style="19" customWidth="1"/>
    <col min="14085" max="14085" width="12.33203125" style="19" customWidth="1"/>
    <col min="14086" max="14086" width="11.33203125" style="19" customWidth="1"/>
    <col min="14087" max="14087" width="11.83203125" style="19" customWidth="1"/>
    <col min="14088" max="14088" width="10.83203125" style="19" customWidth="1"/>
    <col min="14089" max="14089" width="13.1640625" style="19" customWidth="1"/>
    <col min="14090" max="14090" width="11.33203125" style="19" customWidth="1"/>
    <col min="14091" max="14092" width="12.33203125" style="19" customWidth="1"/>
    <col min="14093" max="14093" width="13.1640625" style="19" customWidth="1"/>
    <col min="14094" max="14094" width="18.33203125" style="19" customWidth="1"/>
    <col min="14095" max="14095" width="7.33203125" style="19" customWidth="1"/>
    <col min="14096" max="14334" width="9.33203125" style="19"/>
    <col min="14335" max="14336" width="5.33203125" style="19" customWidth="1"/>
    <col min="14337" max="14337" width="40.83203125" style="19" customWidth="1"/>
    <col min="14338" max="14338" width="9.83203125" style="19" customWidth="1"/>
    <col min="14339" max="14339" width="13" style="19" customWidth="1"/>
    <col min="14340" max="14340" width="13.1640625" style="19" customWidth="1"/>
    <col min="14341" max="14341" width="12.33203125" style="19" customWidth="1"/>
    <col min="14342" max="14342" width="11.33203125" style="19" customWidth="1"/>
    <col min="14343" max="14343" width="11.83203125" style="19" customWidth="1"/>
    <col min="14344" max="14344" width="10.83203125" style="19" customWidth="1"/>
    <col min="14345" max="14345" width="13.1640625" style="19" customWidth="1"/>
    <col min="14346" max="14346" width="11.33203125" style="19" customWidth="1"/>
    <col min="14347" max="14348" width="12.33203125" style="19" customWidth="1"/>
    <col min="14349" max="14349" width="13.1640625" style="19" customWidth="1"/>
    <col min="14350" max="14350" width="18.33203125" style="19" customWidth="1"/>
    <col min="14351" max="14351" width="7.33203125" style="19" customWidth="1"/>
    <col min="14352" max="14590" width="9.33203125" style="19"/>
    <col min="14591" max="14592" width="5.33203125" style="19" customWidth="1"/>
    <col min="14593" max="14593" width="40.83203125" style="19" customWidth="1"/>
    <col min="14594" max="14594" width="9.83203125" style="19" customWidth="1"/>
    <col min="14595" max="14595" width="13" style="19" customWidth="1"/>
    <col min="14596" max="14596" width="13.1640625" style="19" customWidth="1"/>
    <col min="14597" max="14597" width="12.33203125" style="19" customWidth="1"/>
    <col min="14598" max="14598" width="11.33203125" style="19" customWidth="1"/>
    <col min="14599" max="14599" width="11.83203125" style="19" customWidth="1"/>
    <col min="14600" max="14600" width="10.83203125" style="19" customWidth="1"/>
    <col min="14601" max="14601" width="13.1640625" style="19" customWidth="1"/>
    <col min="14602" max="14602" width="11.33203125" style="19" customWidth="1"/>
    <col min="14603" max="14604" width="12.33203125" style="19" customWidth="1"/>
    <col min="14605" max="14605" width="13.1640625" style="19" customWidth="1"/>
    <col min="14606" max="14606" width="18.33203125" style="19" customWidth="1"/>
    <col min="14607" max="14607" width="7.33203125" style="19" customWidth="1"/>
    <col min="14608" max="14846" width="9.33203125" style="19"/>
    <col min="14847" max="14848" width="5.33203125" style="19" customWidth="1"/>
    <col min="14849" max="14849" width="40.83203125" style="19" customWidth="1"/>
    <col min="14850" max="14850" width="9.83203125" style="19" customWidth="1"/>
    <col min="14851" max="14851" width="13" style="19" customWidth="1"/>
    <col min="14852" max="14852" width="13.1640625" style="19" customWidth="1"/>
    <col min="14853" max="14853" width="12.33203125" style="19" customWidth="1"/>
    <col min="14854" max="14854" width="11.33203125" style="19" customWidth="1"/>
    <col min="14855" max="14855" width="11.83203125" style="19" customWidth="1"/>
    <col min="14856" max="14856" width="10.83203125" style="19" customWidth="1"/>
    <col min="14857" max="14857" width="13.1640625" style="19" customWidth="1"/>
    <col min="14858" max="14858" width="11.33203125" style="19" customWidth="1"/>
    <col min="14859" max="14860" width="12.33203125" style="19" customWidth="1"/>
    <col min="14861" max="14861" width="13.1640625" style="19" customWidth="1"/>
    <col min="14862" max="14862" width="18.33203125" style="19" customWidth="1"/>
    <col min="14863" max="14863" width="7.33203125" style="19" customWidth="1"/>
    <col min="14864" max="15102" width="9.33203125" style="19"/>
    <col min="15103" max="15104" width="5.33203125" style="19" customWidth="1"/>
    <col min="15105" max="15105" width="40.83203125" style="19" customWidth="1"/>
    <col min="15106" max="15106" width="9.83203125" style="19" customWidth="1"/>
    <col min="15107" max="15107" width="13" style="19" customWidth="1"/>
    <col min="15108" max="15108" width="13.1640625" style="19" customWidth="1"/>
    <col min="15109" max="15109" width="12.33203125" style="19" customWidth="1"/>
    <col min="15110" max="15110" width="11.33203125" style="19" customWidth="1"/>
    <col min="15111" max="15111" width="11.83203125" style="19" customWidth="1"/>
    <col min="15112" max="15112" width="10.83203125" style="19" customWidth="1"/>
    <col min="15113" max="15113" width="13.1640625" style="19" customWidth="1"/>
    <col min="15114" max="15114" width="11.33203125" style="19" customWidth="1"/>
    <col min="15115" max="15116" width="12.33203125" style="19" customWidth="1"/>
    <col min="15117" max="15117" width="13.1640625" style="19" customWidth="1"/>
    <col min="15118" max="15118" width="18.33203125" style="19" customWidth="1"/>
    <col min="15119" max="15119" width="7.33203125" style="19" customWidth="1"/>
    <col min="15120" max="15358" width="9.33203125" style="19"/>
    <col min="15359" max="15360" width="5.33203125" style="19" customWidth="1"/>
    <col min="15361" max="15361" width="40.83203125" style="19" customWidth="1"/>
    <col min="15362" max="15362" width="9.83203125" style="19" customWidth="1"/>
    <col min="15363" max="15363" width="13" style="19" customWidth="1"/>
    <col min="15364" max="15364" width="13.1640625" style="19" customWidth="1"/>
    <col min="15365" max="15365" width="12.33203125" style="19" customWidth="1"/>
    <col min="15366" max="15366" width="11.33203125" style="19" customWidth="1"/>
    <col min="15367" max="15367" width="11.83203125" style="19" customWidth="1"/>
    <col min="15368" max="15368" width="10.83203125" style="19" customWidth="1"/>
    <col min="15369" max="15369" width="13.1640625" style="19" customWidth="1"/>
    <col min="15370" max="15370" width="11.33203125" style="19" customWidth="1"/>
    <col min="15371" max="15372" width="12.33203125" style="19" customWidth="1"/>
    <col min="15373" max="15373" width="13.1640625" style="19" customWidth="1"/>
    <col min="15374" max="15374" width="18.33203125" style="19" customWidth="1"/>
    <col min="15375" max="15375" width="7.33203125" style="19" customWidth="1"/>
    <col min="15376" max="15614" width="9.33203125" style="19"/>
    <col min="15615" max="15616" width="5.33203125" style="19" customWidth="1"/>
    <col min="15617" max="15617" width="40.83203125" style="19" customWidth="1"/>
    <col min="15618" max="15618" width="9.83203125" style="19" customWidth="1"/>
    <col min="15619" max="15619" width="13" style="19" customWidth="1"/>
    <col min="15620" max="15620" width="13.1640625" style="19" customWidth="1"/>
    <col min="15621" max="15621" width="12.33203125" style="19" customWidth="1"/>
    <col min="15622" max="15622" width="11.33203125" style="19" customWidth="1"/>
    <col min="15623" max="15623" width="11.83203125" style="19" customWidth="1"/>
    <col min="15624" max="15624" width="10.83203125" style="19" customWidth="1"/>
    <col min="15625" max="15625" width="13.1640625" style="19" customWidth="1"/>
    <col min="15626" max="15626" width="11.33203125" style="19" customWidth="1"/>
    <col min="15627" max="15628" width="12.33203125" style="19" customWidth="1"/>
    <col min="15629" max="15629" width="13.1640625" style="19" customWidth="1"/>
    <col min="15630" max="15630" width="18.33203125" style="19" customWidth="1"/>
    <col min="15631" max="15631" width="7.33203125" style="19" customWidth="1"/>
    <col min="15632" max="15870" width="9.33203125" style="19"/>
    <col min="15871" max="15872" width="5.33203125" style="19" customWidth="1"/>
    <col min="15873" max="15873" width="40.83203125" style="19" customWidth="1"/>
    <col min="15874" max="15874" width="9.83203125" style="19" customWidth="1"/>
    <col min="15875" max="15875" width="13" style="19" customWidth="1"/>
    <col min="15876" max="15876" width="13.1640625" style="19" customWidth="1"/>
    <col min="15877" max="15877" width="12.33203125" style="19" customWidth="1"/>
    <col min="15878" max="15878" width="11.33203125" style="19" customWidth="1"/>
    <col min="15879" max="15879" width="11.83203125" style="19" customWidth="1"/>
    <col min="15880" max="15880" width="10.83203125" style="19" customWidth="1"/>
    <col min="15881" max="15881" width="13.1640625" style="19" customWidth="1"/>
    <col min="15882" max="15882" width="11.33203125" style="19" customWidth="1"/>
    <col min="15883" max="15884" width="12.33203125" style="19" customWidth="1"/>
    <col min="15885" max="15885" width="13.1640625" style="19" customWidth="1"/>
    <col min="15886" max="15886" width="18.33203125" style="19" customWidth="1"/>
    <col min="15887" max="15887" width="7.33203125" style="19" customWidth="1"/>
    <col min="15888" max="16126" width="9.33203125" style="19"/>
    <col min="16127" max="16128" width="5.33203125" style="19" customWidth="1"/>
    <col min="16129" max="16129" width="40.83203125" style="19" customWidth="1"/>
    <col min="16130" max="16130" width="9.83203125" style="19" customWidth="1"/>
    <col min="16131" max="16131" width="13" style="19" customWidth="1"/>
    <col min="16132" max="16132" width="13.1640625" style="19" customWidth="1"/>
    <col min="16133" max="16133" width="12.33203125" style="19" customWidth="1"/>
    <col min="16134" max="16134" width="11.33203125" style="19" customWidth="1"/>
    <col min="16135" max="16135" width="11.83203125" style="19" customWidth="1"/>
    <col min="16136" max="16136" width="10.83203125" style="19" customWidth="1"/>
    <col min="16137" max="16137" width="13.1640625" style="19" customWidth="1"/>
    <col min="16138" max="16138" width="11.33203125" style="19" customWidth="1"/>
    <col min="16139" max="16140" width="12.33203125" style="19" customWidth="1"/>
    <col min="16141" max="16141" width="13.1640625" style="19" customWidth="1"/>
    <col min="16142" max="16142" width="18.33203125" style="19" customWidth="1"/>
    <col min="16143" max="16143" width="7.33203125" style="19" customWidth="1"/>
    <col min="16144" max="16384" width="9.33203125" style="19"/>
  </cols>
  <sheetData>
    <row r="1" spans="1:15" ht="25.5" customHeight="1" x14ac:dyDescent="0.25">
      <c r="A1" s="826" t="s">
        <v>80</v>
      </c>
      <c r="B1" s="826" t="s">
        <v>81</v>
      </c>
      <c r="C1" s="824" t="s">
        <v>111</v>
      </c>
      <c r="D1" s="826" t="s">
        <v>164</v>
      </c>
      <c r="E1" s="828" t="s">
        <v>117</v>
      </c>
      <c r="F1" s="828"/>
      <c r="G1" s="828"/>
      <c r="H1" s="828"/>
      <c r="I1" s="828"/>
      <c r="J1" s="828"/>
      <c r="K1" s="828"/>
      <c r="L1" s="825" t="s">
        <v>151</v>
      </c>
      <c r="M1" s="825"/>
      <c r="N1" s="825"/>
      <c r="O1" s="824" t="s">
        <v>11</v>
      </c>
    </row>
    <row r="2" spans="1:15" s="20" customFormat="1" ht="69" customHeight="1" x14ac:dyDescent="0.2">
      <c r="A2" s="826"/>
      <c r="B2" s="826"/>
      <c r="C2" s="824"/>
      <c r="D2" s="827"/>
      <c r="E2" s="326" t="s">
        <v>12</v>
      </c>
      <c r="F2" s="326" t="s">
        <v>13</v>
      </c>
      <c r="G2" s="628" t="s">
        <v>14</v>
      </c>
      <c r="H2" s="326" t="s">
        <v>147</v>
      </c>
      <c r="I2" s="628" t="s">
        <v>148</v>
      </c>
      <c r="J2" s="628" t="s">
        <v>149</v>
      </c>
      <c r="K2" s="628" t="s">
        <v>150</v>
      </c>
      <c r="L2" s="628" t="s">
        <v>118</v>
      </c>
      <c r="M2" s="628" t="s">
        <v>119</v>
      </c>
      <c r="N2" s="628" t="s">
        <v>121</v>
      </c>
      <c r="O2" s="824"/>
    </row>
    <row r="3" spans="1:15" s="20" customFormat="1" ht="12.95" customHeight="1" x14ac:dyDescent="0.2">
      <c r="A3" s="21">
        <v>1</v>
      </c>
      <c r="B3" s="21"/>
      <c r="C3" s="327" t="s">
        <v>141</v>
      </c>
      <c r="D3" s="758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</row>
    <row r="4" spans="1:15" s="20" customFormat="1" ht="12.95" customHeight="1" x14ac:dyDescent="0.2">
      <c r="A4" s="49">
        <v>1</v>
      </c>
      <c r="B4" s="49">
        <v>1</v>
      </c>
      <c r="C4" s="328" t="s">
        <v>3</v>
      </c>
      <c r="D4" s="759"/>
      <c r="E4" s="330"/>
      <c r="F4" s="330"/>
      <c r="G4" s="330"/>
      <c r="H4" s="330"/>
      <c r="I4" s="330"/>
      <c r="J4" s="330"/>
      <c r="K4" s="330"/>
      <c r="L4" s="330"/>
      <c r="M4" s="330"/>
      <c r="N4" s="330"/>
      <c r="O4" s="330"/>
    </row>
    <row r="5" spans="1:15" s="22" customFormat="1" ht="13.5" customHeight="1" x14ac:dyDescent="0.2">
      <c r="A5" s="350">
        <v>1</v>
      </c>
      <c r="B5" s="350">
        <v>12</v>
      </c>
      <c r="C5" s="332" t="s">
        <v>90</v>
      </c>
      <c r="D5" s="760"/>
      <c r="E5" s="334"/>
      <c r="F5" s="334"/>
      <c r="G5" s="50"/>
      <c r="H5" s="50"/>
      <c r="I5" s="50"/>
      <c r="J5" s="50"/>
      <c r="K5" s="50"/>
      <c r="L5" s="50"/>
      <c r="M5" s="50"/>
      <c r="N5" s="50"/>
      <c r="O5" s="50"/>
    </row>
    <row r="6" spans="1:15" s="22" customFormat="1" ht="24.95" customHeight="1" x14ac:dyDescent="0.2">
      <c r="A6" s="331"/>
      <c r="B6" s="331"/>
      <c r="C6" s="335" t="s">
        <v>165</v>
      </c>
      <c r="D6" s="761"/>
      <c r="E6" s="561"/>
      <c r="F6" s="561"/>
      <c r="G6" s="562"/>
      <c r="H6" s="562"/>
      <c r="I6" s="562"/>
      <c r="J6" s="562"/>
      <c r="K6" s="562"/>
      <c r="L6" s="562"/>
      <c r="M6" s="562"/>
      <c r="N6" s="562"/>
      <c r="O6" s="562"/>
    </row>
    <row r="7" spans="1:15" s="22" customFormat="1" ht="17.100000000000001" customHeight="1" x14ac:dyDescent="0.2">
      <c r="A7" s="49"/>
      <c r="B7" s="49"/>
      <c r="C7" s="123" t="s">
        <v>166</v>
      </c>
      <c r="D7" s="762" t="s">
        <v>167</v>
      </c>
      <c r="E7" s="562">
        <f>0+táj1!E7</f>
        <v>0</v>
      </c>
      <c r="F7" s="562">
        <f>0+táj1!F7</f>
        <v>0</v>
      </c>
      <c r="G7" s="562">
        <f>0+táj1!G7</f>
        <v>0</v>
      </c>
      <c r="H7" s="562">
        <f>24000000+táj1!H7</f>
        <v>24000000</v>
      </c>
      <c r="I7" s="562">
        <f>0+táj1!I7</f>
        <v>0</v>
      </c>
      <c r="J7" s="562">
        <f>0+táj1!J7</f>
        <v>0</v>
      </c>
      <c r="K7" s="562">
        <f>0+táj1!K7</f>
        <v>0</v>
      </c>
      <c r="L7" s="562">
        <f>0+táj1!L7</f>
        <v>0</v>
      </c>
      <c r="M7" s="562">
        <f>0+táj1!M7</f>
        <v>0</v>
      </c>
      <c r="N7" s="562">
        <f>0+táj1!N7</f>
        <v>0</v>
      </c>
      <c r="O7" s="562">
        <f>SUM(E7:N7)</f>
        <v>24000000</v>
      </c>
    </row>
    <row r="8" spans="1:15" s="22" customFormat="1" ht="17.100000000000001" customHeight="1" x14ac:dyDescent="0.2">
      <c r="A8" s="49"/>
      <c r="B8" s="49"/>
      <c r="C8" s="123" t="s">
        <v>680</v>
      </c>
      <c r="D8" s="763">
        <v>121602</v>
      </c>
      <c r="E8" s="562">
        <f>0+táj1!E8</f>
        <v>0</v>
      </c>
      <c r="F8" s="562">
        <f>0+táj1!F8</f>
        <v>0</v>
      </c>
      <c r="G8" s="562">
        <f>3000000+táj1!G8</f>
        <v>3000000</v>
      </c>
      <c r="H8" s="562">
        <f>0+táj1!H8</f>
        <v>0</v>
      </c>
      <c r="I8" s="562">
        <f>0+táj1!I8</f>
        <v>0</v>
      </c>
      <c r="J8" s="562">
        <f>0+táj1!J8</f>
        <v>0</v>
      </c>
      <c r="K8" s="562">
        <f>0+táj1!K8</f>
        <v>0</v>
      </c>
      <c r="L8" s="562">
        <f>0+táj1!L8</f>
        <v>0</v>
      </c>
      <c r="M8" s="562">
        <f>0+táj1!M8</f>
        <v>0</v>
      </c>
      <c r="N8" s="562">
        <f>0+táj1!N8</f>
        <v>0</v>
      </c>
      <c r="O8" s="562">
        <f t="shared" ref="O8:O97" si="0">SUM(E8:N8)</f>
        <v>3000000</v>
      </c>
    </row>
    <row r="9" spans="1:15" s="22" customFormat="1" ht="27" customHeight="1" x14ac:dyDescent="0.2">
      <c r="A9" s="49"/>
      <c r="B9" s="49"/>
      <c r="C9" s="339" t="s">
        <v>230</v>
      </c>
      <c r="D9" s="763"/>
      <c r="E9" s="562"/>
      <c r="F9" s="562"/>
      <c r="G9" s="562"/>
      <c r="H9" s="562"/>
      <c r="I9" s="562"/>
      <c r="J9" s="562"/>
      <c r="K9" s="562"/>
      <c r="L9" s="562"/>
      <c r="M9" s="562"/>
      <c r="N9" s="562"/>
      <c r="O9" s="562"/>
    </row>
    <row r="10" spans="1:15" s="22" customFormat="1" ht="17.100000000000001" customHeight="1" x14ac:dyDescent="0.2">
      <c r="A10" s="49"/>
      <c r="B10" s="49"/>
      <c r="C10" s="123" t="s">
        <v>681</v>
      </c>
      <c r="D10" s="763">
        <v>121203</v>
      </c>
      <c r="E10" s="562">
        <f>0+táj1!E10</f>
        <v>0</v>
      </c>
      <c r="F10" s="562">
        <f>0+táj1!F10</f>
        <v>0</v>
      </c>
      <c r="G10" s="562">
        <f>0+táj1!G10</f>
        <v>0</v>
      </c>
      <c r="H10" s="562">
        <f>0+táj1!H10</f>
        <v>0</v>
      </c>
      <c r="I10" s="562">
        <f>0+táj1!I10</f>
        <v>0</v>
      </c>
      <c r="J10" s="562">
        <f>3000000+táj1!J10</f>
        <v>3000000</v>
      </c>
      <c r="K10" s="562">
        <f>0+táj1!K10</f>
        <v>0</v>
      </c>
      <c r="L10" s="562">
        <f>0+táj1!L10</f>
        <v>0</v>
      </c>
      <c r="M10" s="562">
        <f>0+táj1!M10</f>
        <v>0</v>
      </c>
      <c r="N10" s="562">
        <f>0+táj1!N10</f>
        <v>0</v>
      </c>
      <c r="O10" s="562">
        <f t="shared" si="0"/>
        <v>3000000</v>
      </c>
    </row>
    <row r="11" spans="1:15" s="22" customFormat="1" ht="23.25" customHeight="1" x14ac:dyDescent="0.2">
      <c r="A11" s="340"/>
      <c r="B11" s="340"/>
      <c r="C11" s="341" t="s">
        <v>168</v>
      </c>
      <c r="D11" s="764"/>
      <c r="E11" s="563">
        <f>SUM(E3:E10)</f>
        <v>0</v>
      </c>
      <c r="F11" s="563">
        <f t="shared" ref="F11:O11" si="1">SUM(F3:F10)</f>
        <v>0</v>
      </c>
      <c r="G11" s="563">
        <f t="shared" si="1"/>
        <v>3000000</v>
      </c>
      <c r="H11" s="563">
        <f t="shared" si="1"/>
        <v>24000000</v>
      </c>
      <c r="I11" s="563">
        <f t="shared" si="1"/>
        <v>0</v>
      </c>
      <c r="J11" s="563">
        <f t="shared" si="1"/>
        <v>3000000</v>
      </c>
      <c r="K11" s="563">
        <f t="shared" si="1"/>
        <v>0</v>
      </c>
      <c r="L11" s="563">
        <f t="shared" si="1"/>
        <v>0</v>
      </c>
      <c r="M11" s="563">
        <f t="shared" si="1"/>
        <v>0</v>
      </c>
      <c r="N11" s="563">
        <f t="shared" si="1"/>
        <v>0</v>
      </c>
      <c r="O11" s="563">
        <f t="shared" si="1"/>
        <v>30000000</v>
      </c>
    </row>
    <row r="12" spans="1:15" s="22" customFormat="1" ht="13.5" customHeight="1" x14ac:dyDescent="0.2">
      <c r="A12" s="329">
        <v>1</v>
      </c>
      <c r="B12" s="329">
        <v>13</v>
      </c>
      <c r="C12" s="332" t="s">
        <v>91</v>
      </c>
      <c r="D12" s="762"/>
      <c r="E12" s="564"/>
      <c r="F12" s="565"/>
      <c r="G12" s="565"/>
      <c r="H12" s="565"/>
      <c r="I12" s="565"/>
      <c r="J12" s="565"/>
      <c r="K12" s="565"/>
      <c r="L12" s="565"/>
      <c r="M12" s="565"/>
      <c r="N12" s="565"/>
      <c r="O12" s="562"/>
    </row>
    <row r="13" spans="1:15" s="22" customFormat="1" ht="13.5" customHeight="1" x14ac:dyDescent="0.2">
      <c r="A13" s="614"/>
      <c r="B13" s="614"/>
      <c r="C13" s="621" t="s">
        <v>271</v>
      </c>
      <c r="D13" s="765"/>
      <c r="E13" s="622"/>
      <c r="F13" s="618"/>
      <c r="G13" s="618"/>
      <c r="H13" s="618"/>
      <c r="I13" s="618"/>
      <c r="J13" s="618"/>
      <c r="K13" s="618"/>
      <c r="L13" s="618"/>
      <c r="M13" s="618"/>
      <c r="N13" s="618"/>
      <c r="O13" s="619"/>
    </row>
    <row r="14" spans="1:15" s="22" customFormat="1" ht="13.5" customHeight="1" x14ac:dyDescent="0.2">
      <c r="A14" s="614"/>
      <c r="B14" s="614"/>
      <c r="C14" s="468" t="s">
        <v>272</v>
      </c>
      <c r="D14" s="766">
        <v>131120</v>
      </c>
      <c r="E14" s="562">
        <f>2850000+táj1!E14</f>
        <v>2850000</v>
      </c>
      <c r="F14" s="562">
        <f>0+táj1!F14</f>
        <v>0</v>
      </c>
      <c r="G14" s="562">
        <f>0+táj1!G14</f>
        <v>0</v>
      </c>
      <c r="H14" s="562">
        <f>0+táj1!H14</f>
        <v>0</v>
      </c>
      <c r="I14" s="562">
        <f>0+táj1!I14</f>
        <v>0</v>
      </c>
      <c r="J14" s="562">
        <f>0+táj1!J14</f>
        <v>0</v>
      </c>
      <c r="K14" s="562">
        <f>0+táj1!K14</f>
        <v>0</v>
      </c>
      <c r="L14" s="562">
        <f>0+táj1!L14</f>
        <v>0</v>
      </c>
      <c r="M14" s="562">
        <f>0+táj1!M14</f>
        <v>0</v>
      </c>
      <c r="N14" s="562">
        <f>0+táj1!N14</f>
        <v>0</v>
      </c>
      <c r="O14" s="562">
        <f t="shared" si="0"/>
        <v>2850000</v>
      </c>
    </row>
    <row r="15" spans="1:15" s="22" customFormat="1" ht="24.95" customHeight="1" x14ac:dyDescent="0.2">
      <c r="A15" s="329"/>
      <c r="B15" s="329"/>
      <c r="C15" s="344" t="s">
        <v>169</v>
      </c>
      <c r="D15" s="762" t="s">
        <v>79</v>
      </c>
      <c r="E15" s="562"/>
      <c r="F15" s="562"/>
      <c r="G15" s="562"/>
      <c r="H15" s="562"/>
      <c r="I15" s="562"/>
      <c r="J15" s="562"/>
      <c r="K15" s="562"/>
      <c r="L15" s="562"/>
      <c r="M15" s="562"/>
      <c r="N15" s="562"/>
      <c r="O15" s="562"/>
    </row>
    <row r="16" spans="1:15" s="22" customFormat="1" ht="24.95" customHeight="1" x14ac:dyDescent="0.2">
      <c r="A16" s="329"/>
      <c r="B16" s="329"/>
      <c r="C16" s="344" t="s">
        <v>170</v>
      </c>
      <c r="D16" s="767">
        <v>131703</v>
      </c>
      <c r="E16" s="562">
        <f>0+táj1!E16</f>
        <v>0</v>
      </c>
      <c r="F16" s="562">
        <f>0+táj1!F16</f>
        <v>0</v>
      </c>
      <c r="G16" s="562">
        <f>0+táj1!G16</f>
        <v>0</v>
      </c>
      <c r="H16" s="562">
        <f>9519000+táj1!H16</f>
        <v>9519000</v>
      </c>
      <c r="I16" s="562">
        <f>0+táj1!I16</f>
        <v>0</v>
      </c>
      <c r="J16" s="562">
        <f>0+táj1!J16</f>
        <v>0</v>
      </c>
      <c r="K16" s="562">
        <f>0+táj1!K16</f>
        <v>0</v>
      </c>
      <c r="L16" s="562">
        <f>0+táj1!L16</f>
        <v>0</v>
      </c>
      <c r="M16" s="562">
        <f>0+táj1!M16</f>
        <v>0</v>
      </c>
      <c r="N16" s="562">
        <f>0+táj1!N16</f>
        <v>0</v>
      </c>
      <c r="O16" s="562">
        <f t="shared" si="0"/>
        <v>9519000</v>
      </c>
    </row>
    <row r="17" spans="1:15" s="22" customFormat="1" ht="25.5" customHeight="1" x14ac:dyDescent="0.2">
      <c r="A17" s="329"/>
      <c r="B17" s="329"/>
      <c r="C17" s="335" t="s">
        <v>507</v>
      </c>
      <c r="D17" s="768"/>
      <c r="E17" s="562"/>
      <c r="F17" s="566"/>
      <c r="G17" s="566"/>
      <c r="H17" s="566"/>
      <c r="I17" s="562"/>
      <c r="J17" s="562"/>
      <c r="K17" s="562"/>
      <c r="L17" s="562"/>
      <c r="M17" s="562"/>
      <c r="N17" s="562"/>
      <c r="O17" s="562"/>
    </row>
    <row r="18" spans="1:15" s="22" customFormat="1" ht="24.95" customHeight="1" x14ac:dyDescent="0.2">
      <c r="A18" s="329"/>
      <c r="B18" s="329"/>
      <c r="C18" s="348" t="s">
        <v>668</v>
      </c>
      <c r="D18" s="767">
        <v>131513</v>
      </c>
      <c r="E18" s="562">
        <f>150000000+táj1!E18</f>
        <v>150000000</v>
      </c>
      <c r="F18" s="562">
        <f>0+táj1!F18</f>
        <v>0</v>
      </c>
      <c r="G18" s="562">
        <f>0+táj1!G18</f>
        <v>0</v>
      </c>
      <c r="H18" s="562">
        <f>0+táj1!H18</f>
        <v>0</v>
      </c>
      <c r="I18" s="562">
        <f>0+táj1!I18</f>
        <v>0</v>
      </c>
      <c r="J18" s="562">
        <f>0+táj1!J18</f>
        <v>0</v>
      </c>
      <c r="K18" s="562">
        <f>0+táj1!K18</f>
        <v>0</v>
      </c>
      <c r="L18" s="562">
        <f>0+táj1!L18</f>
        <v>0</v>
      </c>
      <c r="M18" s="562">
        <f>0+táj1!M18</f>
        <v>0</v>
      </c>
      <c r="N18" s="562">
        <f>0+táj1!N18</f>
        <v>0</v>
      </c>
      <c r="O18" s="562">
        <f t="shared" si="0"/>
        <v>150000000</v>
      </c>
    </row>
    <row r="19" spans="1:15" s="22" customFormat="1" ht="24.95" customHeight="1" x14ac:dyDescent="0.2">
      <c r="A19" s="614"/>
      <c r="B19" s="614"/>
      <c r="C19" s="625" t="s">
        <v>332</v>
      </c>
      <c r="D19" s="769"/>
      <c r="E19" s="562"/>
      <c r="F19" s="562"/>
      <c r="G19" s="619"/>
      <c r="H19" s="619"/>
      <c r="I19" s="619"/>
      <c r="J19" s="619"/>
      <c r="K19" s="619"/>
      <c r="L19" s="619"/>
      <c r="M19" s="619"/>
      <c r="N19" s="619"/>
      <c r="O19" s="562"/>
    </row>
    <row r="20" spans="1:15" s="22" customFormat="1" ht="24.95" customHeight="1" x14ac:dyDescent="0.2">
      <c r="A20" s="614"/>
      <c r="B20" s="614"/>
      <c r="C20" s="625" t="s">
        <v>978</v>
      </c>
      <c r="D20" s="769">
        <v>191801</v>
      </c>
      <c r="E20" s="562">
        <f>140000000+táj1!E20</f>
        <v>140000000</v>
      </c>
      <c r="F20" s="562">
        <f>0+táj1!F20</f>
        <v>0</v>
      </c>
      <c r="G20" s="562">
        <f>0+táj1!G20</f>
        <v>0</v>
      </c>
      <c r="H20" s="562">
        <f>0+táj1!H20</f>
        <v>0</v>
      </c>
      <c r="I20" s="562">
        <f>0+táj1!I20</f>
        <v>0</v>
      </c>
      <c r="J20" s="562">
        <f>0+táj1!J20</f>
        <v>0</v>
      </c>
      <c r="K20" s="562">
        <f>0+táj1!K20</f>
        <v>0</v>
      </c>
      <c r="L20" s="562">
        <f>0+táj1!L20</f>
        <v>0</v>
      </c>
      <c r="M20" s="562">
        <f>0+táj1!M20</f>
        <v>0</v>
      </c>
      <c r="N20" s="562">
        <f>0+táj1!N20</f>
        <v>0</v>
      </c>
      <c r="O20" s="562">
        <f t="shared" si="0"/>
        <v>140000000</v>
      </c>
    </row>
    <row r="21" spans="1:15" s="22" customFormat="1" ht="21.75" customHeight="1" x14ac:dyDescent="0.2">
      <c r="A21" s="340"/>
      <c r="B21" s="340"/>
      <c r="C21" s="341" t="s">
        <v>171</v>
      </c>
      <c r="D21" s="136"/>
      <c r="E21" s="563">
        <f t="shared" ref="E21:O21" si="2">SUM(E14:E20)</f>
        <v>292850000</v>
      </c>
      <c r="F21" s="563">
        <f t="shared" si="2"/>
        <v>0</v>
      </c>
      <c r="G21" s="563">
        <f t="shared" si="2"/>
        <v>0</v>
      </c>
      <c r="H21" s="563">
        <f t="shared" si="2"/>
        <v>9519000</v>
      </c>
      <c r="I21" s="563">
        <f t="shared" si="2"/>
        <v>0</v>
      </c>
      <c r="J21" s="563">
        <f t="shared" si="2"/>
        <v>0</v>
      </c>
      <c r="K21" s="563">
        <f t="shared" si="2"/>
        <v>0</v>
      </c>
      <c r="L21" s="563">
        <f t="shared" si="2"/>
        <v>0</v>
      </c>
      <c r="M21" s="563">
        <f t="shared" si="2"/>
        <v>0</v>
      </c>
      <c r="N21" s="563">
        <f t="shared" si="2"/>
        <v>0</v>
      </c>
      <c r="O21" s="563">
        <f t="shared" si="2"/>
        <v>302369000</v>
      </c>
    </row>
    <row r="22" spans="1:15" s="22" customFormat="1" ht="13.5" customHeight="1" x14ac:dyDescent="0.2">
      <c r="A22" s="350">
        <v>1</v>
      </c>
      <c r="B22" s="350">
        <v>14</v>
      </c>
      <c r="C22" s="351" t="s">
        <v>143</v>
      </c>
      <c r="D22" s="51"/>
      <c r="E22" s="562"/>
      <c r="F22" s="565"/>
      <c r="G22" s="565"/>
      <c r="H22" s="565"/>
      <c r="I22" s="565"/>
      <c r="J22" s="565"/>
      <c r="K22" s="565"/>
      <c r="L22" s="565"/>
      <c r="M22" s="565"/>
      <c r="N22" s="565"/>
      <c r="O22" s="562"/>
    </row>
    <row r="23" spans="1:15" s="22" customFormat="1" ht="24" customHeight="1" x14ac:dyDescent="0.2">
      <c r="A23" s="329"/>
      <c r="B23" s="329"/>
      <c r="C23" s="352" t="s">
        <v>172</v>
      </c>
      <c r="D23" s="51"/>
      <c r="E23" s="562"/>
      <c r="F23" s="565"/>
      <c r="G23" s="565"/>
      <c r="H23" s="565"/>
      <c r="I23" s="565"/>
      <c r="J23" s="565"/>
      <c r="K23" s="565"/>
      <c r="L23" s="565"/>
      <c r="M23" s="565"/>
      <c r="N23" s="565"/>
      <c r="O23" s="562"/>
    </row>
    <row r="24" spans="1:15" s="22" customFormat="1" ht="32.25" customHeight="1" x14ac:dyDescent="0.2">
      <c r="A24" s="329"/>
      <c r="B24" s="329"/>
      <c r="C24" s="124" t="s">
        <v>173</v>
      </c>
      <c r="D24" s="45">
        <v>171967</v>
      </c>
      <c r="E24" s="562">
        <f>0+táj1!E24</f>
        <v>0</v>
      </c>
      <c r="F24" s="562">
        <f>0+táj1!F24</f>
        <v>0</v>
      </c>
      <c r="G24" s="562">
        <f>0+táj1!G24</f>
        <v>0</v>
      </c>
      <c r="H24" s="562">
        <f>5080000+táj1!H24</f>
        <v>5080000</v>
      </c>
      <c r="I24" s="562">
        <f>0+táj1!I24</f>
        <v>0</v>
      </c>
      <c r="J24" s="562">
        <f>0+táj1!J24</f>
        <v>0</v>
      </c>
      <c r="K24" s="562">
        <f>0+táj1!K24</f>
        <v>0</v>
      </c>
      <c r="L24" s="562">
        <f>0+táj1!L24</f>
        <v>0</v>
      </c>
      <c r="M24" s="562">
        <f>0+táj1!M24</f>
        <v>0</v>
      </c>
      <c r="N24" s="562">
        <f>0+táj1!N24</f>
        <v>0</v>
      </c>
      <c r="O24" s="562">
        <f t="shared" si="0"/>
        <v>5080000</v>
      </c>
    </row>
    <row r="25" spans="1:15" s="22" customFormat="1" ht="22.5" customHeight="1" x14ac:dyDescent="0.2">
      <c r="A25" s="340"/>
      <c r="B25" s="340"/>
      <c r="C25" s="341" t="s">
        <v>174</v>
      </c>
      <c r="D25" s="136"/>
      <c r="E25" s="563">
        <f t="shared" ref="E25:O25" si="3">SUM(E23:E24)</f>
        <v>0</v>
      </c>
      <c r="F25" s="563">
        <f t="shared" si="3"/>
        <v>0</v>
      </c>
      <c r="G25" s="563">
        <f t="shared" si="3"/>
        <v>0</v>
      </c>
      <c r="H25" s="563">
        <f t="shared" si="3"/>
        <v>5080000</v>
      </c>
      <c r="I25" s="563">
        <f t="shared" si="3"/>
        <v>0</v>
      </c>
      <c r="J25" s="563">
        <f t="shared" si="3"/>
        <v>0</v>
      </c>
      <c r="K25" s="563">
        <f t="shared" si="3"/>
        <v>0</v>
      </c>
      <c r="L25" s="563">
        <f t="shared" si="3"/>
        <v>0</v>
      </c>
      <c r="M25" s="563">
        <f t="shared" si="3"/>
        <v>0</v>
      </c>
      <c r="N25" s="563">
        <f t="shared" si="3"/>
        <v>0</v>
      </c>
      <c r="O25" s="563">
        <f t="shared" si="3"/>
        <v>5080000</v>
      </c>
    </row>
    <row r="26" spans="1:15" s="20" customFormat="1" ht="13.5" customHeight="1" x14ac:dyDescent="0.2">
      <c r="A26" s="329">
        <v>1</v>
      </c>
      <c r="B26" s="329">
        <v>15</v>
      </c>
      <c r="C26" s="328" t="s">
        <v>113</v>
      </c>
      <c r="D26" s="759"/>
      <c r="E26" s="562"/>
      <c r="F26" s="562"/>
      <c r="G26" s="562"/>
      <c r="H26" s="562"/>
      <c r="I26" s="562"/>
      <c r="J26" s="562"/>
      <c r="K26" s="562"/>
      <c r="L26" s="562"/>
      <c r="M26" s="562"/>
      <c r="N26" s="562"/>
      <c r="O26" s="562"/>
    </row>
    <row r="27" spans="1:15" s="20" customFormat="1" ht="24.95" customHeight="1" x14ac:dyDescent="0.2">
      <c r="A27" s="49"/>
      <c r="B27" s="49"/>
      <c r="C27" s="348" t="s">
        <v>175</v>
      </c>
      <c r="D27" s="770"/>
      <c r="E27" s="562"/>
      <c r="F27" s="562"/>
      <c r="G27" s="562"/>
      <c r="H27" s="562"/>
      <c r="I27" s="562"/>
      <c r="J27" s="562"/>
      <c r="K27" s="562"/>
      <c r="L27" s="562"/>
      <c r="M27" s="562"/>
      <c r="N27" s="562"/>
      <c r="O27" s="562"/>
    </row>
    <row r="28" spans="1:15" s="20" customFormat="1" ht="18.600000000000001" customHeight="1" x14ac:dyDescent="0.2">
      <c r="A28" s="49"/>
      <c r="B28" s="49"/>
      <c r="C28" s="124" t="s">
        <v>582</v>
      </c>
      <c r="D28" s="770">
        <v>151906</v>
      </c>
      <c r="E28" s="562">
        <f>0+táj1!E28</f>
        <v>0</v>
      </c>
      <c r="F28" s="562">
        <f>0+táj1!F28</f>
        <v>0</v>
      </c>
      <c r="G28" s="562">
        <f>0+táj1!G28</f>
        <v>0</v>
      </c>
      <c r="H28" s="562">
        <f>17780000+táj1!H28</f>
        <v>17780000</v>
      </c>
      <c r="I28" s="562">
        <f>0+táj1!I28</f>
        <v>0</v>
      </c>
      <c r="J28" s="562">
        <f>0+táj1!J28</f>
        <v>0</v>
      </c>
      <c r="K28" s="562">
        <f>0+táj1!K28</f>
        <v>0</v>
      </c>
      <c r="L28" s="562">
        <f>0+táj1!L28</f>
        <v>0</v>
      </c>
      <c r="M28" s="562">
        <f>0+táj1!M28</f>
        <v>0</v>
      </c>
      <c r="N28" s="562">
        <f>0+táj1!N28</f>
        <v>0</v>
      </c>
      <c r="O28" s="562">
        <f t="shared" si="0"/>
        <v>17780000</v>
      </c>
    </row>
    <row r="29" spans="1:15" s="20" customFormat="1" ht="15" customHeight="1" x14ac:dyDescent="0.2">
      <c r="A29" s="49"/>
      <c r="B29" s="49"/>
      <c r="C29" s="123" t="s">
        <v>176</v>
      </c>
      <c r="D29" s="771" t="s">
        <v>177</v>
      </c>
      <c r="E29" s="562">
        <f>0+táj1!E29</f>
        <v>0</v>
      </c>
      <c r="F29" s="562">
        <f>0+táj1!F29</f>
        <v>0</v>
      </c>
      <c r="G29" s="562">
        <f>0+táj1!G29</f>
        <v>0</v>
      </c>
      <c r="H29" s="562">
        <f>266700000+táj1!H29</f>
        <v>266700000</v>
      </c>
      <c r="I29" s="562">
        <f>0+táj1!I29</f>
        <v>0</v>
      </c>
      <c r="J29" s="562">
        <f>0+táj1!J29</f>
        <v>0</v>
      </c>
      <c r="K29" s="562">
        <f>0+táj1!K29</f>
        <v>0</v>
      </c>
      <c r="L29" s="562">
        <f>0+táj1!L29</f>
        <v>0</v>
      </c>
      <c r="M29" s="562">
        <f>0+táj1!M29</f>
        <v>0</v>
      </c>
      <c r="N29" s="562">
        <f>0+táj1!N29</f>
        <v>0</v>
      </c>
      <c r="O29" s="562">
        <f t="shared" si="0"/>
        <v>266700000</v>
      </c>
    </row>
    <row r="30" spans="1:15" s="20" customFormat="1" ht="15" customHeight="1" x14ac:dyDescent="0.2">
      <c r="A30" s="49"/>
      <c r="B30" s="49"/>
      <c r="C30" s="126" t="s">
        <v>178</v>
      </c>
      <c r="D30" s="772"/>
      <c r="E30" s="562"/>
      <c r="F30" s="562"/>
      <c r="G30" s="562"/>
      <c r="H30" s="562"/>
      <c r="I30" s="562"/>
      <c r="J30" s="562"/>
      <c r="K30" s="562"/>
      <c r="L30" s="562"/>
      <c r="M30" s="562"/>
      <c r="N30" s="562"/>
      <c r="O30" s="562"/>
    </row>
    <row r="31" spans="1:15" s="20" customFormat="1" ht="15" customHeight="1" x14ac:dyDescent="0.2">
      <c r="A31" s="49"/>
      <c r="B31" s="49"/>
      <c r="C31" s="123" t="s">
        <v>669</v>
      </c>
      <c r="D31" s="773">
        <v>152908</v>
      </c>
      <c r="E31" s="562">
        <f>0+táj1!E31</f>
        <v>0</v>
      </c>
      <c r="F31" s="562">
        <f>0+táj1!F31</f>
        <v>0</v>
      </c>
      <c r="G31" s="562">
        <f>0+táj1!G31</f>
        <v>0</v>
      </c>
      <c r="H31" s="562">
        <f>1270000+táj1!H31</f>
        <v>1270000</v>
      </c>
      <c r="I31" s="562">
        <f>0+táj1!I31</f>
        <v>0</v>
      </c>
      <c r="J31" s="562">
        <f>0+táj1!J31</f>
        <v>0</v>
      </c>
      <c r="K31" s="562">
        <f>0+táj1!K31</f>
        <v>0</v>
      </c>
      <c r="L31" s="562">
        <f>0+táj1!L31</f>
        <v>0</v>
      </c>
      <c r="M31" s="562">
        <f>0+táj1!M31</f>
        <v>0</v>
      </c>
      <c r="N31" s="562">
        <f>0+táj1!N31</f>
        <v>0</v>
      </c>
      <c r="O31" s="562">
        <f t="shared" si="0"/>
        <v>1270000</v>
      </c>
    </row>
    <row r="32" spans="1:15" s="20" customFormat="1" ht="15" customHeight="1" x14ac:dyDescent="0.2">
      <c r="A32" s="49"/>
      <c r="B32" s="49"/>
      <c r="C32" s="356" t="s">
        <v>179</v>
      </c>
      <c r="D32" s="773">
        <v>151506</v>
      </c>
      <c r="E32" s="562">
        <f>0+táj1!E32</f>
        <v>0</v>
      </c>
      <c r="F32" s="562">
        <f>0+táj1!F32</f>
        <v>0</v>
      </c>
      <c r="G32" s="562">
        <f>0+táj1!G32</f>
        <v>0</v>
      </c>
      <c r="H32" s="562">
        <f>635000+táj1!H32</f>
        <v>635000</v>
      </c>
      <c r="I32" s="562">
        <f>0+táj1!I32</f>
        <v>0</v>
      </c>
      <c r="J32" s="562">
        <f>0+táj1!J32</f>
        <v>0</v>
      </c>
      <c r="K32" s="562">
        <f>0+táj1!K32</f>
        <v>0</v>
      </c>
      <c r="L32" s="562">
        <f>0+táj1!L32</f>
        <v>0</v>
      </c>
      <c r="M32" s="562">
        <f>0+táj1!M32</f>
        <v>0</v>
      </c>
      <c r="N32" s="562">
        <f>0+táj1!N32</f>
        <v>0</v>
      </c>
      <c r="O32" s="562">
        <f t="shared" si="0"/>
        <v>635000</v>
      </c>
    </row>
    <row r="33" spans="1:17" s="20" customFormat="1" ht="18" customHeight="1" x14ac:dyDescent="0.2">
      <c r="A33" s="49"/>
      <c r="B33" s="49"/>
      <c r="C33" s="357" t="s">
        <v>670</v>
      </c>
      <c r="D33" s="770">
        <v>151607</v>
      </c>
      <c r="E33" s="562">
        <f>0+táj1!E33</f>
        <v>0</v>
      </c>
      <c r="F33" s="562">
        <f>0+táj1!F33</f>
        <v>0</v>
      </c>
      <c r="G33" s="562">
        <f>0+táj1!G33</f>
        <v>0</v>
      </c>
      <c r="H33" s="562">
        <f>0+táj1!H33</f>
        <v>0</v>
      </c>
      <c r="I33" s="562">
        <f>0+táj1!I33</f>
        <v>0</v>
      </c>
      <c r="J33" s="562">
        <f>0+táj1!J33</f>
        <v>0</v>
      </c>
      <c r="K33" s="562">
        <f>0+táj1!K33</f>
        <v>0</v>
      </c>
      <c r="L33" s="562">
        <f>0+táj1!L33</f>
        <v>0</v>
      </c>
      <c r="M33" s="562">
        <f>35863798+táj1!M33</f>
        <v>35863798</v>
      </c>
      <c r="N33" s="562">
        <f>0+táj1!N33</f>
        <v>0</v>
      </c>
      <c r="O33" s="562">
        <f t="shared" si="0"/>
        <v>35863798</v>
      </c>
    </row>
    <row r="34" spans="1:17" s="20" customFormat="1" ht="18" customHeight="1" x14ac:dyDescent="0.2">
      <c r="A34" s="49"/>
      <c r="B34" s="49"/>
      <c r="C34" s="358" t="s">
        <v>671</v>
      </c>
      <c r="D34" s="774"/>
      <c r="E34" s="562"/>
      <c r="F34" s="562"/>
      <c r="G34" s="562"/>
      <c r="H34" s="562"/>
      <c r="I34" s="562"/>
      <c r="J34" s="562"/>
      <c r="K34" s="562"/>
      <c r="L34" s="562"/>
      <c r="M34" s="562"/>
      <c r="N34" s="562"/>
      <c r="O34" s="562"/>
    </row>
    <row r="35" spans="1:17" s="20" customFormat="1" ht="18" customHeight="1" x14ac:dyDescent="0.2">
      <c r="A35" s="49"/>
      <c r="B35" s="49"/>
      <c r="C35" s="358" t="s">
        <v>576</v>
      </c>
      <c r="D35" s="770">
        <v>151902</v>
      </c>
      <c r="E35" s="562">
        <f>0+táj1!E35</f>
        <v>0</v>
      </c>
      <c r="F35" s="562">
        <f>0+táj1!F35</f>
        <v>0</v>
      </c>
      <c r="G35" s="562">
        <f>0+táj1!G35</f>
        <v>0</v>
      </c>
      <c r="H35" s="562">
        <f>3175000+táj1!H35</f>
        <v>3175000</v>
      </c>
      <c r="I35" s="562">
        <f>0+táj1!I35</f>
        <v>0</v>
      </c>
      <c r="J35" s="562">
        <f>0+táj1!J35</f>
        <v>0</v>
      </c>
      <c r="K35" s="562">
        <f>0+táj1!K35</f>
        <v>0</v>
      </c>
      <c r="L35" s="562">
        <f>0+táj1!L35</f>
        <v>0</v>
      </c>
      <c r="M35" s="562">
        <f>0+táj1!M35</f>
        <v>0</v>
      </c>
      <c r="N35" s="562">
        <f>0+táj1!N35</f>
        <v>0</v>
      </c>
      <c r="O35" s="562">
        <f t="shared" si="0"/>
        <v>3175000</v>
      </c>
    </row>
    <row r="36" spans="1:17" s="20" customFormat="1" ht="18" customHeight="1" x14ac:dyDescent="0.2">
      <c r="A36" s="49"/>
      <c r="B36" s="49"/>
      <c r="C36" s="358" t="s">
        <v>180</v>
      </c>
      <c r="D36" s="774"/>
      <c r="E36" s="562"/>
      <c r="F36" s="562"/>
      <c r="G36" s="562"/>
      <c r="H36" s="562"/>
      <c r="I36" s="562"/>
      <c r="J36" s="562"/>
      <c r="K36" s="562"/>
      <c r="L36" s="562"/>
      <c r="M36" s="562"/>
      <c r="N36" s="562"/>
      <c r="O36" s="562"/>
    </row>
    <row r="37" spans="1:17" s="20" customFormat="1" ht="18" customHeight="1" x14ac:dyDescent="0.2">
      <c r="A37" s="613"/>
      <c r="B37" s="613"/>
      <c r="C37" s="757" t="s">
        <v>1064</v>
      </c>
      <c r="D37" s="775" t="s">
        <v>1065</v>
      </c>
      <c r="E37" s="619">
        <f>0+táj1!E37</f>
        <v>0</v>
      </c>
      <c r="F37" s="619">
        <f>0+táj1!F37</f>
        <v>0</v>
      </c>
      <c r="G37" s="619">
        <f>0+táj1!G37</f>
        <v>0</v>
      </c>
      <c r="H37" s="619">
        <f>0+táj1!H37</f>
        <v>1337156</v>
      </c>
      <c r="I37" s="619">
        <f>0+táj1!I37</f>
        <v>0</v>
      </c>
      <c r="J37" s="619">
        <f>0+táj1!J37</f>
        <v>0</v>
      </c>
      <c r="K37" s="619">
        <f>0+táj1!K37</f>
        <v>0</v>
      </c>
      <c r="L37" s="619">
        <f>0+táj1!L37</f>
        <v>0</v>
      </c>
      <c r="M37" s="619">
        <f>0+táj1!M37</f>
        <v>0</v>
      </c>
      <c r="N37" s="619">
        <f>0+táj1!N37</f>
        <v>0</v>
      </c>
      <c r="O37" s="619">
        <f>SUM(E37:N37)</f>
        <v>1337156</v>
      </c>
    </row>
    <row r="38" spans="1:17" s="20" customFormat="1" ht="18" customHeight="1" x14ac:dyDescent="0.2">
      <c r="A38" s="49"/>
      <c r="B38" s="49"/>
      <c r="C38" s="357" t="s">
        <v>372</v>
      </c>
      <c r="D38" s="770">
        <v>151603</v>
      </c>
      <c r="E38" s="562">
        <f>0+táj1!E38</f>
        <v>0</v>
      </c>
      <c r="F38" s="562">
        <f>0+táj1!F38</f>
        <v>0</v>
      </c>
      <c r="G38" s="562">
        <f>0+táj1!G38</f>
        <v>0</v>
      </c>
      <c r="H38" s="562">
        <f>44000000+táj1!H38</f>
        <v>44000000</v>
      </c>
      <c r="I38" s="562">
        <f>0+táj1!I38</f>
        <v>0</v>
      </c>
      <c r="J38" s="562">
        <f>0+táj1!J38</f>
        <v>0</v>
      </c>
      <c r="K38" s="562">
        <f>0+táj1!K38</f>
        <v>0</v>
      </c>
      <c r="L38" s="562">
        <f>0+táj1!L38</f>
        <v>0</v>
      </c>
      <c r="M38" s="562">
        <f>0+táj1!M38</f>
        <v>0</v>
      </c>
      <c r="N38" s="562">
        <f>0+táj1!N38</f>
        <v>0</v>
      </c>
      <c r="O38" s="562">
        <f t="shared" si="0"/>
        <v>44000000</v>
      </c>
    </row>
    <row r="39" spans="1:17" s="20" customFormat="1" ht="25.5" customHeight="1" x14ac:dyDescent="0.2">
      <c r="A39" s="49"/>
      <c r="B39" s="49"/>
      <c r="C39" s="124" t="s">
        <v>181</v>
      </c>
      <c r="D39" s="774"/>
      <c r="E39" s="562"/>
      <c r="F39" s="562"/>
      <c r="G39" s="562"/>
      <c r="H39" s="562"/>
      <c r="I39" s="562"/>
      <c r="J39" s="562"/>
      <c r="K39" s="562"/>
      <c r="L39" s="562"/>
      <c r="M39" s="562"/>
      <c r="N39" s="562"/>
      <c r="O39" s="562"/>
    </row>
    <row r="40" spans="1:17" s="20" customFormat="1" ht="24.95" customHeight="1" x14ac:dyDescent="0.2">
      <c r="A40" s="49"/>
      <c r="B40" s="49"/>
      <c r="C40" s="335" t="s">
        <v>182</v>
      </c>
      <c r="D40" s="776" t="s">
        <v>183</v>
      </c>
      <c r="E40" s="562">
        <f>0+táj1!E40</f>
        <v>0</v>
      </c>
      <c r="F40" s="562">
        <f>0+táj1!F40</f>
        <v>0</v>
      </c>
      <c r="G40" s="562">
        <f>0+táj1!G40</f>
        <v>0</v>
      </c>
      <c r="H40" s="562">
        <f>529664000+táj1!H40</f>
        <v>529664000</v>
      </c>
      <c r="I40" s="562">
        <f>0+táj1!I40</f>
        <v>0</v>
      </c>
      <c r="J40" s="562">
        <f>0+táj1!J40</f>
        <v>0</v>
      </c>
      <c r="K40" s="562">
        <f>0+táj1!K40</f>
        <v>0</v>
      </c>
      <c r="L40" s="562">
        <f>0+táj1!L40</f>
        <v>0</v>
      </c>
      <c r="M40" s="562">
        <f>0+táj1!M40</f>
        <v>0</v>
      </c>
      <c r="N40" s="562">
        <f>0+táj1!N40</f>
        <v>0</v>
      </c>
      <c r="O40" s="562">
        <f t="shared" si="0"/>
        <v>529664000</v>
      </c>
    </row>
    <row r="41" spans="1:17" s="20" customFormat="1" ht="23.25" customHeight="1" x14ac:dyDescent="0.2">
      <c r="A41" s="340"/>
      <c r="B41" s="340"/>
      <c r="C41" s="360" t="s">
        <v>184</v>
      </c>
      <c r="D41" s="777"/>
      <c r="E41" s="563">
        <f t="shared" ref="E41:O41" si="4">SUM(E27:E40)</f>
        <v>0</v>
      </c>
      <c r="F41" s="563">
        <f t="shared" si="4"/>
        <v>0</v>
      </c>
      <c r="G41" s="563">
        <f t="shared" si="4"/>
        <v>0</v>
      </c>
      <c r="H41" s="563">
        <f t="shared" si="4"/>
        <v>864561156</v>
      </c>
      <c r="I41" s="563">
        <f t="shared" si="4"/>
        <v>0</v>
      </c>
      <c r="J41" s="563">
        <f t="shared" si="4"/>
        <v>0</v>
      </c>
      <c r="K41" s="563">
        <f t="shared" si="4"/>
        <v>0</v>
      </c>
      <c r="L41" s="563">
        <f t="shared" si="4"/>
        <v>0</v>
      </c>
      <c r="M41" s="563">
        <f t="shared" si="4"/>
        <v>35863798</v>
      </c>
      <c r="N41" s="563">
        <f t="shared" si="4"/>
        <v>0</v>
      </c>
      <c r="O41" s="563">
        <f t="shared" si="4"/>
        <v>900424954</v>
      </c>
    </row>
    <row r="42" spans="1:17" s="20" customFormat="1" ht="21" customHeight="1" x14ac:dyDescent="0.2">
      <c r="A42" s="329">
        <v>1</v>
      </c>
      <c r="B42" s="329" t="s">
        <v>77</v>
      </c>
      <c r="C42" s="328" t="s">
        <v>106</v>
      </c>
      <c r="D42" s="759"/>
      <c r="E42" s="562"/>
      <c r="F42" s="562"/>
      <c r="G42" s="562"/>
      <c r="H42" s="562"/>
      <c r="I42" s="562"/>
      <c r="J42" s="562"/>
      <c r="K42" s="562"/>
      <c r="L42" s="562"/>
      <c r="M42" s="562"/>
      <c r="N42" s="562"/>
      <c r="O42" s="562"/>
    </row>
    <row r="43" spans="1:17" s="20" customFormat="1" ht="21" customHeight="1" x14ac:dyDescent="0.2">
      <c r="A43" s="614"/>
      <c r="B43" s="614"/>
      <c r="C43" s="621" t="s">
        <v>180</v>
      </c>
      <c r="D43" s="778"/>
      <c r="E43" s="562"/>
      <c r="F43" s="619"/>
      <c r="G43" s="619"/>
      <c r="H43" s="619"/>
      <c r="I43" s="619"/>
      <c r="J43" s="619"/>
      <c r="K43" s="619"/>
      <c r="L43" s="619"/>
      <c r="M43" s="619"/>
      <c r="N43" s="619"/>
      <c r="O43" s="619"/>
    </row>
    <row r="44" spans="1:17" s="20" customFormat="1" ht="21" customHeight="1" x14ac:dyDescent="0.2">
      <c r="A44" s="614"/>
      <c r="B44" s="614"/>
      <c r="C44" s="217" t="s">
        <v>403</v>
      </c>
      <c r="D44" s="779">
        <v>151606</v>
      </c>
      <c r="E44" s="562">
        <f>6249+táj1!E44</f>
        <v>0</v>
      </c>
      <c r="F44" s="562">
        <f>0+táj1!F44</f>
        <v>0</v>
      </c>
      <c r="G44" s="562">
        <f>0+táj1!G44</f>
        <v>0</v>
      </c>
      <c r="H44" s="562">
        <f>0+táj1!H44</f>
        <v>0</v>
      </c>
      <c r="I44" s="562">
        <f>0+táj1!I44</f>
        <v>0</v>
      </c>
      <c r="J44" s="562">
        <f>0+táj1!J44</f>
        <v>6249</v>
      </c>
      <c r="K44" s="562">
        <f>0+táj1!K44</f>
        <v>0</v>
      </c>
      <c r="L44" s="562">
        <f>0+táj1!L44</f>
        <v>0</v>
      </c>
      <c r="M44" s="562">
        <f>0+táj1!M44</f>
        <v>0</v>
      </c>
      <c r="N44" s="562">
        <f>0+táj1!N44</f>
        <v>0</v>
      </c>
      <c r="O44" s="562">
        <f t="shared" si="0"/>
        <v>6249</v>
      </c>
    </row>
    <row r="45" spans="1:17" s="20" customFormat="1" ht="21" customHeight="1" x14ac:dyDescent="0.2">
      <c r="A45" s="614"/>
      <c r="B45" s="614"/>
      <c r="C45" s="688" t="s">
        <v>1011</v>
      </c>
      <c r="D45" s="779">
        <v>162695</v>
      </c>
      <c r="E45" s="619">
        <f>10991706+táj1!E45</f>
        <v>10991706</v>
      </c>
      <c r="F45" s="619">
        <f>0+táj1!F45</f>
        <v>0</v>
      </c>
      <c r="G45" s="619">
        <f>0+táj1!G45</f>
        <v>0</v>
      </c>
      <c r="H45" s="619">
        <f>0+táj1!H45</f>
        <v>0</v>
      </c>
      <c r="I45" s="619">
        <f>0+táj1!I45</f>
        <v>0</v>
      </c>
      <c r="J45" s="619">
        <f>0+táj1!J45</f>
        <v>0</v>
      </c>
      <c r="K45" s="619">
        <f>0+táj1!K45</f>
        <v>0</v>
      </c>
      <c r="L45" s="619">
        <f>0+táj1!L45</f>
        <v>0</v>
      </c>
      <c r="M45" s="619">
        <f>0+táj1!M45</f>
        <v>0</v>
      </c>
      <c r="N45" s="619">
        <f>0+táj1!N45</f>
        <v>0</v>
      </c>
      <c r="O45" s="562">
        <f t="shared" si="0"/>
        <v>10991706</v>
      </c>
    </row>
    <row r="46" spans="1:17" s="20" customFormat="1" ht="27" customHeight="1" x14ac:dyDescent="0.2">
      <c r="A46" s="49"/>
      <c r="B46" s="49"/>
      <c r="C46" s="124" t="s">
        <v>185</v>
      </c>
      <c r="D46" s="770"/>
      <c r="E46" s="562"/>
      <c r="F46" s="562"/>
      <c r="G46" s="562"/>
      <c r="H46" s="562"/>
      <c r="I46" s="562"/>
      <c r="J46" s="562"/>
      <c r="K46" s="562"/>
      <c r="L46" s="562"/>
      <c r="M46" s="562"/>
      <c r="N46" s="562"/>
      <c r="O46" s="562"/>
    </row>
    <row r="47" spans="1:17" s="20" customFormat="1" ht="26.25" customHeight="1" x14ac:dyDescent="0.2">
      <c r="A47" s="49"/>
      <c r="B47" s="49"/>
      <c r="C47" s="335" t="s">
        <v>566</v>
      </c>
      <c r="D47" s="780">
        <v>161909</v>
      </c>
      <c r="E47" s="562">
        <f>0+táj1!E47</f>
        <v>0</v>
      </c>
      <c r="F47" s="562">
        <f>0+táj1!F47</f>
        <v>0</v>
      </c>
      <c r="G47" s="562">
        <f>0+táj1!G47</f>
        <v>0</v>
      </c>
      <c r="H47" s="562">
        <f>45312264+táj1!H47</f>
        <v>45312264</v>
      </c>
      <c r="I47" s="562">
        <f>0+táj1!I47</f>
        <v>0</v>
      </c>
      <c r="J47" s="562">
        <f>0+táj1!J47</f>
        <v>0</v>
      </c>
      <c r="K47" s="562">
        <f>0+táj1!K47</f>
        <v>0</v>
      </c>
      <c r="L47" s="562">
        <f>0+táj1!L47</f>
        <v>0</v>
      </c>
      <c r="M47" s="562">
        <f>18137254+táj1!M47</f>
        <v>18137254</v>
      </c>
      <c r="N47" s="562">
        <f>0+táj1!N47</f>
        <v>0</v>
      </c>
      <c r="O47" s="562">
        <f t="shared" si="0"/>
        <v>63449518</v>
      </c>
      <c r="P47" s="43"/>
      <c r="Q47" s="43"/>
    </row>
    <row r="48" spans="1:17" s="20" customFormat="1" ht="38.25" customHeight="1" x14ac:dyDescent="0.2">
      <c r="A48" s="49"/>
      <c r="B48" s="49"/>
      <c r="C48" s="335" t="s">
        <v>501</v>
      </c>
      <c r="D48" s="780">
        <v>164106</v>
      </c>
      <c r="E48" s="562">
        <f>0+táj1!E48</f>
        <v>0</v>
      </c>
      <c r="F48" s="562">
        <f>0+táj1!F48</f>
        <v>0</v>
      </c>
      <c r="G48" s="562">
        <f>0+táj1!G48</f>
        <v>0</v>
      </c>
      <c r="H48" s="562">
        <f>548641653+táj1!H48</f>
        <v>548641653</v>
      </c>
      <c r="I48" s="562">
        <f>0+táj1!I48</f>
        <v>0</v>
      </c>
      <c r="J48" s="562">
        <f>0+táj1!J48</f>
        <v>0</v>
      </c>
      <c r="K48" s="562">
        <f>0+táj1!K48</f>
        <v>0</v>
      </c>
      <c r="L48" s="562">
        <f>0+táj1!L48</f>
        <v>0</v>
      </c>
      <c r="M48" s="562">
        <f>118972928+táj1!M48</f>
        <v>118972928</v>
      </c>
      <c r="N48" s="562">
        <f>0+táj1!N48</f>
        <v>0</v>
      </c>
      <c r="O48" s="562">
        <f t="shared" si="0"/>
        <v>667614581</v>
      </c>
      <c r="P48" s="363"/>
      <c r="Q48" s="43"/>
    </row>
    <row r="49" spans="1:17" s="20" customFormat="1" ht="24" customHeight="1" x14ac:dyDescent="0.2">
      <c r="A49" s="49"/>
      <c r="B49" s="49"/>
      <c r="C49" s="335" t="s">
        <v>502</v>
      </c>
      <c r="D49" s="780">
        <v>164204</v>
      </c>
      <c r="E49" s="562">
        <f>0+táj1!E49</f>
        <v>0</v>
      </c>
      <c r="F49" s="562">
        <f>0+táj1!F49</f>
        <v>0</v>
      </c>
      <c r="G49" s="562">
        <f>0+táj1!G49</f>
        <v>0</v>
      </c>
      <c r="H49" s="562">
        <f>194277215+táj1!H49</f>
        <v>194277215</v>
      </c>
      <c r="I49" s="562">
        <f>0+táj1!I49</f>
        <v>0</v>
      </c>
      <c r="J49" s="562">
        <f>0+táj1!J49</f>
        <v>0</v>
      </c>
      <c r="K49" s="562">
        <f>0+táj1!K49</f>
        <v>0</v>
      </c>
      <c r="L49" s="562">
        <f>0+táj1!L49</f>
        <v>0</v>
      </c>
      <c r="M49" s="562">
        <f>16325366+táj1!M49</f>
        <v>16325366</v>
      </c>
      <c r="N49" s="562">
        <f>0+táj1!N49</f>
        <v>0</v>
      </c>
      <c r="O49" s="562">
        <f t="shared" si="0"/>
        <v>210602581</v>
      </c>
      <c r="P49" s="363"/>
      <c r="Q49" s="43"/>
    </row>
    <row r="50" spans="1:17" s="20" customFormat="1" ht="27.75" customHeight="1" x14ac:dyDescent="0.2">
      <c r="A50" s="49"/>
      <c r="B50" s="49"/>
      <c r="C50" s="364" t="s">
        <v>545</v>
      </c>
      <c r="D50" s="780">
        <v>164109</v>
      </c>
      <c r="E50" s="562">
        <f>0+táj1!E50</f>
        <v>0</v>
      </c>
      <c r="F50" s="562">
        <f>5348513+táj1!F50</f>
        <v>5348513</v>
      </c>
      <c r="G50" s="562">
        <f>0+táj1!G50</f>
        <v>0</v>
      </c>
      <c r="H50" s="562">
        <f>0+táj1!H50</f>
        <v>0</v>
      </c>
      <c r="I50" s="562">
        <f>0+táj1!I50</f>
        <v>0</v>
      </c>
      <c r="J50" s="562">
        <f>0+táj1!J50</f>
        <v>0</v>
      </c>
      <c r="K50" s="562">
        <f>0+táj1!K50</f>
        <v>0</v>
      </c>
      <c r="L50" s="562">
        <f>0+táj1!L50</f>
        <v>0</v>
      </c>
      <c r="M50" s="562">
        <f>0+táj1!M50</f>
        <v>0</v>
      </c>
      <c r="N50" s="562">
        <f>0+táj1!N50</f>
        <v>0</v>
      </c>
      <c r="O50" s="562">
        <f t="shared" si="0"/>
        <v>5348513</v>
      </c>
    </row>
    <row r="51" spans="1:17" s="20" customFormat="1" ht="30" customHeight="1" x14ac:dyDescent="0.2">
      <c r="A51" s="49"/>
      <c r="B51" s="49"/>
      <c r="C51" s="124" t="s">
        <v>186</v>
      </c>
      <c r="D51" s="781"/>
      <c r="E51" s="562"/>
      <c r="F51" s="567"/>
      <c r="G51" s="567"/>
      <c r="H51" s="567"/>
      <c r="I51" s="567"/>
      <c r="J51" s="567"/>
      <c r="K51" s="567"/>
      <c r="L51" s="567"/>
      <c r="M51" s="567"/>
      <c r="N51" s="567"/>
      <c r="O51" s="562"/>
    </row>
    <row r="52" spans="1:17" s="20" customFormat="1" ht="18" customHeight="1" x14ac:dyDescent="0.2">
      <c r="A52" s="49"/>
      <c r="B52" s="49"/>
      <c r="C52" s="365" t="s">
        <v>603</v>
      </c>
      <c r="D52" s="781"/>
      <c r="E52" s="562"/>
      <c r="F52" s="567"/>
      <c r="G52" s="567"/>
      <c r="H52" s="567"/>
      <c r="I52" s="567"/>
      <c r="J52" s="567"/>
      <c r="K52" s="567"/>
      <c r="L52" s="567"/>
      <c r="M52" s="567"/>
      <c r="N52" s="567"/>
      <c r="O52" s="562"/>
    </row>
    <row r="53" spans="1:17" s="20" customFormat="1" ht="32.25" customHeight="1" x14ac:dyDescent="0.2">
      <c r="A53" s="613"/>
      <c r="B53" s="613"/>
      <c r="C53" s="629" t="s">
        <v>979</v>
      </c>
      <c r="D53" s="782">
        <v>163690</v>
      </c>
      <c r="E53" s="562">
        <f>78818000+táj1!E53</f>
        <v>78818000</v>
      </c>
      <c r="F53" s="562">
        <f>87920000+táj1!F53</f>
        <v>87920000</v>
      </c>
      <c r="G53" s="562">
        <f>0+táj1!G53</f>
        <v>0</v>
      </c>
      <c r="H53" s="562">
        <f>45019260+táj1!H53</f>
        <v>45019260</v>
      </c>
      <c r="I53" s="562">
        <f>0+táj1!I53</f>
        <v>0</v>
      </c>
      <c r="J53" s="562">
        <f>0+táj1!J53</f>
        <v>0</v>
      </c>
      <c r="K53" s="562">
        <f>0+táj1!K53</f>
        <v>0</v>
      </c>
      <c r="L53" s="562">
        <f>0+táj1!L53</f>
        <v>0</v>
      </c>
      <c r="M53" s="562">
        <f>0+táj1!M53</f>
        <v>0</v>
      </c>
      <c r="N53" s="562">
        <f>0+táj1!N53</f>
        <v>0</v>
      </c>
      <c r="O53" s="562">
        <f t="shared" si="0"/>
        <v>211757260</v>
      </c>
    </row>
    <row r="54" spans="1:17" s="20" customFormat="1" ht="27" customHeight="1" x14ac:dyDescent="0.2">
      <c r="A54" s="49"/>
      <c r="B54" s="49"/>
      <c r="C54" s="366" t="s">
        <v>529</v>
      </c>
      <c r="D54" s="381">
        <v>163625</v>
      </c>
      <c r="E54" s="562">
        <f>0+táj1!E54</f>
        <v>0</v>
      </c>
      <c r="F54" s="562">
        <f>0+táj1!F54</f>
        <v>0</v>
      </c>
      <c r="G54" s="562">
        <f>0+táj1!G54</f>
        <v>0</v>
      </c>
      <c r="H54" s="562">
        <f>0+táj1!H54</f>
        <v>0</v>
      </c>
      <c r="I54" s="562">
        <f>0+táj1!I54</f>
        <v>0</v>
      </c>
      <c r="J54" s="562">
        <f>0+táj1!J54</f>
        <v>0</v>
      </c>
      <c r="K54" s="562">
        <f>0+táj1!K54</f>
        <v>0</v>
      </c>
      <c r="L54" s="562">
        <f>0+táj1!L54</f>
        <v>0</v>
      </c>
      <c r="M54" s="562">
        <f>58092003+táj1!M54</f>
        <v>58092003</v>
      </c>
      <c r="N54" s="562">
        <f>0+táj1!N54</f>
        <v>0</v>
      </c>
      <c r="O54" s="562">
        <f t="shared" si="0"/>
        <v>58092003</v>
      </c>
    </row>
    <row r="55" spans="1:17" s="20" customFormat="1" ht="21.75" customHeight="1" x14ac:dyDescent="0.2">
      <c r="A55" s="49"/>
      <c r="B55" s="49"/>
      <c r="C55" s="367" t="s">
        <v>608</v>
      </c>
      <c r="D55" s="381">
        <v>163658</v>
      </c>
      <c r="E55" s="562">
        <f>17526000+táj1!E55</f>
        <v>17526000</v>
      </c>
      <c r="F55" s="562">
        <f>0+táj1!F55</f>
        <v>0</v>
      </c>
      <c r="G55" s="562">
        <f>0+táj1!G55</f>
        <v>0</v>
      </c>
      <c r="H55" s="562">
        <f>0+táj1!H55</f>
        <v>0</v>
      </c>
      <c r="I55" s="562">
        <f>0+táj1!I55</f>
        <v>0</v>
      </c>
      <c r="J55" s="562">
        <f>0+táj1!J55</f>
        <v>0</v>
      </c>
      <c r="K55" s="562">
        <f>0+táj1!K55</f>
        <v>0</v>
      </c>
      <c r="L55" s="562">
        <f>0+táj1!L55</f>
        <v>0</v>
      </c>
      <c r="M55" s="562">
        <f>403860+táj1!M55</f>
        <v>403860</v>
      </c>
      <c r="N55" s="562">
        <f>0+táj1!N55</f>
        <v>0</v>
      </c>
      <c r="O55" s="562">
        <f t="shared" si="0"/>
        <v>17929860</v>
      </c>
    </row>
    <row r="56" spans="1:17" s="20" customFormat="1" ht="31.15" customHeight="1" x14ac:dyDescent="0.2">
      <c r="A56" s="49"/>
      <c r="B56" s="49"/>
      <c r="C56" s="368" t="s">
        <v>556</v>
      </c>
      <c r="D56" s="381">
        <v>163662</v>
      </c>
      <c r="E56" s="562">
        <f>31523133+táj1!E56</f>
        <v>31523133</v>
      </c>
      <c r="F56" s="562">
        <f>0+táj1!F56</f>
        <v>0</v>
      </c>
      <c r="G56" s="562">
        <f>0+táj1!G56</f>
        <v>0</v>
      </c>
      <c r="H56" s="562">
        <f>0+táj1!H56</f>
        <v>0</v>
      </c>
      <c r="I56" s="562">
        <f>0+táj1!I56</f>
        <v>0</v>
      </c>
      <c r="J56" s="562">
        <f>0+táj1!J56</f>
        <v>0</v>
      </c>
      <c r="K56" s="562">
        <f>0+táj1!K56</f>
        <v>0</v>
      </c>
      <c r="L56" s="562">
        <f>0+táj1!L56</f>
        <v>0</v>
      </c>
      <c r="M56" s="562">
        <f>13668451+táj1!M56</f>
        <v>13668451</v>
      </c>
      <c r="N56" s="562">
        <f>0+táj1!N56</f>
        <v>0</v>
      </c>
      <c r="O56" s="562">
        <f t="shared" si="0"/>
        <v>45191584</v>
      </c>
    </row>
    <row r="57" spans="1:17" s="20" customFormat="1" ht="31.15" customHeight="1" x14ac:dyDescent="0.2">
      <c r="A57" s="49"/>
      <c r="B57" s="49"/>
      <c r="C57" s="58" t="s">
        <v>696</v>
      </c>
      <c r="D57" s="783">
        <v>163679</v>
      </c>
      <c r="E57" s="562">
        <f>8066056+táj1!E57</f>
        <v>8066056</v>
      </c>
      <c r="F57" s="562">
        <f>91933944+táj1!F57</f>
        <v>91933944</v>
      </c>
      <c r="G57" s="562">
        <f>0+táj1!G57</f>
        <v>0</v>
      </c>
      <c r="H57" s="562">
        <f>0+táj1!H57</f>
        <v>0</v>
      </c>
      <c r="I57" s="562">
        <f>0+táj1!I57</f>
        <v>0</v>
      </c>
      <c r="J57" s="562">
        <f>0+táj1!J57</f>
        <v>0</v>
      </c>
      <c r="K57" s="562">
        <f>0+táj1!K57</f>
        <v>0</v>
      </c>
      <c r="L57" s="562">
        <f>0+táj1!L57</f>
        <v>0</v>
      </c>
      <c r="M57" s="562">
        <f>0+táj1!M57</f>
        <v>0</v>
      </c>
      <c r="N57" s="562">
        <f>0+táj1!N57</f>
        <v>0</v>
      </c>
      <c r="O57" s="562">
        <f t="shared" si="0"/>
        <v>100000000</v>
      </c>
    </row>
    <row r="58" spans="1:17" s="20" customFormat="1" ht="31.15" customHeight="1" x14ac:dyDescent="0.2">
      <c r="A58" s="49"/>
      <c r="B58" s="49"/>
      <c r="C58" s="58" t="s">
        <v>639</v>
      </c>
      <c r="D58" s="783">
        <v>163680</v>
      </c>
      <c r="E58" s="562">
        <f>92003695+táj1!E58</f>
        <v>92003695</v>
      </c>
      <c r="F58" s="562">
        <f>263258674+táj1!F58</f>
        <v>263258674</v>
      </c>
      <c r="G58" s="562">
        <f>0+táj1!G58</f>
        <v>0</v>
      </c>
      <c r="H58" s="562">
        <f>0+táj1!H58</f>
        <v>0</v>
      </c>
      <c r="I58" s="562">
        <f>0+táj1!I58</f>
        <v>0</v>
      </c>
      <c r="J58" s="562">
        <f>0+táj1!J58</f>
        <v>0</v>
      </c>
      <c r="K58" s="562">
        <f>0+táj1!K58</f>
        <v>0</v>
      </c>
      <c r="L58" s="562">
        <f>0+táj1!L58</f>
        <v>0</v>
      </c>
      <c r="M58" s="562">
        <f>20073890+táj1!M58</f>
        <v>20073890</v>
      </c>
      <c r="N58" s="562">
        <f>0+táj1!N58</f>
        <v>0</v>
      </c>
      <c r="O58" s="562">
        <f t="shared" si="0"/>
        <v>375336259</v>
      </c>
    </row>
    <row r="59" spans="1:17" s="20" customFormat="1" ht="31.15" customHeight="1" x14ac:dyDescent="0.2">
      <c r="A59" s="49"/>
      <c r="B59" s="49"/>
      <c r="C59" s="58" t="s">
        <v>640</v>
      </c>
      <c r="D59" s="783">
        <v>163681</v>
      </c>
      <c r="E59" s="562">
        <f>52496727+táj1!E59</f>
        <v>52496727</v>
      </c>
      <c r="F59" s="562">
        <f>208171510+táj1!F59</f>
        <v>208171510</v>
      </c>
      <c r="G59" s="562">
        <f>0+táj1!G59</f>
        <v>0</v>
      </c>
      <c r="H59" s="562">
        <f>0+táj1!H59</f>
        <v>0</v>
      </c>
      <c r="I59" s="562">
        <f>0+táj1!I59</f>
        <v>0</v>
      </c>
      <c r="J59" s="562">
        <f>0+táj1!J59</f>
        <v>0</v>
      </c>
      <c r="K59" s="562">
        <f>0+táj1!K59</f>
        <v>0</v>
      </c>
      <c r="L59" s="562">
        <f>0+táj1!L59</f>
        <v>0</v>
      </c>
      <c r="M59" s="562">
        <f>14928017+táj1!M59</f>
        <v>14928017</v>
      </c>
      <c r="N59" s="562">
        <f>0+táj1!N59</f>
        <v>0</v>
      </c>
      <c r="O59" s="562">
        <f t="shared" si="0"/>
        <v>275596254</v>
      </c>
    </row>
    <row r="60" spans="1:17" s="20" customFormat="1" ht="43.9" customHeight="1" x14ac:dyDescent="0.2">
      <c r="A60" s="49"/>
      <c r="B60" s="49"/>
      <c r="C60" s="58" t="s">
        <v>641</v>
      </c>
      <c r="D60" s="783">
        <v>163682</v>
      </c>
      <c r="E60" s="562">
        <f>13053140+táj1!E60</f>
        <v>13053140</v>
      </c>
      <c r="F60" s="562">
        <f>236946860+táj1!F60</f>
        <v>236946860</v>
      </c>
      <c r="G60" s="562">
        <f>0+táj1!G60</f>
        <v>0</v>
      </c>
      <c r="H60" s="562">
        <f>0+táj1!H60</f>
        <v>0</v>
      </c>
      <c r="I60" s="562">
        <f>0+táj1!I60</f>
        <v>0</v>
      </c>
      <c r="J60" s="562">
        <f>0+táj1!J60</f>
        <v>0</v>
      </c>
      <c r="K60" s="562">
        <f>0+táj1!K60</f>
        <v>0</v>
      </c>
      <c r="L60" s="562">
        <f>0+táj1!L60</f>
        <v>0</v>
      </c>
      <c r="M60" s="562">
        <f>0+táj1!M60</f>
        <v>0</v>
      </c>
      <c r="N60" s="562">
        <f>0+táj1!N60</f>
        <v>0</v>
      </c>
      <c r="O60" s="562">
        <f t="shared" si="0"/>
        <v>250000000</v>
      </c>
    </row>
    <row r="61" spans="1:17" s="20" customFormat="1" ht="43.9" customHeight="1" x14ac:dyDescent="0.2">
      <c r="A61" s="49"/>
      <c r="B61" s="49"/>
      <c r="C61" s="370" t="s">
        <v>682</v>
      </c>
      <c r="D61" s="783">
        <v>163666</v>
      </c>
      <c r="E61" s="562">
        <f>104454223+táj1!E61</f>
        <v>104454223</v>
      </c>
      <c r="F61" s="562">
        <f>365291530+táj1!F61</f>
        <v>365291530</v>
      </c>
      <c r="G61" s="562">
        <f>0+táj1!G61</f>
        <v>0</v>
      </c>
      <c r="H61" s="562">
        <f>0+táj1!H61</f>
        <v>0</v>
      </c>
      <c r="I61" s="562">
        <f>0+táj1!I61</f>
        <v>0</v>
      </c>
      <c r="J61" s="562">
        <f>0+táj1!J61</f>
        <v>0</v>
      </c>
      <c r="K61" s="562">
        <f>0+táj1!K61</f>
        <v>0</v>
      </c>
      <c r="L61" s="562">
        <f>0+táj1!L61</f>
        <v>0</v>
      </c>
      <c r="M61" s="562">
        <f>25860000+táj1!M61</f>
        <v>25860000</v>
      </c>
      <c r="N61" s="562">
        <f>0+táj1!N61</f>
        <v>0</v>
      </c>
      <c r="O61" s="562">
        <f t="shared" si="0"/>
        <v>495605753</v>
      </c>
    </row>
    <row r="62" spans="1:17" s="20" customFormat="1" ht="39.75" customHeight="1" x14ac:dyDescent="0.2">
      <c r="A62" s="49"/>
      <c r="B62" s="49"/>
      <c r="C62" s="371" t="s">
        <v>683</v>
      </c>
      <c r="D62" s="381">
        <v>163671</v>
      </c>
      <c r="E62" s="562">
        <f>5510056+táj1!E62</f>
        <v>5510056</v>
      </c>
      <c r="F62" s="562">
        <f>94489944+táj1!F62</f>
        <v>94489944</v>
      </c>
      <c r="G62" s="562">
        <f>0+táj1!G62</f>
        <v>0</v>
      </c>
      <c r="H62" s="562">
        <f>0+táj1!H62</f>
        <v>0</v>
      </c>
      <c r="I62" s="562">
        <f>0+táj1!I62</f>
        <v>0</v>
      </c>
      <c r="J62" s="562">
        <f>0+táj1!J62</f>
        <v>0</v>
      </c>
      <c r="K62" s="562">
        <f>0+táj1!K62</f>
        <v>0</v>
      </c>
      <c r="L62" s="562">
        <f>0+táj1!L62</f>
        <v>0</v>
      </c>
      <c r="M62" s="562">
        <f>0+táj1!M62</f>
        <v>0</v>
      </c>
      <c r="N62" s="562">
        <f>0+táj1!N62</f>
        <v>0</v>
      </c>
      <c r="O62" s="562">
        <f t="shared" si="0"/>
        <v>100000000</v>
      </c>
    </row>
    <row r="63" spans="1:17" s="20" customFormat="1" ht="30" customHeight="1" x14ac:dyDescent="0.2">
      <c r="A63" s="49"/>
      <c r="B63" s="49"/>
      <c r="C63" s="370" t="s">
        <v>684</v>
      </c>
      <c r="D63" s="381">
        <v>163672</v>
      </c>
      <c r="E63" s="562">
        <f>8928000+táj1!E63</f>
        <v>8928000</v>
      </c>
      <c r="F63" s="562">
        <f>195072000+táj1!F63</f>
        <v>195072000</v>
      </c>
      <c r="G63" s="562">
        <f>0+táj1!G63</f>
        <v>0</v>
      </c>
      <c r="H63" s="562">
        <f>0+táj1!H63</f>
        <v>0</v>
      </c>
      <c r="I63" s="562">
        <f>0+táj1!I63</f>
        <v>0</v>
      </c>
      <c r="J63" s="562">
        <f>0+táj1!J63</f>
        <v>0</v>
      </c>
      <c r="K63" s="562">
        <f>0+táj1!K63</f>
        <v>0</v>
      </c>
      <c r="L63" s="562">
        <f>0+táj1!L63</f>
        <v>0</v>
      </c>
      <c r="M63" s="562">
        <f>0+táj1!M63</f>
        <v>0</v>
      </c>
      <c r="N63" s="562">
        <f>0+táj1!N63</f>
        <v>0</v>
      </c>
      <c r="O63" s="562">
        <f t="shared" si="0"/>
        <v>204000000</v>
      </c>
    </row>
    <row r="64" spans="1:17" s="20" customFormat="1" ht="43.9" customHeight="1" x14ac:dyDescent="0.2">
      <c r="A64" s="49"/>
      <c r="B64" s="49"/>
      <c r="C64" s="370" t="s">
        <v>685</v>
      </c>
      <c r="D64" s="381">
        <v>163665</v>
      </c>
      <c r="E64" s="562">
        <f>62742056+táj1!E64</f>
        <v>62742056</v>
      </c>
      <c r="F64" s="562">
        <f>893257944+táj1!F64</f>
        <v>893257944</v>
      </c>
      <c r="G64" s="562">
        <f>0+táj1!G64</f>
        <v>0</v>
      </c>
      <c r="H64" s="562">
        <f>248400525+táj1!H64</f>
        <v>248400525</v>
      </c>
      <c r="I64" s="562">
        <f>0+táj1!I64</f>
        <v>0</v>
      </c>
      <c r="J64" s="562">
        <f>0+táj1!J64</f>
        <v>0</v>
      </c>
      <c r="K64" s="562">
        <f>0+táj1!K64</f>
        <v>0</v>
      </c>
      <c r="L64" s="562">
        <f>0+táj1!L64</f>
        <v>0</v>
      </c>
      <c r="M64" s="562">
        <f>7944000+táj1!M64</f>
        <v>7944000</v>
      </c>
      <c r="N64" s="562">
        <f>0+táj1!N64</f>
        <v>0</v>
      </c>
      <c r="O64" s="562">
        <f t="shared" si="0"/>
        <v>1212344525</v>
      </c>
    </row>
    <row r="65" spans="1:15" s="20" customFormat="1" ht="30.75" customHeight="1" x14ac:dyDescent="0.2">
      <c r="A65" s="49"/>
      <c r="B65" s="49"/>
      <c r="C65" s="370" t="s">
        <v>686</v>
      </c>
      <c r="D65" s="381">
        <v>163685</v>
      </c>
      <c r="E65" s="562">
        <f>10326698+táj1!E65</f>
        <v>10326698</v>
      </c>
      <c r="F65" s="562">
        <f>175672894+táj1!F65</f>
        <v>175672894</v>
      </c>
      <c r="G65" s="562">
        <f>0+táj1!G65</f>
        <v>0</v>
      </c>
      <c r="H65" s="562">
        <f>0+táj1!H65</f>
        <v>0</v>
      </c>
      <c r="I65" s="562">
        <f>0+táj1!I65</f>
        <v>0</v>
      </c>
      <c r="J65" s="562">
        <f>0+táj1!J65</f>
        <v>0</v>
      </c>
      <c r="K65" s="562">
        <f>0+táj1!K65</f>
        <v>0</v>
      </c>
      <c r="L65" s="562">
        <f>0+táj1!L65</f>
        <v>0</v>
      </c>
      <c r="M65" s="562">
        <f>0+táj1!M65</f>
        <v>0</v>
      </c>
      <c r="N65" s="562">
        <f>0+táj1!N65</f>
        <v>0</v>
      </c>
      <c r="O65" s="562">
        <f t="shared" si="0"/>
        <v>185999592</v>
      </c>
    </row>
    <row r="66" spans="1:15" s="20" customFormat="1" ht="29.25" customHeight="1" x14ac:dyDescent="0.2">
      <c r="A66" s="49"/>
      <c r="B66" s="49"/>
      <c r="C66" s="370" t="s">
        <v>687</v>
      </c>
      <c r="D66" s="784">
        <v>163684</v>
      </c>
      <c r="E66" s="562">
        <f>21646402+táj1!E66</f>
        <v>21646402</v>
      </c>
      <c r="F66" s="562">
        <f>338353598+táj1!F66</f>
        <v>338353598</v>
      </c>
      <c r="G66" s="562">
        <f>0+táj1!G66</f>
        <v>0</v>
      </c>
      <c r="H66" s="562">
        <f>0+táj1!H66</f>
        <v>0</v>
      </c>
      <c r="I66" s="562">
        <f>0+táj1!I66</f>
        <v>0</v>
      </c>
      <c r="J66" s="562">
        <f>0+táj1!J66</f>
        <v>0</v>
      </c>
      <c r="K66" s="562">
        <f>0+táj1!K66</f>
        <v>0</v>
      </c>
      <c r="L66" s="562">
        <f>0+táj1!L66</f>
        <v>0</v>
      </c>
      <c r="M66" s="562">
        <f>0+táj1!M66</f>
        <v>0</v>
      </c>
      <c r="N66" s="562">
        <f>0+táj1!N66</f>
        <v>0</v>
      </c>
      <c r="O66" s="562">
        <f t="shared" si="0"/>
        <v>360000000</v>
      </c>
    </row>
    <row r="67" spans="1:15" s="20" customFormat="1" ht="31.5" customHeight="1" x14ac:dyDescent="0.2">
      <c r="A67" s="49"/>
      <c r="B67" s="49"/>
      <c r="C67" s="125" t="s">
        <v>689</v>
      </c>
      <c r="D67" s="381">
        <v>163673</v>
      </c>
      <c r="E67" s="562">
        <f>13680701+táj1!E67</f>
        <v>13680701</v>
      </c>
      <c r="F67" s="562">
        <f>166319299+táj1!F67</f>
        <v>166319299</v>
      </c>
      <c r="G67" s="562">
        <f>0+táj1!G67</f>
        <v>0</v>
      </c>
      <c r="H67" s="562">
        <f>0+táj1!H67</f>
        <v>0</v>
      </c>
      <c r="I67" s="562">
        <f>0+táj1!I67</f>
        <v>0</v>
      </c>
      <c r="J67" s="562">
        <f>0+táj1!J67</f>
        <v>0</v>
      </c>
      <c r="K67" s="562">
        <f>0+táj1!K67</f>
        <v>0</v>
      </c>
      <c r="L67" s="562">
        <f>0+táj1!L67</f>
        <v>0</v>
      </c>
      <c r="M67" s="562">
        <f>0+táj1!M67</f>
        <v>0</v>
      </c>
      <c r="N67" s="562">
        <f>0+táj1!N67</f>
        <v>0</v>
      </c>
      <c r="O67" s="562">
        <f t="shared" si="0"/>
        <v>180000000</v>
      </c>
    </row>
    <row r="68" spans="1:15" s="20" customFormat="1" ht="28.5" customHeight="1" x14ac:dyDescent="0.2">
      <c r="A68" s="49"/>
      <c r="B68" s="49"/>
      <c r="C68" s="458" t="s">
        <v>690</v>
      </c>
      <c r="D68" s="381">
        <v>163687</v>
      </c>
      <c r="E68" s="562">
        <f>8584111+táj1!E68</f>
        <v>8584111</v>
      </c>
      <c r="F68" s="562">
        <f>191415889+táj1!F68</f>
        <v>191415889</v>
      </c>
      <c r="G68" s="562">
        <f>0+táj1!G68</f>
        <v>0</v>
      </c>
      <c r="H68" s="562">
        <f>0+táj1!H68</f>
        <v>0</v>
      </c>
      <c r="I68" s="562">
        <f>0+táj1!I68</f>
        <v>0</v>
      </c>
      <c r="J68" s="562">
        <f>0+táj1!J68</f>
        <v>0</v>
      </c>
      <c r="K68" s="562">
        <f>0+táj1!K68</f>
        <v>0</v>
      </c>
      <c r="L68" s="562">
        <f>0+táj1!L68</f>
        <v>0</v>
      </c>
      <c r="M68" s="562">
        <f>0+táj1!M68</f>
        <v>0</v>
      </c>
      <c r="N68" s="562">
        <f>0+táj1!N68</f>
        <v>0</v>
      </c>
      <c r="O68" s="562">
        <f t="shared" si="0"/>
        <v>200000000</v>
      </c>
    </row>
    <row r="69" spans="1:15" s="20" customFormat="1" ht="56.25" customHeight="1" x14ac:dyDescent="0.2">
      <c r="A69" s="49"/>
      <c r="B69" s="49"/>
      <c r="C69" s="458" t="s">
        <v>691</v>
      </c>
      <c r="D69" s="381">
        <v>163678</v>
      </c>
      <c r="E69" s="562">
        <f>66518300+táj1!E69</f>
        <v>66518300</v>
      </c>
      <c r="F69" s="562">
        <f>14298610+táj1!F69</f>
        <v>14298610</v>
      </c>
      <c r="G69" s="562">
        <f>0+táj1!G69</f>
        <v>0</v>
      </c>
      <c r="H69" s="562">
        <f>0+táj1!H69</f>
        <v>0</v>
      </c>
      <c r="I69" s="562">
        <f>0+táj1!I69</f>
        <v>0</v>
      </c>
      <c r="J69" s="562">
        <f>0+táj1!J69</f>
        <v>0</v>
      </c>
      <c r="K69" s="562">
        <f>0+táj1!K69</f>
        <v>0</v>
      </c>
      <c r="L69" s="562">
        <f>0+táj1!L69</f>
        <v>0</v>
      </c>
      <c r="M69" s="562">
        <f>0+táj1!M69</f>
        <v>0</v>
      </c>
      <c r="N69" s="562">
        <f>0+táj1!N69</f>
        <v>0</v>
      </c>
      <c r="O69" s="562">
        <f t="shared" si="0"/>
        <v>80816910</v>
      </c>
    </row>
    <row r="70" spans="1:15" s="20" customFormat="1" ht="32.25" customHeight="1" x14ac:dyDescent="0.2">
      <c r="A70" s="49"/>
      <c r="B70" s="49"/>
      <c r="C70" s="459" t="s">
        <v>688</v>
      </c>
      <c r="D70" s="784">
        <v>163686</v>
      </c>
      <c r="E70" s="562">
        <f>16847290+táj1!E70</f>
        <v>16847290</v>
      </c>
      <c r="F70" s="562">
        <f>354358710+táj1!F70</f>
        <v>354358710</v>
      </c>
      <c r="G70" s="562">
        <f>0+táj1!G70</f>
        <v>0</v>
      </c>
      <c r="H70" s="562">
        <f>0+táj1!H70</f>
        <v>0</v>
      </c>
      <c r="I70" s="562">
        <f>0+táj1!I70</f>
        <v>0</v>
      </c>
      <c r="J70" s="562">
        <f>0+táj1!J70</f>
        <v>0</v>
      </c>
      <c r="K70" s="562">
        <f>0+táj1!K70</f>
        <v>0</v>
      </c>
      <c r="L70" s="562">
        <f>0+táj1!L70</f>
        <v>0</v>
      </c>
      <c r="M70" s="562">
        <f>0+táj1!M70</f>
        <v>0</v>
      </c>
      <c r="N70" s="562">
        <f>0+táj1!N70</f>
        <v>0</v>
      </c>
      <c r="O70" s="562">
        <f t="shared" si="0"/>
        <v>371206000</v>
      </c>
    </row>
    <row r="71" spans="1:15" s="20" customFormat="1" ht="43.9" customHeight="1" x14ac:dyDescent="0.2">
      <c r="A71" s="49"/>
      <c r="B71" s="49"/>
      <c r="C71" s="373" t="s">
        <v>693</v>
      </c>
      <c r="D71" s="784">
        <v>163688</v>
      </c>
      <c r="E71" s="562">
        <f>122629159+táj1!E71</f>
        <v>122629159</v>
      </c>
      <c r="F71" s="562">
        <f>380680213+táj1!F71</f>
        <v>380680213</v>
      </c>
      <c r="G71" s="562">
        <f>0+táj1!G71</f>
        <v>0</v>
      </c>
      <c r="H71" s="562">
        <f>0+táj1!H71</f>
        <v>31058034</v>
      </c>
      <c r="I71" s="562">
        <f>0+táj1!I71</f>
        <v>0</v>
      </c>
      <c r="J71" s="562">
        <f>0+táj1!J71</f>
        <v>0</v>
      </c>
      <c r="K71" s="562">
        <f>0+táj1!K71</f>
        <v>0</v>
      </c>
      <c r="L71" s="562">
        <f>0+táj1!L71</f>
        <v>0</v>
      </c>
      <c r="M71" s="562">
        <f>0+táj1!M71</f>
        <v>0</v>
      </c>
      <c r="N71" s="562">
        <f>0+táj1!N71</f>
        <v>0</v>
      </c>
      <c r="O71" s="562">
        <f t="shared" si="0"/>
        <v>534367406</v>
      </c>
    </row>
    <row r="72" spans="1:15" s="20" customFormat="1" ht="48.75" customHeight="1" x14ac:dyDescent="0.2">
      <c r="A72" s="49"/>
      <c r="B72" s="49"/>
      <c r="C72" s="373" t="s">
        <v>694</v>
      </c>
      <c r="D72" s="784">
        <v>163689</v>
      </c>
      <c r="E72" s="562">
        <f>187961676+táj1!E72</f>
        <v>187961676</v>
      </c>
      <c r="F72" s="562">
        <f>786038324+táj1!F72</f>
        <v>786038324</v>
      </c>
      <c r="G72" s="562">
        <f>0+táj1!G72</f>
        <v>0</v>
      </c>
      <c r="H72" s="562">
        <f>0+táj1!H72</f>
        <v>0</v>
      </c>
      <c r="I72" s="562">
        <f>0+táj1!I72</f>
        <v>0</v>
      </c>
      <c r="J72" s="562">
        <f>0+táj1!J72</f>
        <v>0</v>
      </c>
      <c r="K72" s="562">
        <f>0+táj1!K72</f>
        <v>0</v>
      </c>
      <c r="L72" s="562">
        <f>0+táj1!L72</f>
        <v>0</v>
      </c>
      <c r="M72" s="562">
        <f>0+táj1!M72</f>
        <v>0</v>
      </c>
      <c r="N72" s="562">
        <f>0+táj1!N72</f>
        <v>0</v>
      </c>
      <c r="O72" s="562">
        <f t="shared" si="0"/>
        <v>974000000</v>
      </c>
    </row>
    <row r="73" spans="1:15" s="20" customFormat="1" ht="23.25" customHeight="1" x14ac:dyDescent="0.2">
      <c r="A73" s="49"/>
      <c r="B73" s="49"/>
      <c r="C73" s="374" t="s">
        <v>414</v>
      </c>
      <c r="D73" s="785"/>
      <c r="E73" s="562"/>
      <c r="F73" s="568"/>
      <c r="G73" s="568"/>
      <c r="H73" s="568"/>
      <c r="I73" s="568"/>
      <c r="J73" s="568"/>
      <c r="K73" s="568"/>
      <c r="L73" s="568"/>
      <c r="M73" s="568"/>
      <c r="N73" s="568"/>
      <c r="O73" s="569"/>
    </row>
    <row r="74" spans="1:15" s="20" customFormat="1" ht="31.5" customHeight="1" x14ac:dyDescent="0.2">
      <c r="A74" s="49"/>
      <c r="B74" s="49"/>
      <c r="C74" s="373" t="s">
        <v>188</v>
      </c>
      <c r="D74" s="381">
        <v>163702</v>
      </c>
      <c r="E74" s="562">
        <f>0+táj1!E74</f>
        <v>0</v>
      </c>
      <c r="F74" s="562">
        <f>0+táj1!F74</f>
        <v>0</v>
      </c>
      <c r="G74" s="562">
        <f>0+táj1!G74</f>
        <v>0</v>
      </c>
      <c r="H74" s="562">
        <f>0+táj1!H74</f>
        <v>0</v>
      </c>
      <c r="I74" s="562">
        <f>0+táj1!I74</f>
        <v>0</v>
      </c>
      <c r="J74" s="562">
        <f>0+táj1!J74</f>
        <v>0</v>
      </c>
      <c r="K74" s="562">
        <f>0+táj1!K74</f>
        <v>0</v>
      </c>
      <c r="L74" s="562">
        <f>0+táj1!L74</f>
        <v>0</v>
      </c>
      <c r="M74" s="562">
        <f>38350149+táj1!M74</f>
        <v>38350149</v>
      </c>
      <c r="N74" s="562">
        <f>0+táj1!N74</f>
        <v>0</v>
      </c>
      <c r="O74" s="562">
        <f t="shared" si="0"/>
        <v>38350149</v>
      </c>
    </row>
    <row r="75" spans="1:15" s="20" customFormat="1" ht="51.75" customHeight="1" x14ac:dyDescent="0.2">
      <c r="A75" s="49"/>
      <c r="B75" s="49"/>
      <c r="C75" s="376" t="s">
        <v>187</v>
      </c>
      <c r="D75" s="381">
        <v>163621</v>
      </c>
      <c r="E75" s="562">
        <f>0+táj1!E75</f>
        <v>0</v>
      </c>
      <c r="F75" s="562">
        <f>0+táj1!F75</f>
        <v>0</v>
      </c>
      <c r="G75" s="562">
        <f>0+táj1!G75</f>
        <v>0</v>
      </c>
      <c r="H75" s="562">
        <f>36329860+táj1!H75</f>
        <v>36329860</v>
      </c>
      <c r="I75" s="562">
        <f>0+táj1!I75</f>
        <v>0</v>
      </c>
      <c r="J75" s="562">
        <f>0+táj1!J75</f>
        <v>0</v>
      </c>
      <c r="K75" s="562">
        <f>0+táj1!K75</f>
        <v>0</v>
      </c>
      <c r="L75" s="562">
        <f>0+táj1!L75</f>
        <v>0</v>
      </c>
      <c r="M75" s="562">
        <f>37986620+táj1!M75</f>
        <v>37986620</v>
      </c>
      <c r="N75" s="562">
        <f>471000000+táj1!N75</f>
        <v>471000000</v>
      </c>
      <c r="O75" s="562">
        <f t="shared" si="0"/>
        <v>545316480</v>
      </c>
    </row>
    <row r="76" spans="1:15" s="20" customFormat="1" ht="51.75" customHeight="1" x14ac:dyDescent="0.2">
      <c r="A76" s="49"/>
      <c r="B76" s="49"/>
      <c r="C76" s="377" t="s">
        <v>543</v>
      </c>
      <c r="D76" s="381">
        <v>163650</v>
      </c>
      <c r="E76" s="562">
        <f>0+táj1!E76</f>
        <v>0</v>
      </c>
      <c r="F76" s="562">
        <f>0+táj1!F76</f>
        <v>0</v>
      </c>
      <c r="G76" s="562">
        <f>0+táj1!G76</f>
        <v>0</v>
      </c>
      <c r="H76" s="562">
        <f>54830934+táj1!H76</f>
        <v>54830934</v>
      </c>
      <c r="I76" s="562">
        <f>0+táj1!I76</f>
        <v>0</v>
      </c>
      <c r="J76" s="562">
        <f>0+táj1!J76</f>
        <v>0</v>
      </c>
      <c r="K76" s="562">
        <f>0+táj1!K76</f>
        <v>0</v>
      </c>
      <c r="L76" s="562">
        <f>0+táj1!L76</f>
        <v>0</v>
      </c>
      <c r="M76" s="562">
        <f>2461485+táj1!M76</f>
        <v>2461485</v>
      </c>
      <c r="N76" s="562">
        <f>751710000+táj1!N76</f>
        <v>751710000</v>
      </c>
      <c r="O76" s="562">
        <f t="shared" si="0"/>
        <v>809002419</v>
      </c>
    </row>
    <row r="77" spans="1:15" s="20" customFormat="1" ht="18.75" customHeight="1" x14ac:dyDescent="0.2">
      <c r="A77" s="49"/>
      <c r="B77" s="49"/>
      <c r="C77" s="378" t="s">
        <v>801</v>
      </c>
      <c r="D77" s="785"/>
      <c r="E77" s="562"/>
      <c r="F77" s="568"/>
      <c r="G77" s="568"/>
      <c r="H77" s="568"/>
      <c r="I77" s="568"/>
      <c r="J77" s="568"/>
      <c r="K77" s="568"/>
      <c r="L77" s="568"/>
      <c r="M77" s="568"/>
      <c r="N77" s="568"/>
      <c r="O77" s="569"/>
    </row>
    <row r="78" spans="1:15" s="20" customFormat="1" ht="50.25" customHeight="1" x14ac:dyDescent="0.2">
      <c r="A78" s="613"/>
      <c r="B78" s="613"/>
      <c r="C78" s="675" t="s">
        <v>1003</v>
      </c>
      <c r="D78" s="786">
        <v>163691</v>
      </c>
      <c r="E78" s="619">
        <f>22460005+táj1!E78</f>
        <v>22460005</v>
      </c>
      <c r="F78" s="619">
        <f>167050038+táj1!F78</f>
        <v>167050038</v>
      </c>
      <c r="G78" s="619">
        <f>0+táj1!G78</f>
        <v>0</v>
      </c>
      <c r="H78" s="619">
        <f>0+táj1!H78</f>
        <v>0</v>
      </c>
      <c r="I78" s="619">
        <f>0+táj1!I78</f>
        <v>0</v>
      </c>
      <c r="J78" s="619">
        <f>0+táj1!J78</f>
        <v>0</v>
      </c>
      <c r="K78" s="619">
        <f>0+táj1!K78</f>
        <v>0</v>
      </c>
      <c r="L78" s="619">
        <f>0+táj1!L78</f>
        <v>0</v>
      </c>
      <c r="M78" s="619">
        <f>0+táj1!M78</f>
        <v>0</v>
      </c>
      <c r="N78" s="619">
        <f>0+táj1!N78</f>
        <v>0</v>
      </c>
      <c r="O78" s="619">
        <f>SUM(E78:N78)</f>
        <v>189510043</v>
      </c>
    </row>
    <row r="79" spans="1:15" s="20" customFormat="1" ht="53.25" customHeight="1" x14ac:dyDescent="0.2">
      <c r="A79" s="613"/>
      <c r="B79" s="613"/>
      <c r="C79" s="675" t="s">
        <v>1004</v>
      </c>
      <c r="D79" s="786">
        <v>163692</v>
      </c>
      <c r="E79" s="619">
        <f>2239999+táj1!E79</f>
        <v>2239999</v>
      </c>
      <c r="F79" s="619">
        <f>87760000+táj1!F79</f>
        <v>87760000</v>
      </c>
      <c r="G79" s="619">
        <f>0+táj1!G79</f>
        <v>0</v>
      </c>
      <c r="H79" s="619">
        <f>0+táj1!H79</f>
        <v>0</v>
      </c>
      <c r="I79" s="619">
        <f>0+táj1!I79</f>
        <v>0</v>
      </c>
      <c r="J79" s="619">
        <f>0+táj1!J79</f>
        <v>0</v>
      </c>
      <c r="K79" s="619">
        <f>0+táj1!K79</f>
        <v>0</v>
      </c>
      <c r="L79" s="619">
        <f>0+táj1!L79</f>
        <v>0</v>
      </c>
      <c r="M79" s="619">
        <f>0+táj1!M79</f>
        <v>0</v>
      </c>
      <c r="N79" s="619">
        <f>0+táj1!N79</f>
        <v>0</v>
      </c>
      <c r="O79" s="619">
        <f>SUM(E79:N79)</f>
        <v>89999999</v>
      </c>
    </row>
    <row r="80" spans="1:15" s="20" customFormat="1" ht="37.5" customHeight="1" x14ac:dyDescent="0.2">
      <c r="A80" s="49"/>
      <c r="B80" s="49"/>
      <c r="C80" s="373" t="s">
        <v>697</v>
      </c>
      <c r="D80" s="381">
        <v>164959</v>
      </c>
      <c r="E80" s="562">
        <f>0+táj1!E80</f>
        <v>0</v>
      </c>
      <c r="F80" s="562">
        <f>0+táj1!F80</f>
        <v>0</v>
      </c>
      <c r="G80" s="562">
        <f>0+táj1!G80</f>
        <v>0</v>
      </c>
      <c r="H80" s="562">
        <f>0+táj1!H80</f>
        <v>0</v>
      </c>
      <c r="I80" s="562">
        <f>0+táj1!I80</f>
        <v>0</v>
      </c>
      <c r="J80" s="562">
        <f>0+táj1!J80</f>
        <v>0</v>
      </c>
      <c r="K80" s="562">
        <f>0+táj1!K80</f>
        <v>0</v>
      </c>
      <c r="L80" s="562">
        <f>0+táj1!L80</f>
        <v>0</v>
      </c>
      <c r="M80" s="562">
        <f>96708728+táj1!M80</f>
        <v>96708728</v>
      </c>
      <c r="N80" s="562">
        <f>0+táj1!N80</f>
        <v>0</v>
      </c>
      <c r="O80" s="562">
        <f t="shared" si="0"/>
        <v>96708728</v>
      </c>
    </row>
    <row r="81" spans="1:15" s="20" customFormat="1" ht="40.5" customHeight="1" x14ac:dyDescent="0.2">
      <c r="A81" s="49"/>
      <c r="B81" s="49"/>
      <c r="C81" s="377" t="s">
        <v>698</v>
      </c>
      <c r="D81" s="381">
        <v>164958</v>
      </c>
      <c r="E81" s="562">
        <f>0+táj1!E81</f>
        <v>0</v>
      </c>
      <c r="F81" s="562">
        <f>0+táj1!F81</f>
        <v>0</v>
      </c>
      <c r="G81" s="562">
        <f>0+táj1!G81</f>
        <v>0</v>
      </c>
      <c r="H81" s="562">
        <f>0+táj1!H81</f>
        <v>0</v>
      </c>
      <c r="I81" s="562">
        <f>0+táj1!I81</f>
        <v>0</v>
      </c>
      <c r="J81" s="562">
        <f>0+táj1!J81</f>
        <v>0</v>
      </c>
      <c r="K81" s="562">
        <f>0+táj1!K81</f>
        <v>0</v>
      </c>
      <c r="L81" s="562">
        <f>0+táj1!L81</f>
        <v>0</v>
      </c>
      <c r="M81" s="562">
        <f>184641564+táj1!M81</f>
        <v>184641564</v>
      </c>
      <c r="N81" s="562">
        <f>0+táj1!N81</f>
        <v>0</v>
      </c>
      <c r="O81" s="562">
        <f t="shared" si="0"/>
        <v>184641564</v>
      </c>
    </row>
    <row r="82" spans="1:15" s="20" customFormat="1" ht="20.25" customHeight="1" x14ac:dyDescent="0.2">
      <c r="A82" s="49"/>
      <c r="B82" s="49"/>
      <c r="C82" s="379" t="s">
        <v>418</v>
      </c>
      <c r="D82" s="784"/>
      <c r="E82" s="562"/>
      <c r="F82" s="568"/>
      <c r="G82" s="568"/>
      <c r="H82" s="568"/>
      <c r="I82" s="568"/>
      <c r="J82" s="568"/>
      <c r="K82" s="568"/>
      <c r="L82" s="568"/>
      <c r="M82" s="568"/>
      <c r="N82" s="568"/>
      <c r="O82" s="569"/>
    </row>
    <row r="83" spans="1:15" s="20" customFormat="1" ht="39" customHeight="1" x14ac:dyDescent="0.2">
      <c r="A83" s="613"/>
      <c r="B83" s="613"/>
      <c r="C83" s="675" t="s">
        <v>1005</v>
      </c>
      <c r="D83" s="786">
        <v>163693</v>
      </c>
      <c r="E83" s="619">
        <f>62815036+táj1!E83</f>
        <v>62815036</v>
      </c>
      <c r="F83" s="619">
        <f>2136040964+táj1!F83</f>
        <v>2136040964</v>
      </c>
      <c r="G83" s="619">
        <f>0+táj1!G83</f>
        <v>0</v>
      </c>
      <c r="H83" s="619">
        <f>0+táj1!H83</f>
        <v>0</v>
      </c>
      <c r="I83" s="619">
        <f>0+táj1!I83</f>
        <v>0</v>
      </c>
      <c r="J83" s="619">
        <f>0+táj1!J83</f>
        <v>0</v>
      </c>
      <c r="K83" s="619">
        <f>0+táj1!K83</f>
        <v>0</v>
      </c>
      <c r="L83" s="619">
        <f>0+táj1!L83</f>
        <v>0</v>
      </c>
      <c r="M83" s="619">
        <f>0+táj1!M83</f>
        <v>0</v>
      </c>
      <c r="N83" s="619">
        <f>0+táj1!N83</f>
        <v>0</v>
      </c>
      <c r="O83" s="619">
        <f>SUM(E83:N83)</f>
        <v>2198856000</v>
      </c>
    </row>
    <row r="84" spans="1:15" s="20" customFormat="1" ht="39.75" customHeight="1" x14ac:dyDescent="0.2">
      <c r="A84" s="613"/>
      <c r="B84" s="613"/>
      <c r="C84" s="675" t="s">
        <v>1006</v>
      </c>
      <c r="D84" s="786">
        <v>163694</v>
      </c>
      <c r="E84" s="619">
        <f>0+táj1!E84</f>
        <v>0</v>
      </c>
      <c r="F84" s="619">
        <f>230000000+táj1!F84</f>
        <v>230000000</v>
      </c>
      <c r="G84" s="619">
        <f>0+táj1!G84</f>
        <v>0</v>
      </c>
      <c r="H84" s="619">
        <f>0+táj1!H84</f>
        <v>0</v>
      </c>
      <c r="I84" s="619">
        <f>0+táj1!I84</f>
        <v>0</v>
      </c>
      <c r="J84" s="619">
        <f>0+táj1!J84</f>
        <v>0</v>
      </c>
      <c r="K84" s="619">
        <f>0+táj1!K84</f>
        <v>0</v>
      </c>
      <c r="L84" s="619">
        <f>0+táj1!L84</f>
        <v>0</v>
      </c>
      <c r="M84" s="619">
        <f>0+táj1!M84</f>
        <v>0</v>
      </c>
      <c r="N84" s="619">
        <f>0+táj1!N84</f>
        <v>0</v>
      </c>
      <c r="O84" s="619">
        <f>SUM(E84:N84)</f>
        <v>230000000</v>
      </c>
    </row>
    <row r="85" spans="1:15" s="20" customFormat="1" ht="45" customHeight="1" x14ac:dyDescent="0.2">
      <c r="A85" s="49"/>
      <c r="B85" s="49"/>
      <c r="C85" s="366" t="s">
        <v>575</v>
      </c>
      <c r="D85" s="787">
        <v>163664</v>
      </c>
      <c r="E85" s="562">
        <f>0+táj1!E85</f>
        <v>0</v>
      </c>
      <c r="F85" s="562">
        <f>0+táj1!F85</f>
        <v>0</v>
      </c>
      <c r="G85" s="562">
        <f>0+táj1!G85</f>
        <v>0</v>
      </c>
      <c r="H85" s="562">
        <f>0+táj1!H85</f>
        <v>0</v>
      </c>
      <c r="I85" s="562">
        <f>0+táj1!I85</f>
        <v>0</v>
      </c>
      <c r="J85" s="562">
        <f>0+táj1!J85</f>
        <v>0</v>
      </c>
      <c r="K85" s="562">
        <f>0+táj1!K85</f>
        <v>0</v>
      </c>
      <c r="L85" s="562">
        <f>0+táj1!L85</f>
        <v>0</v>
      </c>
      <c r="M85" s="562">
        <f>454749+táj1!M85</f>
        <v>454749</v>
      </c>
      <c r="N85" s="562">
        <f>0+táj1!N85</f>
        <v>0</v>
      </c>
      <c r="O85" s="562">
        <f t="shared" si="0"/>
        <v>454749</v>
      </c>
    </row>
    <row r="86" spans="1:15" s="20" customFormat="1" ht="67.5" customHeight="1" x14ac:dyDescent="0.2">
      <c r="A86" s="49"/>
      <c r="B86" s="49"/>
      <c r="C86" s="373" t="s">
        <v>554</v>
      </c>
      <c r="D86" s="381">
        <v>163654</v>
      </c>
      <c r="E86" s="562">
        <f>0+táj1!E86</f>
        <v>0</v>
      </c>
      <c r="F86" s="562">
        <f>0+táj1!F86</f>
        <v>0</v>
      </c>
      <c r="G86" s="562">
        <f>0+táj1!G86</f>
        <v>0</v>
      </c>
      <c r="H86" s="562">
        <f>441318451+táj1!H86</f>
        <v>441318451</v>
      </c>
      <c r="I86" s="562">
        <f>0+táj1!I86</f>
        <v>0</v>
      </c>
      <c r="J86" s="562">
        <f>0+táj1!J86</f>
        <v>0</v>
      </c>
      <c r="K86" s="562">
        <f>0+táj1!K86</f>
        <v>0</v>
      </c>
      <c r="L86" s="562">
        <f>0+táj1!L86</f>
        <v>0</v>
      </c>
      <c r="M86" s="562">
        <f>1631637780+táj1!M86</f>
        <v>1631637780</v>
      </c>
      <c r="N86" s="562">
        <f>0+táj1!N86</f>
        <v>0</v>
      </c>
      <c r="O86" s="562">
        <f t="shared" si="0"/>
        <v>2072956231</v>
      </c>
    </row>
    <row r="87" spans="1:15" s="20" customFormat="1" ht="67.5" customHeight="1" x14ac:dyDescent="0.2">
      <c r="A87" s="49"/>
      <c r="B87" s="49"/>
      <c r="C87" s="373" t="s">
        <v>555</v>
      </c>
      <c r="D87" s="381">
        <v>163661</v>
      </c>
      <c r="E87" s="562">
        <f>0+táj1!E87</f>
        <v>0</v>
      </c>
      <c r="F87" s="562">
        <f>0+táj1!F87</f>
        <v>0</v>
      </c>
      <c r="G87" s="562">
        <f>0+táj1!G87</f>
        <v>0</v>
      </c>
      <c r="H87" s="562">
        <f>0+táj1!H87</f>
        <v>0</v>
      </c>
      <c r="I87" s="562">
        <f>0+táj1!I87</f>
        <v>0</v>
      </c>
      <c r="J87" s="562">
        <f>0+táj1!J87</f>
        <v>0</v>
      </c>
      <c r="K87" s="562">
        <f>0+táj1!K87</f>
        <v>0</v>
      </c>
      <c r="L87" s="562">
        <f>0+táj1!L87</f>
        <v>0</v>
      </c>
      <c r="M87" s="562">
        <f>17159508+táj1!M87</f>
        <v>17159508</v>
      </c>
      <c r="N87" s="562">
        <f>0+táj1!N87</f>
        <v>0</v>
      </c>
      <c r="O87" s="562">
        <f t="shared" si="0"/>
        <v>17159508</v>
      </c>
    </row>
    <row r="88" spans="1:15" s="20" customFormat="1" ht="63" customHeight="1" x14ac:dyDescent="0.2">
      <c r="A88" s="49"/>
      <c r="B88" s="49"/>
      <c r="C88" s="373" t="s">
        <v>643</v>
      </c>
      <c r="D88" s="381">
        <v>163683</v>
      </c>
      <c r="E88" s="562">
        <f>0+táj1!E88</f>
        <v>0</v>
      </c>
      <c r="F88" s="562">
        <f>0+táj1!F88</f>
        <v>0</v>
      </c>
      <c r="G88" s="562">
        <f>0+táj1!G88</f>
        <v>0</v>
      </c>
      <c r="H88" s="562">
        <f>0+táj1!H88</f>
        <v>0</v>
      </c>
      <c r="I88" s="562">
        <f>0+táj1!I88</f>
        <v>0</v>
      </c>
      <c r="J88" s="562">
        <f>0+táj1!J88</f>
        <v>0</v>
      </c>
      <c r="K88" s="562">
        <f>0+táj1!K88</f>
        <v>0</v>
      </c>
      <c r="L88" s="562">
        <f>0+táj1!L88</f>
        <v>0</v>
      </c>
      <c r="M88" s="562">
        <f>772676828+táj1!M88</f>
        <v>772676828</v>
      </c>
      <c r="N88" s="562">
        <f>0+táj1!N88</f>
        <v>0</v>
      </c>
      <c r="O88" s="562">
        <f t="shared" si="0"/>
        <v>772676828</v>
      </c>
    </row>
    <row r="89" spans="1:15" s="20" customFormat="1" ht="49.5" customHeight="1" x14ac:dyDescent="0.2">
      <c r="A89" s="49"/>
      <c r="B89" s="49"/>
      <c r="C89" s="382" t="s">
        <v>838</v>
      </c>
      <c r="D89" s="780">
        <v>164206</v>
      </c>
      <c r="E89" s="562">
        <f>500000+táj1!E89</f>
        <v>500000</v>
      </c>
      <c r="F89" s="562">
        <f>2315575+táj1!F89</f>
        <v>2315575</v>
      </c>
      <c r="G89" s="562">
        <f>0+táj1!G89</f>
        <v>0</v>
      </c>
      <c r="H89" s="562">
        <f>0+táj1!H89</f>
        <v>0</v>
      </c>
      <c r="I89" s="562">
        <f>0+táj1!I89</f>
        <v>0</v>
      </c>
      <c r="J89" s="562">
        <f>0+táj1!J89</f>
        <v>0</v>
      </c>
      <c r="K89" s="562">
        <f>0+táj1!K89</f>
        <v>0</v>
      </c>
      <c r="L89" s="562">
        <f>0+táj1!L89</f>
        <v>0</v>
      </c>
      <c r="M89" s="562">
        <f>135000+táj1!M89</f>
        <v>135000</v>
      </c>
      <c r="N89" s="562">
        <f>0+táj1!N89</f>
        <v>0</v>
      </c>
      <c r="O89" s="562">
        <f t="shared" si="0"/>
        <v>2950575</v>
      </c>
    </row>
    <row r="90" spans="1:15" s="20" customFormat="1" ht="41.25" customHeight="1" x14ac:dyDescent="0.2">
      <c r="A90" s="49"/>
      <c r="B90" s="49"/>
      <c r="C90" s="382" t="s">
        <v>553</v>
      </c>
      <c r="D90" s="787">
        <v>132937</v>
      </c>
      <c r="E90" s="562">
        <f>0+táj1!E90</f>
        <v>0</v>
      </c>
      <c r="F90" s="562">
        <f>2034785+táj1!F90</f>
        <v>2034785</v>
      </c>
      <c r="G90" s="562">
        <f>0+táj1!G90</f>
        <v>0</v>
      </c>
      <c r="H90" s="562">
        <f>0+táj1!H90</f>
        <v>0</v>
      </c>
      <c r="I90" s="562">
        <f>0+táj1!I90</f>
        <v>0</v>
      </c>
      <c r="J90" s="562">
        <f>0+táj1!J90</f>
        <v>0</v>
      </c>
      <c r="K90" s="562">
        <f>0+táj1!K90</f>
        <v>0</v>
      </c>
      <c r="L90" s="562">
        <f>0+táj1!L90</f>
        <v>0</v>
      </c>
      <c r="M90" s="562">
        <f>21776786+táj1!M90</f>
        <v>21776786</v>
      </c>
      <c r="N90" s="562">
        <f>0+táj1!N90</f>
        <v>0</v>
      </c>
      <c r="O90" s="562">
        <f t="shared" si="0"/>
        <v>23811571</v>
      </c>
    </row>
    <row r="91" spans="1:15" s="20" customFormat="1" ht="27.75" customHeight="1" x14ac:dyDescent="0.2">
      <c r="A91" s="49"/>
      <c r="B91" s="49"/>
      <c r="C91" s="373" t="s">
        <v>692</v>
      </c>
      <c r="D91" s="784">
        <v>163676</v>
      </c>
      <c r="E91" s="562">
        <f>0+táj1!E91</f>
        <v>0</v>
      </c>
      <c r="F91" s="562">
        <f>0+táj1!F91</f>
        <v>0</v>
      </c>
      <c r="G91" s="562">
        <f>0+táj1!G91</f>
        <v>0</v>
      </c>
      <c r="H91" s="562">
        <f>0+táj1!H91</f>
        <v>0</v>
      </c>
      <c r="I91" s="562">
        <f>0+táj1!I91</f>
        <v>0</v>
      </c>
      <c r="J91" s="562">
        <f>0+táj1!J91</f>
        <v>0</v>
      </c>
      <c r="K91" s="562">
        <f>0+táj1!K91</f>
        <v>0</v>
      </c>
      <c r="L91" s="562">
        <f>0+táj1!L91</f>
        <v>0</v>
      </c>
      <c r="M91" s="562">
        <f>55018977+táj1!M91</f>
        <v>55018977</v>
      </c>
      <c r="N91" s="562">
        <f>0+táj1!N91</f>
        <v>0</v>
      </c>
      <c r="O91" s="562">
        <f t="shared" si="0"/>
        <v>55018977</v>
      </c>
    </row>
    <row r="92" spans="1:15" s="20" customFormat="1" ht="52.15" customHeight="1" x14ac:dyDescent="0.2">
      <c r="A92" s="49"/>
      <c r="B92" s="49"/>
      <c r="C92" s="373" t="s">
        <v>695</v>
      </c>
      <c r="D92" s="784">
        <v>163675</v>
      </c>
      <c r="E92" s="562">
        <f>141604810+táj1!E92</f>
        <v>141604810</v>
      </c>
      <c r="F92" s="562">
        <f>83018960+táj1!F92</f>
        <v>83018960</v>
      </c>
      <c r="G92" s="562">
        <f>0+táj1!G92</f>
        <v>0</v>
      </c>
      <c r="H92" s="562">
        <f>0+táj1!H92</f>
        <v>0</v>
      </c>
      <c r="I92" s="562">
        <f>0+táj1!I92</f>
        <v>0</v>
      </c>
      <c r="J92" s="562">
        <f>0+táj1!J92</f>
        <v>0</v>
      </c>
      <c r="K92" s="562">
        <f>0+táj1!K92</f>
        <v>0</v>
      </c>
      <c r="L92" s="562">
        <f>0+táj1!L92</f>
        <v>0</v>
      </c>
      <c r="M92" s="562">
        <f>0+táj1!M92</f>
        <v>0</v>
      </c>
      <c r="N92" s="562">
        <f>0+táj1!N92</f>
        <v>0</v>
      </c>
      <c r="O92" s="562">
        <f t="shared" si="0"/>
        <v>224623770</v>
      </c>
    </row>
    <row r="93" spans="1:15" s="20" customFormat="1" ht="22.5" customHeight="1" x14ac:dyDescent="0.2">
      <c r="A93" s="340"/>
      <c r="B93" s="340"/>
      <c r="C93" s="383" t="s">
        <v>189</v>
      </c>
      <c r="D93" s="777"/>
      <c r="E93" s="563">
        <f t="shared" ref="E93:O93" si="5">SUM(E43:E92)</f>
        <v>1163926979</v>
      </c>
      <c r="F93" s="563">
        <f t="shared" si="5"/>
        <v>7557048778</v>
      </c>
      <c r="G93" s="563">
        <f t="shared" si="5"/>
        <v>0</v>
      </c>
      <c r="H93" s="563">
        <f t="shared" si="5"/>
        <v>1645188196</v>
      </c>
      <c r="I93" s="563">
        <f t="shared" si="5"/>
        <v>0</v>
      </c>
      <c r="J93" s="563">
        <f t="shared" si="5"/>
        <v>6249</v>
      </c>
      <c r="K93" s="563">
        <f t="shared" si="5"/>
        <v>0</v>
      </c>
      <c r="L93" s="563">
        <f t="shared" si="5"/>
        <v>0</v>
      </c>
      <c r="M93" s="563">
        <f t="shared" si="5"/>
        <v>3153413943</v>
      </c>
      <c r="N93" s="563">
        <f t="shared" si="5"/>
        <v>1222710000</v>
      </c>
      <c r="O93" s="563">
        <f t="shared" si="5"/>
        <v>14742294145</v>
      </c>
    </row>
    <row r="94" spans="1:15" s="20" customFormat="1" ht="17.25" customHeight="1" x14ac:dyDescent="0.2">
      <c r="A94" s="329">
        <v>1</v>
      </c>
      <c r="B94" s="329">
        <v>17</v>
      </c>
      <c r="C94" s="384" t="s">
        <v>114</v>
      </c>
      <c r="D94" s="759"/>
      <c r="E94" s="562"/>
      <c r="F94" s="562"/>
      <c r="G94" s="562"/>
      <c r="H94" s="562"/>
      <c r="I94" s="562"/>
      <c r="J94" s="562"/>
      <c r="K94" s="562"/>
      <c r="L94" s="562"/>
      <c r="M94" s="562"/>
      <c r="N94" s="562"/>
      <c r="O94" s="562"/>
    </row>
    <row r="95" spans="1:15" s="20" customFormat="1" ht="24" customHeight="1" x14ac:dyDescent="0.2">
      <c r="A95" s="49"/>
      <c r="B95" s="49"/>
      <c r="C95" s="104" t="s">
        <v>186</v>
      </c>
      <c r="D95" s="770"/>
      <c r="E95" s="562"/>
      <c r="F95" s="562"/>
      <c r="G95" s="562"/>
      <c r="H95" s="562"/>
      <c r="I95" s="562"/>
      <c r="J95" s="562"/>
      <c r="K95" s="562"/>
      <c r="L95" s="562"/>
      <c r="M95" s="562"/>
      <c r="N95" s="562"/>
      <c r="O95" s="562"/>
    </row>
    <row r="96" spans="1:15" s="20" customFormat="1" ht="18.75" customHeight="1" x14ac:dyDescent="0.2">
      <c r="A96" s="49"/>
      <c r="B96" s="49"/>
      <c r="C96" s="396" t="s">
        <v>941</v>
      </c>
      <c r="D96" s="773">
        <v>171907</v>
      </c>
      <c r="E96" s="562">
        <f>0+táj1!E96</f>
        <v>0</v>
      </c>
      <c r="F96" s="562">
        <f>0+táj1!F96</f>
        <v>0</v>
      </c>
      <c r="G96" s="562">
        <f>0+táj1!G96</f>
        <v>0</v>
      </c>
      <c r="H96" s="562">
        <f>32725000+táj1!H96</f>
        <v>32725000</v>
      </c>
      <c r="I96" s="562">
        <f>132839000+táj1!I96</f>
        <v>132839000</v>
      </c>
      <c r="J96" s="562">
        <f>0+táj1!J96</f>
        <v>0</v>
      </c>
      <c r="K96" s="562">
        <f>0+táj1!K96</f>
        <v>0</v>
      </c>
      <c r="L96" s="562">
        <f>0+táj1!L96</f>
        <v>0</v>
      </c>
      <c r="M96" s="562">
        <f>0+táj1!M96</f>
        <v>0</v>
      </c>
      <c r="N96" s="562">
        <f>0+táj1!N96</f>
        <v>0</v>
      </c>
      <c r="O96" s="562">
        <f t="shared" si="0"/>
        <v>165564000</v>
      </c>
    </row>
    <row r="97" spans="1:15" s="20" customFormat="1" ht="25.5" customHeight="1" x14ac:dyDescent="0.2">
      <c r="A97" s="49"/>
      <c r="B97" s="49"/>
      <c r="C97" s="385" t="s">
        <v>942</v>
      </c>
      <c r="D97" s="773">
        <v>171923</v>
      </c>
      <c r="E97" s="562">
        <f>0+táj1!E97</f>
        <v>0</v>
      </c>
      <c r="F97" s="562">
        <f>0+táj1!F97</f>
        <v>0</v>
      </c>
      <c r="G97" s="562">
        <f>0+táj1!G97</f>
        <v>0</v>
      </c>
      <c r="H97" s="562">
        <f>0+táj1!H97</f>
        <v>0</v>
      </c>
      <c r="I97" s="562">
        <f>41000000+táj1!I97</f>
        <v>41000000</v>
      </c>
      <c r="J97" s="562">
        <f>0+táj1!J97</f>
        <v>0</v>
      </c>
      <c r="K97" s="562">
        <f>0+táj1!K97</f>
        <v>0</v>
      </c>
      <c r="L97" s="562">
        <f>0+táj1!L97</f>
        <v>0</v>
      </c>
      <c r="M97" s="562">
        <f>0+táj1!M97</f>
        <v>0</v>
      </c>
      <c r="N97" s="562">
        <f>0+táj1!N97</f>
        <v>0</v>
      </c>
      <c r="O97" s="562">
        <f t="shared" si="0"/>
        <v>41000000</v>
      </c>
    </row>
    <row r="98" spans="1:15" s="20" customFormat="1" ht="25.5" customHeight="1" x14ac:dyDescent="0.2">
      <c r="A98" s="49"/>
      <c r="B98" s="49"/>
      <c r="C98" s="385" t="s">
        <v>190</v>
      </c>
      <c r="D98" s="761"/>
      <c r="E98" s="562"/>
      <c r="F98" s="562"/>
      <c r="G98" s="562"/>
      <c r="H98" s="562"/>
      <c r="I98" s="562"/>
      <c r="J98" s="562"/>
      <c r="K98" s="562"/>
      <c r="L98" s="562"/>
      <c r="M98" s="562"/>
      <c r="N98" s="562"/>
      <c r="O98" s="562"/>
    </row>
    <row r="99" spans="1:15" s="20" customFormat="1" ht="14.1" customHeight="1" x14ac:dyDescent="0.2">
      <c r="A99" s="49"/>
      <c r="B99" s="49"/>
      <c r="C99" s="386" t="s">
        <v>191</v>
      </c>
      <c r="D99" s="788">
        <v>171980</v>
      </c>
      <c r="E99" s="562">
        <f>0+táj1!E99</f>
        <v>0</v>
      </c>
      <c r="F99" s="562">
        <f>0+táj1!F99</f>
        <v>0</v>
      </c>
      <c r="G99" s="562">
        <f>0+táj1!G99</f>
        <v>0</v>
      </c>
      <c r="H99" s="562">
        <f>82550000+táj1!H99</f>
        <v>82550000</v>
      </c>
      <c r="I99" s="562">
        <f>0+táj1!I99</f>
        <v>0</v>
      </c>
      <c r="J99" s="562">
        <f>0+táj1!J99</f>
        <v>0</v>
      </c>
      <c r="K99" s="562">
        <f>0+táj1!K99</f>
        <v>0</v>
      </c>
      <c r="L99" s="562">
        <f>0+táj1!L99</f>
        <v>0</v>
      </c>
      <c r="M99" s="562">
        <f>0+táj1!M99</f>
        <v>0</v>
      </c>
      <c r="N99" s="562">
        <f>0+táj1!N99</f>
        <v>0</v>
      </c>
      <c r="O99" s="562">
        <f t="shared" ref="O99:O166" si="6">SUM(E99:N99)</f>
        <v>82550000</v>
      </c>
    </row>
    <row r="100" spans="1:15" s="20" customFormat="1" ht="26.25" customHeight="1" x14ac:dyDescent="0.2">
      <c r="A100" s="388"/>
      <c r="B100" s="388"/>
      <c r="C100" s="104" t="s">
        <v>186</v>
      </c>
      <c r="D100" s="770"/>
      <c r="E100" s="562"/>
      <c r="F100" s="562"/>
      <c r="G100" s="562"/>
      <c r="H100" s="562"/>
      <c r="I100" s="562"/>
      <c r="J100" s="562"/>
      <c r="K100" s="562"/>
      <c r="L100" s="562"/>
      <c r="M100" s="562"/>
      <c r="N100" s="562"/>
      <c r="O100" s="562"/>
    </row>
    <row r="101" spans="1:15" s="20" customFormat="1" ht="29.25" customHeight="1" x14ac:dyDescent="0.2">
      <c r="A101" s="49"/>
      <c r="B101" s="49"/>
      <c r="C101" s="389" t="s">
        <v>192</v>
      </c>
      <c r="D101" s="773">
        <v>171905</v>
      </c>
      <c r="E101" s="562">
        <f>0+táj1!E101</f>
        <v>0</v>
      </c>
      <c r="F101" s="562">
        <f>0+táj1!F101</f>
        <v>0</v>
      </c>
      <c r="G101" s="562">
        <f>0+táj1!G101</f>
        <v>0</v>
      </c>
      <c r="H101" s="562">
        <f>137993000+táj1!H101</f>
        <v>137993000</v>
      </c>
      <c r="I101" s="562">
        <f>0+táj1!I101</f>
        <v>0</v>
      </c>
      <c r="J101" s="562">
        <f>0+táj1!J101</f>
        <v>0</v>
      </c>
      <c r="K101" s="562">
        <f>0+táj1!K101</f>
        <v>0</v>
      </c>
      <c r="L101" s="562">
        <f>0+táj1!L101</f>
        <v>0</v>
      </c>
      <c r="M101" s="562">
        <f>0+táj1!M101</f>
        <v>0</v>
      </c>
      <c r="N101" s="562">
        <f>0+táj1!N101</f>
        <v>0</v>
      </c>
      <c r="O101" s="562">
        <f t="shared" si="6"/>
        <v>137993000</v>
      </c>
    </row>
    <row r="102" spans="1:15" s="20" customFormat="1" ht="14.1" customHeight="1" x14ac:dyDescent="0.2">
      <c r="A102" s="21"/>
      <c r="B102" s="21"/>
      <c r="C102" s="120" t="s">
        <v>193</v>
      </c>
      <c r="D102" s="773">
        <v>171909</v>
      </c>
      <c r="E102" s="562">
        <f>0+táj1!E102</f>
        <v>0</v>
      </c>
      <c r="F102" s="562">
        <f>0+táj1!F102</f>
        <v>0</v>
      </c>
      <c r="G102" s="562">
        <f>0+táj1!G102</f>
        <v>0</v>
      </c>
      <c r="H102" s="562">
        <f>19812000+táj1!H102</f>
        <v>19812000</v>
      </c>
      <c r="I102" s="562">
        <f>0+táj1!I102</f>
        <v>0</v>
      </c>
      <c r="J102" s="562">
        <f>0+táj1!J102</f>
        <v>0</v>
      </c>
      <c r="K102" s="562">
        <f>0+táj1!K102</f>
        <v>0</v>
      </c>
      <c r="L102" s="562">
        <f>0+táj1!L102</f>
        <v>0</v>
      </c>
      <c r="M102" s="562">
        <f>0+táj1!M102</f>
        <v>0</v>
      </c>
      <c r="N102" s="562">
        <f>0+táj1!N102</f>
        <v>0</v>
      </c>
      <c r="O102" s="562">
        <f t="shared" si="6"/>
        <v>19812000</v>
      </c>
    </row>
    <row r="103" spans="1:15" s="20" customFormat="1" ht="14.1" customHeight="1" x14ac:dyDescent="0.2">
      <c r="A103" s="21"/>
      <c r="B103" s="21"/>
      <c r="C103" s="120" t="s">
        <v>194</v>
      </c>
      <c r="D103" s="773">
        <v>171904</v>
      </c>
      <c r="E103" s="562">
        <f>0+táj1!E103</f>
        <v>0</v>
      </c>
      <c r="F103" s="562">
        <f>0+táj1!F103</f>
        <v>0</v>
      </c>
      <c r="G103" s="562">
        <f>0+táj1!G103</f>
        <v>0</v>
      </c>
      <c r="H103" s="562">
        <f>2000000+táj1!H103</f>
        <v>2000000</v>
      </c>
      <c r="I103" s="562">
        <f>0+táj1!I103</f>
        <v>0</v>
      </c>
      <c r="J103" s="562">
        <f>0+táj1!J103</f>
        <v>0</v>
      </c>
      <c r="K103" s="562">
        <f>0+táj1!K103</f>
        <v>0</v>
      </c>
      <c r="L103" s="562">
        <f>0+táj1!L103</f>
        <v>0</v>
      </c>
      <c r="M103" s="562">
        <f>0+táj1!M103</f>
        <v>0</v>
      </c>
      <c r="N103" s="562">
        <f>0+táj1!N103</f>
        <v>0</v>
      </c>
      <c r="O103" s="562">
        <f t="shared" si="6"/>
        <v>2000000</v>
      </c>
    </row>
    <row r="104" spans="1:15" s="20" customFormat="1" ht="14.1" customHeight="1" x14ac:dyDescent="0.2">
      <c r="A104" s="21"/>
      <c r="B104" s="21"/>
      <c r="C104" s="120" t="s">
        <v>807</v>
      </c>
      <c r="D104" s="773">
        <v>172901</v>
      </c>
      <c r="E104" s="562">
        <f>0+táj1!E104</f>
        <v>0</v>
      </c>
      <c r="F104" s="562">
        <f>0+táj1!F104</f>
        <v>0</v>
      </c>
      <c r="G104" s="562">
        <f>0+táj1!G104</f>
        <v>0</v>
      </c>
      <c r="H104" s="562">
        <f>0+táj1!H104</f>
        <v>0</v>
      </c>
      <c r="I104" s="562">
        <f>207508+táj1!I104</f>
        <v>207508</v>
      </c>
      <c r="J104" s="562">
        <f>0+táj1!J104</f>
        <v>0</v>
      </c>
      <c r="K104" s="562">
        <f>0+táj1!K104</f>
        <v>0</v>
      </c>
      <c r="L104" s="562">
        <f>0+táj1!L104</f>
        <v>0</v>
      </c>
      <c r="M104" s="562">
        <f>0+táj1!M104</f>
        <v>0</v>
      </c>
      <c r="N104" s="562">
        <f>0+táj1!N104</f>
        <v>0</v>
      </c>
      <c r="O104" s="562">
        <f t="shared" si="6"/>
        <v>207508</v>
      </c>
    </row>
    <row r="105" spans="1:15" s="20" customFormat="1" ht="14.1" customHeight="1" x14ac:dyDescent="0.2">
      <c r="A105" s="21"/>
      <c r="B105" s="21"/>
      <c r="C105" s="120" t="s">
        <v>672</v>
      </c>
      <c r="D105" s="773">
        <v>172909</v>
      </c>
      <c r="E105" s="562">
        <f>0+táj1!E105</f>
        <v>0</v>
      </c>
      <c r="F105" s="562">
        <f>0+táj1!F105</f>
        <v>0</v>
      </c>
      <c r="G105" s="562">
        <f>0+táj1!G105</f>
        <v>0</v>
      </c>
      <c r="H105" s="562">
        <f>167554000+táj1!H105</f>
        <v>167554000</v>
      </c>
      <c r="I105" s="562">
        <f>0+táj1!I105</f>
        <v>0</v>
      </c>
      <c r="J105" s="562">
        <f>0+táj1!J105</f>
        <v>0</v>
      </c>
      <c r="K105" s="562">
        <f>0+táj1!K105</f>
        <v>0</v>
      </c>
      <c r="L105" s="562">
        <f>0+táj1!L105</f>
        <v>0</v>
      </c>
      <c r="M105" s="562">
        <f>0+táj1!M105</f>
        <v>0</v>
      </c>
      <c r="N105" s="562">
        <f>0+táj1!N105</f>
        <v>0</v>
      </c>
      <c r="O105" s="562">
        <f t="shared" si="6"/>
        <v>167554000</v>
      </c>
    </row>
    <row r="106" spans="1:15" s="20" customFormat="1" ht="14.1" customHeight="1" x14ac:dyDescent="0.2">
      <c r="A106" s="21"/>
      <c r="B106" s="21"/>
      <c r="C106" s="120" t="s">
        <v>673</v>
      </c>
      <c r="D106" s="773">
        <v>172920</v>
      </c>
      <c r="E106" s="562">
        <f>0+táj1!E106</f>
        <v>0</v>
      </c>
      <c r="F106" s="562">
        <f>0+táj1!F106</f>
        <v>0</v>
      </c>
      <c r="G106" s="562">
        <f>0+táj1!G106</f>
        <v>0</v>
      </c>
      <c r="H106" s="562">
        <f>10000000+táj1!H106</f>
        <v>10000000</v>
      </c>
      <c r="I106" s="562">
        <f>0+táj1!I106</f>
        <v>0</v>
      </c>
      <c r="J106" s="562">
        <f>0+táj1!J106</f>
        <v>0</v>
      </c>
      <c r="K106" s="562">
        <f>0+táj1!K106</f>
        <v>0</v>
      </c>
      <c r="L106" s="562">
        <f>0+táj1!L106</f>
        <v>0</v>
      </c>
      <c r="M106" s="562">
        <f>0+táj1!M106</f>
        <v>0</v>
      </c>
      <c r="N106" s="562">
        <f>0+táj1!N106</f>
        <v>0</v>
      </c>
      <c r="O106" s="562">
        <f t="shared" si="6"/>
        <v>10000000</v>
      </c>
    </row>
    <row r="107" spans="1:15" s="20" customFormat="1" ht="14.1" customHeight="1" x14ac:dyDescent="0.2">
      <c r="A107" s="21"/>
      <c r="B107" s="21"/>
      <c r="C107" s="120" t="s">
        <v>195</v>
      </c>
      <c r="D107" s="773">
        <v>131857</v>
      </c>
      <c r="E107" s="562">
        <f>0+táj1!E107</f>
        <v>0</v>
      </c>
      <c r="F107" s="562">
        <f>0+táj1!F107</f>
        <v>0</v>
      </c>
      <c r="G107" s="562">
        <f>0+táj1!G107</f>
        <v>0</v>
      </c>
      <c r="H107" s="562">
        <f>15240000+táj1!H107</f>
        <v>15240000</v>
      </c>
      <c r="I107" s="562">
        <f>0+táj1!I107</f>
        <v>0</v>
      </c>
      <c r="J107" s="562">
        <f>0+táj1!J107</f>
        <v>0</v>
      </c>
      <c r="K107" s="562">
        <f>0+táj1!K107</f>
        <v>0</v>
      </c>
      <c r="L107" s="562">
        <f>0+táj1!L107</f>
        <v>0</v>
      </c>
      <c r="M107" s="562">
        <f>0+táj1!M107</f>
        <v>0</v>
      </c>
      <c r="N107" s="562">
        <f>0+táj1!N107</f>
        <v>0</v>
      </c>
      <c r="O107" s="562">
        <f t="shared" si="6"/>
        <v>15240000</v>
      </c>
    </row>
    <row r="108" spans="1:15" s="20" customFormat="1" ht="14.1" customHeight="1" x14ac:dyDescent="0.2">
      <c r="A108" s="21"/>
      <c r="B108" s="21"/>
      <c r="C108" s="120" t="s">
        <v>674</v>
      </c>
      <c r="D108" s="773">
        <v>172922</v>
      </c>
      <c r="E108" s="562">
        <f>0+táj1!E108</f>
        <v>0</v>
      </c>
      <c r="F108" s="562">
        <f>0+táj1!F108</f>
        <v>0</v>
      </c>
      <c r="G108" s="562">
        <f>0+táj1!G108</f>
        <v>0</v>
      </c>
      <c r="H108" s="562">
        <f>60043000+táj1!H108</f>
        <v>60043000</v>
      </c>
      <c r="I108" s="562">
        <f>0+táj1!I108</f>
        <v>0</v>
      </c>
      <c r="J108" s="562">
        <f>0+táj1!J108</f>
        <v>0</v>
      </c>
      <c r="K108" s="562">
        <f>0+táj1!K108</f>
        <v>0</v>
      </c>
      <c r="L108" s="562">
        <f>0+táj1!L108</f>
        <v>0</v>
      </c>
      <c r="M108" s="562">
        <f>0+táj1!M108</f>
        <v>0</v>
      </c>
      <c r="N108" s="562">
        <f>0+táj1!N108</f>
        <v>0</v>
      </c>
      <c r="O108" s="562">
        <f t="shared" si="6"/>
        <v>60043000</v>
      </c>
    </row>
    <row r="109" spans="1:15" s="20" customFormat="1" ht="26.25" customHeight="1" x14ac:dyDescent="0.2">
      <c r="A109" s="21"/>
      <c r="B109" s="21"/>
      <c r="C109" s="390" t="s">
        <v>544</v>
      </c>
      <c r="D109" s="773">
        <v>171977</v>
      </c>
      <c r="E109" s="562">
        <f>0+táj1!E109</f>
        <v>0</v>
      </c>
      <c r="F109" s="562">
        <f>0+táj1!F109</f>
        <v>0</v>
      </c>
      <c r="G109" s="562">
        <f>0+táj1!G109</f>
        <v>0</v>
      </c>
      <c r="H109" s="562">
        <f>63551000+táj1!H109</f>
        <v>63551000</v>
      </c>
      <c r="I109" s="562">
        <f>0+táj1!I109</f>
        <v>0</v>
      </c>
      <c r="J109" s="562">
        <f>0+táj1!J109</f>
        <v>0</v>
      </c>
      <c r="K109" s="562">
        <f>0+táj1!K109</f>
        <v>0</v>
      </c>
      <c r="L109" s="562">
        <f>0+táj1!L109</f>
        <v>0</v>
      </c>
      <c r="M109" s="562">
        <f>0+táj1!M109</f>
        <v>0</v>
      </c>
      <c r="N109" s="562">
        <f>0+táj1!N109</f>
        <v>0</v>
      </c>
      <c r="O109" s="562">
        <f t="shared" si="6"/>
        <v>63551000</v>
      </c>
    </row>
    <row r="110" spans="1:15" s="20" customFormat="1" ht="14.1" customHeight="1" x14ac:dyDescent="0.2">
      <c r="A110" s="21"/>
      <c r="B110" s="21"/>
      <c r="C110" s="120" t="s">
        <v>532</v>
      </c>
      <c r="D110" s="773">
        <v>171978</v>
      </c>
      <c r="E110" s="562">
        <f>0+táj1!E110</f>
        <v>0</v>
      </c>
      <c r="F110" s="562">
        <f>0+táj1!F110</f>
        <v>0</v>
      </c>
      <c r="G110" s="562">
        <f>0+táj1!G110</f>
        <v>0</v>
      </c>
      <c r="H110" s="562">
        <f>32215000+táj1!H110</f>
        <v>32215000</v>
      </c>
      <c r="I110" s="562">
        <f>0+táj1!I110</f>
        <v>0</v>
      </c>
      <c r="J110" s="562">
        <f>0+táj1!J110</f>
        <v>0</v>
      </c>
      <c r="K110" s="562">
        <f>0+táj1!K110</f>
        <v>0</v>
      </c>
      <c r="L110" s="562">
        <f>0+táj1!L110</f>
        <v>0</v>
      </c>
      <c r="M110" s="562">
        <f>0+táj1!M110</f>
        <v>0</v>
      </c>
      <c r="N110" s="562">
        <f>0+táj1!N110</f>
        <v>0</v>
      </c>
      <c r="O110" s="562">
        <f t="shared" si="6"/>
        <v>32215000</v>
      </c>
    </row>
    <row r="111" spans="1:15" s="20" customFormat="1" ht="20.100000000000001" customHeight="1" x14ac:dyDescent="0.2">
      <c r="A111" s="21"/>
      <c r="B111" s="21"/>
      <c r="C111" s="390" t="s">
        <v>550</v>
      </c>
      <c r="D111" s="773">
        <v>171979</v>
      </c>
      <c r="E111" s="562">
        <f>0+táj1!E111</f>
        <v>0</v>
      </c>
      <c r="F111" s="562">
        <f>0+táj1!F111</f>
        <v>0</v>
      </c>
      <c r="G111" s="562">
        <f>0+táj1!G111</f>
        <v>0</v>
      </c>
      <c r="H111" s="562">
        <f>10668000+táj1!H111</f>
        <v>10668000</v>
      </c>
      <c r="I111" s="562">
        <f>0+táj1!I111</f>
        <v>0</v>
      </c>
      <c r="J111" s="562">
        <f>0+táj1!J111</f>
        <v>0</v>
      </c>
      <c r="K111" s="562">
        <f>0+táj1!K111</f>
        <v>0</v>
      </c>
      <c r="L111" s="562">
        <f>0+táj1!L111</f>
        <v>0</v>
      </c>
      <c r="M111" s="562">
        <f>0+táj1!M111</f>
        <v>0</v>
      </c>
      <c r="N111" s="562">
        <f>0+táj1!N111</f>
        <v>0</v>
      </c>
      <c r="O111" s="562">
        <f t="shared" si="6"/>
        <v>10668000</v>
      </c>
    </row>
    <row r="112" spans="1:15" s="20" customFormat="1" ht="14.1" customHeight="1" x14ac:dyDescent="0.2">
      <c r="A112" s="21"/>
      <c r="B112" s="21"/>
      <c r="C112" s="120" t="s">
        <v>583</v>
      </c>
      <c r="D112" s="773">
        <v>171982</v>
      </c>
      <c r="E112" s="562">
        <f>0+táj1!E112</f>
        <v>0</v>
      </c>
      <c r="F112" s="562">
        <f>0+táj1!F112</f>
        <v>0</v>
      </c>
      <c r="G112" s="562">
        <f>0+táj1!G112</f>
        <v>0</v>
      </c>
      <c r="H112" s="562">
        <f>21285000+táj1!H112</f>
        <v>21285000</v>
      </c>
      <c r="I112" s="562">
        <f>0+táj1!I112</f>
        <v>0</v>
      </c>
      <c r="J112" s="562">
        <f>0+táj1!J112</f>
        <v>0</v>
      </c>
      <c r="K112" s="562">
        <f>0+táj1!K112</f>
        <v>0</v>
      </c>
      <c r="L112" s="562">
        <f>0+táj1!L112</f>
        <v>0</v>
      </c>
      <c r="M112" s="562">
        <f>0+táj1!M112</f>
        <v>0</v>
      </c>
      <c r="N112" s="562">
        <f>0+táj1!N112</f>
        <v>0</v>
      </c>
      <c r="O112" s="562">
        <f t="shared" si="6"/>
        <v>21285000</v>
      </c>
    </row>
    <row r="113" spans="1:15" s="20" customFormat="1" ht="24.95" customHeight="1" x14ac:dyDescent="0.2">
      <c r="A113" s="49"/>
      <c r="B113" s="49"/>
      <c r="C113" s="391" t="s">
        <v>196</v>
      </c>
      <c r="D113" s="789"/>
      <c r="E113" s="562"/>
      <c r="F113" s="562"/>
      <c r="G113" s="562"/>
      <c r="H113" s="562"/>
      <c r="I113" s="562"/>
      <c r="J113" s="562"/>
      <c r="K113" s="562"/>
      <c r="L113" s="562"/>
      <c r="M113" s="562"/>
      <c r="N113" s="562"/>
      <c r="O113" s="562"/>
    </row>
    <row r="114" spans="1:15" s="20" customFormat="1" ht="24.75" customHeight="1" x14ac:dyDescent="0.2">
      <c r="A114" s="49"/>
      <c r="B114" s="49"/>
      <c r="C114" s="390" t="s">
        <v>567</v>
      </c>
      <c r="D114" s="780">
        <v>171908</v>
      </c>
      <c r="E114" s="562">
        <f>0+táj1!E114</f>
        <v>0</v>
      </c>
      <c r="F114" s="562">
        <f>0+táj1!F114</f>
        <v>0</v>
      </c>
      <c r="G114" s="562">
        <f>0+táj1!G114</f>
        <v>0</v>
      </c>
      <c r="H114" s="562">
        <f>174771000+táj1!H114</f>
        <v>174771000</v>
      </c>
      <c r="I114" s="562">
        <f>0+táj1!I114</f>
        <v>0</v>
      </c>
      <c r="J114" s="562">
        <f>0+táj1!J114</f>
        <v>0</v>
      </c>
      <c r="K114" s="562">
        <f>0+táj1!K114</f>
        <v>0</v>
      </c>
      <c r="L114" s="562">
        <f>0+táj1!L114</f>
        <v>0</v>
      </c>
      <c r="M114" s="562">
        <f>0+táj1!M114</f>
        <v>0</v>
      </c>
      <c r="N114" s="562">
        <f>0+táj1!N114</f>
        <v>0</v>
      </c>
      <c r="O114" s="562">
        <f t="shared" si="6"/>
        <v>174771000</v>
      </c>
    </row>
    <row r="115" spans="1:15" s="20" customFormat="1" ht="16.5" customHeight="1" x14ac:dyDescent="0.2">
      <c r="A115" s="49"/>
      <c r="B115" s="49"/>
      <c r="C115" s="121" t="s">
        <v>679</v>
      </c>
      <c r="D115" s="780">
        <v>171912</v>
      </c>
      <c r="E115" s="562">
        <f>0+táj1!E115</f>
        <v>0</v>
      </c>
      <c r="F115" s="562">
        <f>0+táj1!F115</f>
        <v>0</v>
      </c>
      <c r="G115" s="562">
        <f>0+táj1!G115</f>
        <v>0</v>
      </c>
      <c r="H115" s="562">
        <f>350000000+táj1!H115</f>
        <v>350000000</v>
      </c>
      <c r="I115" s="562">
        <f>0+táj1!I115</f>
        <v>0</v>
      </c>
      <c r="J115" s="562">
        <f>0+táj1!J115</f>
        <v>0</v>
      </c>
      <c r="K115" s="562">
        <f>0+táj1!K115</f>
        <v>0</v>
      </c>
      <c r="L115" s="562">
        <f>0+táj1!L115</f>
        <v>0</v>
      </c>
      <c r="M115" s="562">
        <f>0+táj1!M115</f>
        <v>0</v>
      </c>
      <c r="N115" s="562">
        <f>0+táj1!N115</f>
        <v>0</v>
      </c>
      <c r="O115" s="562">
        <f t="shared" si="6"/>
        <v>350000000</v>
      </c>
    </row>
    <row r="116" spans="1:15" s="20" customFormat="1" ht="15.75" customHeight="1" x14ac:dyDescent="0.2">
      <c r="A116" s="49"/>
      <c r="B116" s="49"/>
      <c r="C116" s="393" t="s">
        <v>197</v>
      </c>
      <c r="D116" s="788"/>
      <c r="E116" s="562"/>
      <c r="F116" s="562"/>
      <c r="G116" s="562"/>
      <c r="H116" s="562"/>
      <c r="I116" s="562"/>
      <c r="J116" s="562"/>
      <c r="K116" s="562"/>
      <c r="L116" s="562"/>
      <c r="M116" s="562"/>
      <c r="N116" s="562"/>
      <c r="O116" s="562"/>
    </row>
    <row r="117" spans="1:15" s="20" customFormat="1" ht="27" customHeight="1" x14ac:dyDescent="0.2">
      <c r="A117" s="49"/>
      <c r="B117" s="49"/>
      <c r="C117" s="104" t="s">
        <v>198</v>
      </c>
      <c r="D117" s="770"/>
      <c r="E117" s="562"/>
      <c r="F117" s="562"/>
      <c r="G117" s="562"/>
      <c r="H117" s="562"/>
      <c r="I117" s="562"/>
      <c r="J117" s="562"/>
      <c r="K117" s="562"/>
      <c r="L117" s="562"/>
      <c r="M117" s="562"/>
      <c r="N117" s="562"/>
      <c r="O117" s="562"/>
    </row>
    <row r="118" spans="1:15" s="20" customFormat="1" ht="16.5" customHeight="1" x14ac:dyDescent="0.2">
      <c r="A118" s="49"/>
      <c r="B118" s="49"/>
      <c r="C118" s="390" t="s">
        <v>199</v>
      </c>
      <c r="D118" s="780">
        <v>176902</v>
      </c>
      <c r="E118" s="562">
        <f>0+táj1!E118</f>
        <v>0</v>
      </c>
      <c r="F118" s="562">
        <f>0+táj1!F118</f>
        <v>0</v>
      </c>
      <c r="G118" s="562">
        <f>0+táj1!G118</f>
        <v>0</v>
      </c>
      <c r="H118" s="562">
        <f>0+táj1!H118</f>
        <v>0</v>
      </c>
      <c r="I118" s="562">
        <f>0+táj1!I118</f>
        <v>0</v>
      </c>
      <c r="J118" s="562">
        <f>0+táj1!J118</f>
        <v>0</v>
      </c>
      <c r="K118" s="562">
        <f>0+táj1!K118</f>
        <v>0</v>
      </c>
      <c r="L118" s="562">
        <f>0+táj1!L118</f>
        <v>0</v>
      </c>
      <c r="M118" s="562">
        <f>13698479+táj1!M118</f>
        <v>13698479</v>
      </c>
      <c r="N118" s="562">
        <f>39470000+táj1!N118</f>
        <v>39470000</v>
      </c>
      <c r="O118" s="562">
        <f t="shared" si="6"/>
        <v>53168479</v>
      </c>
    </row>
    <row r="119" spans="1:15" s="20" customFormat="1" ht="16.5" customHeight="1" x14ac:dyDescent="0.2">
      <c r="A119" s="613"/>
      <c r="B119" s="613"/>
      <c r="C119" s="390" t="s">
        <v>1012</v>
      </c>
      <c r="D119" s="790">
        <v>171954</v>
      </c>
      <c r="E119" s="619">
        <f>0+táj1!E119</f>
        <v>0</v>
      </c>
      <c r="F119" s="619">
        <f>0+táj1!F119</f>
        <v>0</v>
      </c>
      <c r="G119" s="619">
        <f>0+táj1!G119</f>
        <v>0</v>
      </c>
      <c r="H119" s="619">
        <f>3519420+táj1!H119</f>
        <v>3519420</v>
      </c>
      <c r="I119" s="619">
        <f>0+táj1!I119</f>
        <v>0</v>
      </c>
      <c r="J119" s="619">
        <f>0+táj1!J119</f>
        <v>0</v>
      </c>
      <c r="K119" s="619">
        <f>0+táj1!K119</f>
        <v>0</v>
      </c>
      <c r="L119" s="619">
        <f>0+táj1!L119</f>
        <v>0</v>
      </c>
      <c r="M119" s="619">
        <f>0+táj1!M119</f>
        <v>0</v>
      </c>
      <c r="N119" s="619">
        <f>0+táj1!N119</f>
        <v>0</v>
      </c>
      <c r="O119" s="562">
        <f t="shared" si="6"/>
        <v>3519420</v>
      </c>
    </row>
    <row r="120" spans="1:15" s="20" customFormat="1" ht="21.75" customHeight="1" x14ac:dyDescent="0.2">
      <c r="A120" s="340"/>
      <c r="B120" s="340"/>
      <c r="C120" s="383" t="s">
        <v>200</v>
      </c>
      <c r="D120" s="777"/>
      <c r="E120" s="563">
        <f>SUM(E94:E119)</f>
        <v>0</v>
      </c>
      <c r="F120" s="563">
        <f t="shared" ref="F120:O120" si="7">SUM(F94:F119)</f>
        <v>0</v>
      </c>
      <c r="G120" s="563">
        <f t="shared" si="7"/>
        <v>0</v>
      </c>
      <c r="H120" s="563">
        <f t="shared" si="7"/>
        <v>1183926420</v>
      </c>
      <c r="I120" s="563">
        <f t="shared" si="7"/>
        <v>174046508</v>
      </c>
      <c r="J120" s="563">
        <f t="shared" si="7"/>
        <v>0</v>
      </c>
      <c r="K120" s="563">
        <f t="shared" si="7"/>
        <v>0</v>
      </c>
      <c r="L120" s="563">
        <f t="shared" si="7"/>
        <v>0</v>
      </c>
      <c r="M120" s="563">
        <f t="shared" si="7"/>
        <v>13698479</v>
      </c>
      <c r="N120" s="563">
        <f t="shared" si="7"/>
        <v>39470000</v>
      </c>
      <c r="O120" s="563">
        <f t="shared" si="7"/>
        <v>1411141407</v>
      </c>
    </row>
    <row r="121" spans="1:15" s="20" customFormat="1" ht="18.75" customHeight="1" x14ac:dyDescent="0.2">
      <c r="A121" s="329">
        <v>1</v>
      </c>
      <c r="B121" s="329">
        <v>18</v>
      </c>
      <c r="C121" s="385" t="s">
        <v>201</v>
      </c>
      <c r="D121" s="761"/>
      <c r="E121" s="562"/>
      <c r="F121" s="565"/>
      <c r="G121" s="565"/>
      <c r="H121" s="565"/>
      <c r="I121" s="565"/>
      <c r="J121" s="565"/>
      <c r="K121" s="565"/>
      <c r="L121" s="565"/>
      <c r="M121" s="565"/>
      <c r="N121" s="565"/>
      <c r="O121" s="562"/>
    </row>
    <row r="122" spans="1:15" s="20" customFormat="1" ht="24.95" customHeight="1" x14ac:dyDescent="0.2">
      <c r="A122" s="49"/>
      <c r="B122" s="49"/>
      <c r="C122" s="104" t="s">
        <v>186</v>
      </c>
      <c r="D122" s="770"/>
      <c r="E122" s="562"/>
      <c r="F122" s="567"/>
      <c r="G122" s="567"/>
      <c r="H122" s="562"/>
      <c r="I122" s="562"/>
      <c r="J122" s="562"/>
      <c r="K122" s="562"/>
      <c r="L122" s="562"/>
      <c r="M122" s="562"/>
      <c r="N122" s="562"/>
      <c r="O122" s="562"/>
    </row>
    <row r="123" spans="1:15" s="20" customFormat="1" ht="39" customHeight="1" x14ac:dyDescent="0.2">
      <c r="A123" s="49"/>
      <c r="B123" s="49"/>
      <c r="C123" s="104" t="s">
        <v>202</v>
      </c>
      <c r="D123" s="770" t="s">
        <v>998</v>
      </c>
      <c r="E123" s="562">
        <f>0+táj1!E123</f>
        <v>0</v>
      </c>
      <c r="F123" s="562">
        <f>0+táj1!F123</f>
        <v>0</v>
      </c>
      <c r="G123" s="562">
        <f>0+táj1!G123</f>
        <v>0</v>
      </c>
      <c r="H123" s="562">
        <f>44340000+táj1!H123</f>
        <v>44340000</v>
      </c>
      <c r="I123" s="562">
        <f>0+táj1!I123</f>
        <v>0</v>
      </c>
      <c r="J123" s="562">
        <f>0+táj1!J123</f>
        <v>0</v>
      </c>
      <c r="K123" s="562">
        <f>0+táj1!K123</f>
        <v>0</v>
      </c>
      <c r="L123" s="562">
        <f>0+táj1!L123</f>
        <v>0</v>
      </c>
      <c r="M123" s="562">
        <f>0+táj1!M123</f>
        <v>0</v>
      </c>
      <c r="N123" s="562">
        <f>0+táj1!N123</f>
        <v>0</v>
      </c>
      <c r="O123" s="562">
        <f t="shared" si="6"/>
        <v>44340000</v>
      </c>
    </row>
    <row r="124" spans="1:15" s="20" customFormat="1" ht="17.45" customHeight="1" x14ac:dyDescent="0.2">
      <c r="A124" s="49"/>
      <c r="B124" s="49"/>
      <c r="C124" s="385" t="s">
        <v>675</v>
      </c>
      <c r="D124" s="780">
        <v>181905</v>
      </c>
      <c r="E124" s="562">
        <f>0+táj1!E124</f>
        <v>0</v>
      </c>
      <c r="F124" s="562">
        <f>0+táj1!F124</f>
        <v>0</v>
      </c>
      <c r="G124" s="562">
        <f>32400000+táj1!G124</f>
        <v>32400000</v>
      </c>
      <c r="H124" s="562">
        <f>0+táj1!H124</f>
        <v>0</v>
      </c>
      <c r="I124" s="562">
        <f>0+táj1!I124</f>
        <v>0</v>
      </c>
      <c r="J124" s="562">
        <f>0+táj1!J124</f>
        <v>0</v>
      </c>
      <c r="K124" s="562">
        <f>0+táj1!K124</f>
        <v>0</v>
      </c>
      <c r="L124" s="562">
        <f>0+táj1!L124</f>
        <v>0</v>
      </c>
      <c r="M124" s="562">
        <f>0+táj1!M124</f>
        <v>0</v>
      </c>
      <c r="N124" s="562">
        <f>0+táj1!N124</f>
        <v>0</v>
      </c>
      <c r="O124" s="562">
        <f t="shared" si="6"/>
        <v>32400000</v>
      </c>
    </row>
    <row r="125" spans="1:15" s="20" customFormat="1" ht="16.899999999999999" customHeight="1" x14ac:dyDescent="0.2">
      <c r="A125" s="49"/>
      <c r="B125" s="49"/>
      <c r="C125" s="104" t="s">
        <v>204</v>
      </c>
      <c r="D125" s="770">
        <v>181903</v>
      </c>
      <c r="E125" s="562">
        <f>0+táj1!E125</f>
        <v>0</v>
      </c>
      <c r="F125" s="562">
        <f>0+táj1!F125</f>
        <v>0</v>
      </c>
      <c r="G125" s="562">
        <f>400000+táj1!G125</f>
        <v>400000</v>
      </c>
      <c r="H125" s="562">
        <f>0+táj1!H125</f>
        <v>0</v>
      </c>
      <c r="I125" s="562">
        <f>0+táj1!I125</f>
        <v>0</v>
      </c>
      <c r="J125" s="562">
        <f>0+táj1!J125</f>
        <v>0</v>
      </c>
      <c r="K125" s="562">
        <f>0+táj1!K125</f>
        <v>0</v>
      </c>
      <c r="L125" s="562">
        <f>0+táj1!L125</f>
        <v>0</v>
      </c>
      <c r="M125" s="562">
        <f>0+táj1!M125</f>
        <v>0</v>
      </c>
      <c r="N125" s="562">
        <f>0+táj1!N125</f>
        <v>0</v>
      </c>
      <c r="O125" s="562">
        <f t="shared" si="6"/>
        <v>400000</v>
      </c>
    </row>
    <row r="126" spans="1:15" s="20" customFormat="1" ht="27" customHeight="1" x14ac:dyDescent="0.2">
      <c r="A126" s="49"/>
      <c r="B126" s="49"/>
      <c r="C126" s="104" t="s">
        <v>205</v>
      </c>
      <c r="D126" s="770">
        <v>181904</v>
      </c>
      <c r="E126" s="562">
        <f>0+táj1!E126</f>
        <v>0</v>
      </c>
      <c r="F126" s="562">
        <f>0+táj1!F126</f>
        <v>0</v>
      </c>
      <c r="G126" s="562">
        <f>0+táj1!G126</f>
        <v>0</v>
      </c>
      <c r="H126" s="562">
        <f>500000+táj1!H126</f>
        <v>500000</v>
      </c>
      <c r="I126" s="562">
        <f>0+táj1!I126</f>
        <v>0</v>
      </c>
      <c r="J126" s="562">
        <f>0+táj1!J126</f>
        <v>0</v>
      </c>
      <c r="K126" s="562">
        <f>0+táj1!K126</f>
        <v>0</v>
      </c>
      <c r="L126" s="562">
        <f>0+táj1!L126</f>
        <v>0</v>
      </c>
      <c r="M126" s="562">
        <f>0+táj1!M126</f>
        <v>0</v>
      </c>
      <c r="N126" s="562">
        <f>0+táj1!N126</f>
        <v>0</v>
      </c>
      <c r="O126" s="562">
        <f t="shared" si="6"/>
        <v>500000</v>
      </c>
    </row>
    <row r="127" spans="1:15" s="20" customFormat="1" ht="15" customHeight="1" x14ac:dyDescent="0.2">
      <c r="A127" s="49" t="s">
        <v>79</v>
      </c>
      <c r="B127" s="49"/>
      <c r="C127" s="385" t="s">
        <v>206</v>
      </c>
      <c r="D127" s="780">
        <v>181902</v>
      </c>
      <c r="E127" s="562">
        <f>0+táj1!E127</f>
        <v>0</v>
      </c>
      <c r="F127" s="562">
        <f>0+táj1!F127</f>
        <v>0</v>
      </c>
      <c r="G127" s="562">
        <f>75000000+táj1!G127</f>
        <v>75000000</v>
      </c>
      <c r="H127" s="562">
        <f>0+táj1!H127</f>
        <v>0</v>
      </c>
      <c r="I127" s="562">
        <f>0+táj1!I127</f>
        <v>0</v>
      </c>
      <c r="J127" s="562">
        <f>0+táj1!J127</f>
        <v>0</v>
      </c>
      <c r="K127" s="562">
        <f>0+táj1!K127</f>
        <v>0</v>
      </c>
      <c r="L127" s="562">
        <f>0+táj1!L127</f>
        <v>0</v>
      </c>
      <c r="M127" s="562">
        <f>0+táj1!M127</f>
        <v>0</v>
      </c>
      <c r="N127" s="562">
        <f>0+táj1!N127</f>
        <v>0</v>
      </c>
      <c r="O127" s="562">
        <f t="shared" si="6"/>
        <v>75000000</v>
      </c>
    </row>
    <row r="128" spans="1:15" s="20" customFormat="1" ht="22.5" customHeight="1" x14ac:dyDescent="0.2">
      <c r="A128" s="340"/>
      <c r="B128" s="340"/>
      <c r="C128" s="383" t="s">
        <v>207</v>
      </c>
      <c r="D128" s="777"/>
      <c r="E128" s="570">
        <f>SUM(E121:E127)</f>
        <v>0</v>
      </c>
      <c r="F128" s="570">
        <f t="shared" ref="F128:N128" si="8">SUM(F121:F127)</f>
        <v>0</v>
      </c>
      <c r="G128" s="570">
        <f t="shared" si="8"/>
        <v>107800000</v>
      </c>
      <c r="H128" s="570">
        <f t="shared" si="8"/>
        <v>44840000</v>
      </c>
      <c r="I128" s="570">
        <f t="shared" si="8"/>
        <v>0</v>
      </c>
      <c r="J128" s="570">
        <f t="shared" si="8"/>
        <v>0</v>
      </c>
      <c r="K128" s="570">
        <f t="shared" si="8"/>
        <v>0</v>
      </c>
      <c r="L128" s="570">
        <f t="shared" si="8"/>
        <v>0</v>
      </c>
      <c r="M128" s="570">
        <f t="shared" si="8"/>
        <v>0</v>
      </c>
      <c r="N128" s="570">
        <f t="shared" si="8"/>
        <v>0</v>
      </c>
      <c r="O128" s="570">
        <f t="shared" ref="O128" si="9">SUM(O123:O127)</f>
        <v>152640000</v>
      </c>
    </row>
    <row r="129" spans="1:16" s="20" customFormat="1" ht="12.6" customHeight="1" x14ac:dyDescent="0.2">
      <c r="A129" s="329">
        <v>1</v>
      </c>
      <c r="B129" s="329">
        <v>19</v>
      </c>
      <c r="C129" s="384" t="s">
        <v>78</v>
      </c>
      <c r="D129" s="759"/>
      <c r="E129" s="562"/>
      <c r="F129" s="562"/>
      <c r="G129" s="562"/>
      <c r="H129" s="562"/>
      <c r="I129" s="562"/>
      <c r="J129" s="562"/>
      <c r="K129" s="562"/>
      <c r="L129" s="562"/>
      <c r="M129" s="562"/>
      <c r="N129" s="562"/>
      <c r="O129" s="562"/>
    </row>
    <row r="130" spans="1:16" s="20" customFormat="1" ht="26.25" customHeight="1" x14ac:dyDescent="0.2">
      <c r="A130" s="49"/>
      <c r="B130" s="49"/>
      <c r="C130" s="395" t="s">
        <v>208</v>
      </c>
      <c r="D130" s="789"/>
      <c r="E130" s="562"/>
      <c r="F130" s="562"/>
      <c r="G130" s="562"/>
      <c r="H130" s="562"/>
      <c r="I130" s="562"/>
      <c r="J130" s="562"/>
      <c r="K130" s="562"/>
      <c r="L130" s="562"/>
      <c r="M130" s="562"/>
      <c r="N130" s="562"/>
      <c r="O130" s="562"/>
    </row>
    <row r="131" spans="1:16" s="20" customFormat="1" ht="21" customHeight="1" x14ac:dyDescent="0.2">
      <c r="A131" s="49"/>
      <c r="B131" s="49"/>
      <c r="C131" s="396" t="s">
        <v>611</v>
      </c>
      <c r="D131" s="773">
        <v>196919</v>
      </c>
      <c r="E131" s="562">
        <f>0+táj1!E131</f>
        <v>0</v>
      </c>
      <c r="F131" s="562">
        <f>0+táj1!F131</f>
        <v>0</v>
      </c>
      <c r="G131" s="562">
        <f>0+táj1!G131</f>
        <v>0</v>
      </c>
      <c r="H131" s="562">
        <f>15000000+táj1!H131</f>
        <v>15000000</v>
      </c>
      <c r="I131" s="562">
        <f>0+táj1!I131</f>
        <v>0</v>
      </c>
      <c r="J131" s="562">
        <f>0+táj1!J131</f>
        <v>0</v>
      </c>
      <c r="K131" s="562">
        <f>0+táj1!K131</f>
        <v>0</v>
      </c>
      <c r="L131" s="562">
        <f>0+táj1!L131</f>
        <v>0</v>
      </c>
      <c r="M131" s="562">
        <f>0+táj1!M131</f>
        <v>0</v>
      </c>
      <c r="N131" s="562">
        <f>5000000000+táj1!N131</f>
        <v>5000000000</v>
      </c>
      <c r="O131" s="562">
        <f t="shared" si="6"/>
        <v>5015000000</v>
      </c>
    </row>
    <row r="132" spans="1:16" s="20" customFormat="1" ht="21" customHeight="1" x14ac:dyDescent="0.2">
      <c r="A132" s="613"/>
      <c r="B132" s="613"/>
      <c r="C132" s="617" t="s">
        <v>1033</v>
      </c>
      <c r="D132" s="779">
        <v>191150</v>
      </c>
      <c r="E132" s="619">
        <f>0+táj1!E132</f>
        <v>0</v>
      </c>
      <c r="F132" s="619">
        <f>0+táj1!F132</f>
        <v>0</v>
      </c>
      <c r="G132" s="619">
        <f>0+táj1!G132</f>
        <v>0</v>
      </c>
      <c r="H132" s="619">
        <f>0+táj1!H132</f>
        <v>0</v>
      </c>
      <c r="I132" s="619">
        <f>0+táj1!I132</f>
        <v>0</v>
      </c>
      <c r="J132" s="619">
        <f>0+táj1!J132</f>
        <v>0</v>
      </c>
      <c r="K132" s="619">
        <f>0+táj1!K132</f>
        <v>0</v>
      </c>
      <c r="L132" s="619">
        <f>500000000+táj1!L132</f>
        <v>500000000</v>
      </c>
      <c r="M132" s="619">
        <f>0+táj1!M132</f>
        <v>0</v>
      </c>
      <c r="N132" s="619">
        <f>0+táj1!N132</f>
        <v>0</v>
      </c>
      <c r="O132" s="562">
        <f t="shared" si="6"/>
        <v>500000000</v>
      </c>
    </row>
    <row r="133" spans="1:16" s="20" customFormat="1" ht="24.95" customHeight="1" x14ac:dyDescent="0.2">
      <c r="A133" s="49"/>
      <c r="B133" s="49"/>
      <c r="C133" s="385" t="s">
        <v>165</v>
      </c>
      <c r="D133" s="761"/>
      <c r="E133" s="562"/>
      <c r="F133" s="567"/>
      <c r="G133" s="567"/>
      <c r="H133" s="567"/>
      <c r="I133" s="567"/>
      <c r="J133" s="567"/>
      <c r="K133" s="567"/>
      <c r="L133" s="567"/>
      <c r="M133" s="567"/>
      <c r="N133" s="567"/>
      <c r="O133" s="562"/>
    </row>
    <row r="134" spans="1:16" s="20" customFormat="1" ht="25.5" x14ac:dyDescent="0.2">
      <c r="A134" s="49" t="s">
        <v>79</v>
      </c>
      <c r="B134" s="49"/>
      <c r="C134" s="385" t="s">
        <v>209</v>
      </c>
      <c r="D134" s="773">
        <v>191102</v>
      </c>
      <c r="E134" s="562">
        <f>0+táj1!E134</f>
        <v>0</v>
      </c>
      <c r="F134" s="562">
        <f>0+táj1!F134</f>
        <v>0</v>
      </c>
      <c r="G134" s="562">
        <f>0+táj1!G134</f>
        <v>0</v>
      </c>
      <c r="H134" s="562">
        <f>5000000+táj1!H134</f>
        <v>5000000</v>
      </c>
      <c r="I134" s="562">
        <f>0+táj1!I134</f>
        <v>0</v>
      </c>
      <c r="J134" s="562">
        <f>0+táj1!J134</f>
        <v>0</v>
      </c>
      <c r="K134" s="562">
        <f>0+táj1!K134</f>
        <v>0</v>
      </c>
      <c r="L134" s="562">
        <f>0+táj1!L134</f>
        <v>0</v>
      </c>
      <c r="M134" s="562">
        <f>0+táj1!M134</f>
        <v>0</v>
      </c>
      <c r="N134" s="562">
        <f>0+táj1!N134</f>
        <v>0</v>
      </c>
      <c r="O134" s="562">
        <f t="shared" si="6"/>
        <v>5000000</v>
      </c>
    </row>
    <row r="135" spans="1:16" s="20" customFormat="1" ht="17.25" customHeight="1" x14ac:dyDescent="0.2">
      <c r="A135" s="49"/>
      <c r="B135" s="49"/>
      <c r="C135" s="396" t="s">
        <v>210</v>
      </c>
      <c r="D135" s="773">
        <v>191103</v>
      </c>
      <c r="E135" s="562">
        <f>0+táj1!E135</f>
        <v>0</v>
      </c>
      <c r="F135" s="562">
        <f>0+táj1!F135</f>
        <v>0</v>
      </c>
      <c r="G135" s="562">
        <f>0+táj1!G135</f>
        <v>0</v>
      </c>
      <c r="H135" s="562">
        <f>148147934+táj1!H135</f>
        <v>150847934</v>
      </c>
      <c r="I135" s="562">
        <f>0+táj1!I135</f>
        <v>0</v>
      </c>
      <c r="J135" s="562">
        <f>0+táj1!J135</f>
        <v>0</v>
      </c>
      <c r="K135" s="562">
        <f>0+táj1!K135</f>
        <v>0</v>
      </c>
      <c r="L135" s="562">
        <f>0+táj1!L135</f>
        <v>0</v>
      </c>
      <c r="M135" s="562">
        <f>0+táj1!M135</f>
        <v>0</v>
      </c>
      <c r="N135" s="562">
        <f>0+táj1!N135</f>
        <v>0</v>
      </c>
      <c r="O135" s="562">
        <f t="shared" si="6"/>
        <v>150847934</v>
      </c>
    </row>
    <row r="136" spans="1:16" s="20" customFormat="1" ht="25.5" x14ac:dyDescent="0.2">
      <c r="A136" s="49"/>
      <c r="B136" s="49"/>
      <c r="C136" s="385" t="s">
        <v>676</v>
      </c>
      <c r="D136" s="780">
        <v>191196</v>
      </c>
      <c r="E136" s="562">
        <f>0+táj1!E136</f>
        <v>0</v>
      </c>
      <c r="F136" s="562">
        <f>0+táj1!F136</f>
        <v>0</v>
      </c>
      <c r="G136" s="562">
        <f>0+táj1!G136</f>
        <v>0</v>
      </c>
      <c r="H136" s="562">
        <f>0+táj1!H136</f>
        <v>0</v>
      </c>
      <c r="I136" s="562">
        <f>0+táj1!I136</f>
        <v>0</v>
      </c>
      <c r="J136" s="562">
        <f>0+táj1!J136</f>
        <v>0</v>
      </c>
      <c r="K136" s="562">
        <f>0+táj1!K136</f>
        <v>0</v>
      </c>
      <c r="L136" s="562">
        <f>0+táj1!L136</f>
        <v>0</v>
      </c>
      <c r="M136" s="562">
        <f>1362110374+táj1!M136</f>
        <v>1362110374</v>
      </c>
      <c r="N136" s="562">
        <f>2600000000+táj1!N136</f>
        <v>2600000000</v>
      </c>
      <c r="O136" s="562">
        <f t="shared" si="6"/>
        <v>3962110374</v>
      </c>
      <c r="P136" s="292"/>
    </row>
    <row r="137" spans="1:16" s="20" customFormat="1" ht="51" x14ac:dyDescent="0.2">
      <c r="A137" s="613"/>
      <c r="B137" s="613"/>
      <c r="C137" s="632" t="s">
        <v>980</v>
      </c>
      <c r="D137" s="790">
        <v>191149</v>
      </c>
      <c r="E137" s="562">
        <f>14059535+táj1!E137</f>
        <v>14059535</v>
      </c>
      <c r="F137" s="562">
        <f>0+táj1!F137</f>
        <v>0</v>
      </c>
      <c r="G137" s="562">
        <f>0+táj1!G137</f>
        <v>0</v>
      </c>
      <c r="H137" s="562">
        <f>3214921+táj1!H137</f>
        <v>3214921</v>
      </c>
      <c r="I137" s="562">
        <f>0+táj1!I137</f>
        <v>0</v>
      </c>
      <c r="J137" s="562">
        <f>0+táj1!J137</f>
        <v>0</v>
      </c>
      <c r="K137" s="562">
        <f>0+táj1!K137</f>
        <v>0</v>
      </c>
      <c r="L137" s="562">
        <f>0+táj1!L137</f>
        <v>0</v>
      </c>
      <c r="M137" s="562">
        <f>0+táj1!M137</f>
        <v>0</v>
      </c>
      <c r="N137" s="562">
        <f>0+táj1!N137</f>
        <v>0</v>
      </c>
      <c r="O137" s="562">
        <f t="shared" si="6"/>
        <v>17274456</v>
      </c>
      <c r="P137" s="292"/>
    </row>
    <row r="138" spans="1:16" s="20" customFormat="1" ht="24.95" customHeight="1" x14ac:dyDescent="0.2">
      <c r="A138" s="49"/>
      <c r="B138" s="49"/>
      <c r="C138" s="385" t="s">
        <v>211</v>
      </c>
      <c r="D138" s="761"/>
      <c r="E138" s="562"/>
      <c r="F138" s="567"/>
      <c r="G138" s="567"/>
      <c r="H138" s="567"/>
      <c r="I138" s="567"/>
      <c r="J138" s="567"/>
      <c r="K138" s="567"/>
      <c r="L138" s="567"/>
      <c r="M138" s="567"/>
      <c r="N138" s="567"/>
      <c r="O138" s="562"/>
      <c r="P138" s="292"/>
    </row>
    <row r="139" spans="1:16" s="20" customFormat="1" ht="38.25" x14ac:dyDescent="0.2">
      <c r="A139" s="49"/>
      <c r="B139" s="49"/>
      <c r="C139" s="104" t="s">
        <v>508</v>
      </c>
      <c r="D139" s="770">
        <v>191901</v>
      </c>
      <c r="E139" s="562">
        <f>7250571039+táj1!E139</f>
        <v>7252057589</v>
      </c>
      <c r="F139" s="562">
        <f>0+táj1!F139</f>
        <v>0</v>
      </c>
      <c r="G139" s="562">
        <f>0+táj1!G139</f>
        <v>0</v>
      </c>
      <c r="H139" s="562">
        <f>0+táj1!H139</f>
        <v>0</v>
      </c>
      <c r="I139" s="562">
        <f>0+táj1!I139</f>
        <v>0</v>
      </c>
      <c r="J139" s="562">
        <f>0+táj1!J139</f>
        <v>0</v>
      </c>
      <c r="K139" s="562">
        <f>0+táj1!K139</f>
        <v>0</v>
      </c>
      <c r="L139" s="562">
        <f>0+táj1!L139</f>
        <v>0</v>
      </c>
      <c r="M139" s="562">
        <f>0+táj1!M139</f>
        <v>0</v>
      </c>
      <c r="N139" s="562">
        <f>0+táj1!N139</f>
        <v>0</v>
      </c>
      <c r="O139" s="562">
        <f t="shared" si="6"/>
        <v>7252057589</v>
      </c>
      <c r="P139" s="292"/>
    </row>
    <row r="140" spans="1:16" s="20" customFormat="1" ht="18.75" customHeight="1" x14ac:dyDescent="0.2">
      <c r="A140" s="430"/>
      <c r="B140" s="430"/>
      <c r="C140" s="509" t="s">
        <v>947</v>
      </c>
      <c r="D140" s="791">
        <v>191147</v>
      </c>
      <c r="E140" s="562">
        <f>270132148+táj1!E140</f>
        <v>270132148</v>
      </c>
      <c r="F140" s="562">
        <f>0+táj1!F140</f>
        <v>0</v>
      </c>
      <c r="G140" s="562">
        <f>0+táj1!G140</f>
        <v>0</v>
      </c>
      <c r="H140" s="562">
        <f>0+táj1!H140</f>
        <v>0</v>
      </c>
      <c r="I140" s="562">
        <f>0+táj1!I140</f>
        <v>0</v>
      </c>
      <c r="J140" s="562">
        <f>0+táj1!J140</f>
        <v>0</v>
      </c>
      <c r="K140" s="562">
        <f>0+táj1!K140</f>
        <v>0</v>
      </c>
      <c r="L140" s="562">
        <f>0+táj1!L140</f>
        <v>0</v>
      </c>
      <c r="M140" s="562">
        <f>0+táj1!M140</f>
        <v>0</v>
      </c>
      <c r="N140" s="562">
        <f>0+táj1!N140</f>
        <v>0</v>
      </c>
      <c r="O140" s="562">
        <f t="shared" si="6"/>
        <v>270132148</v>
      </c>
    </row>
    <row r="141" spans="1:16" s="20" customFormat="1" ht="18" customHeight="1" x14ac:dyDescent="0.2">
      <c r="A141" s="49"/>
      <c r="B141" s="49"/>
      <c r="C141" s="104" t="s">
        <v>677</v>
      </c>
      <c r="D141" s="770">
        <v>191901</v>
      </c>
      <c r="E141" s="562">
        <f>269789425+táj1!E141</f>
        <v>269789425</v>
      </c>
      <c r="F141" s="562">
        <f>0+táj1!F141</f>
        <v>0</v>
      </c>
      <c r="G141" s="562">
        <f>0+táj1!G141</f>
        <v>0</v>
      </c>
      <c r="H141" s="562">
        <f>0+táj1!H141</f>
        <v>0</v>
      </c>
      <c r="I141" s="562">
        <f>0+táj1!I141</f>
        <v>0</v>
      </c>
      <c r="J141" s="562">
        <f>0+táj1!J141</f>
        <v>0</v>
      </c>
      <c r="K141" s="562">
        <f>0+táj1!K141</f>
        <v>0</v>
      </c>
      <c r="L141" s="562">
        <f>0+táj1!L141</f>
        <v>0</v>
      </c>
      <c r="M141" s="562">
        <f>0+táj1!M141</f>
        <v>0</v>
      </c>
      <c r="N141" s="562">
        <f>0+táj1!N141</f>
        <v>0</v>
      </c>
      <c r="O141" s="562">
        <f t="shared" si="6"/>
        <v>269789425</v>
      </c>
    </row>
    <row r="142" spans="1:16" s="20" customFormat="1" ht="18" customHeight="1" x14ac:dyDescent="0.2">
      <c r="A142" s="613"/>
      <c r="B142" s="613"/>
      <c r="C142" s="509" t="s">
        <v>1013</v>
      </c>
      <c r="D142" s="792">
        <v>191116</v>
      </c>
      <c r="E142" s="619">
        <f>60225000+táj1!E142</f>
        <v>60225000</v>
      </c>
      <c r="F142" s="619">
        <f>0+táj1!F142</f>
        <v>0</v>
      </c>
      <c r="G142" s="619">
        <f>0+táj1!G142</f>
        <v>0</v>
      </c>
      <c r="H142" s="619">
        <f>0+táj1!H142</f>
        <v>0</v>
      </c>
      <c r="I142" s="619">
        <f>0+táj1!I142</f>
        <v>0</v>
      </c>
      <c r="J142" s="619">
        <f>0+táj1!J142</f>
        <v>0</v>
      </c>
      <c r="K142" s="619">
        <f>0+táj1!K142</f>
        <v>0</v>
      </c>
      <c r="L142" s="619">
        <f>0+táj1!L142</f>
        <v>0</v>
      </c>
      <c r="M142" s="619">
        <f>0+táj1!M142</f>
        <v>0</v>
      </c>
      <c r="N142" s="619">
        <f>0+táj1!N142</f>
        <v>0</v>
      </c>
      <c r="O142" s="562">
        <f t="shared" si="6"/>
        <v>60225000</v>
      </c>
    </row>
    <row r="143" spans="1:16" s="20" customFormat="1" ht="28.5" customHeight="1" x14ac:dyDescent="0.2">
      <c r="A143" s="49"/>
      <c r="B143" s="49"/>
      <c r="C143" s="385" t="s">
        <v>212</v>
      </c>
      <c r="D143" s="761"/>
      <c r="E143" s="562"/>
      <c r="F143" s="567"/>
      <c r="G143" s="567"/>
      <c r="H143" s="567"/>
      <c r="I143" s="567"/>
      <c r="J143" s="567"/>
      <c r="K143" s="567"/>
      <c r="L143" s="567"/>
      <c r="M143" s="567"/>
      <c r="N143" s="567"/>
      <c r="O143" s="562"/>
    </row>
    <row r="144" spans="1:16" s="20" customFormat="1" ht="14.1" customHeight="1" x14ac:dyDescent="0.2">
      <c r="A144" s="49"/>
      <c r="B144" s="49"/>
      <c r="C144" s="396" t="s">
        <v>213</v>
      </c>
      <c r="D144" s="773">
        <v>191907</v>
      </c>
      <c r="E144" s="562">
        <f>0+táj1!E144</f>
        <v>0</v>
      </c>
      <c r="F144" s="562">
        <f>0+táj1!F144</f>
        <v>0</v>
      </c>
      <c r="G144" s="562">
        <f>7950000000+táj1!G144</f>
        <v>7950000000</v>
      </c>
      <c r="H144" s="562">
        <f>0+táj1!H144</f>
        <v>0</v>
      </c>
      <c r="I144" s="562">
        <f>0+táj1!I144</f>
        <v>0</v>
      </c>
      <c r="J144" s="562">
        <f>0+táj1!J144</f>
        <v>0</v>
      </c>
      <c r="K144" s="562">
        <f>0+táj1!K144</f>
        <v>0</v>
      </c>
      <c r="L144" s="562">
        <f>0+táj1!L144</f>
        <v>0</v>
      </c>
      <c r="M144" s="562">
        <f>0+táj1!M144</f>
        <v>0</v>
      </c>
      <c r="N144" s="562">
        <f>0+táj1!N144</f>
        <v>0</v>
      </c>
      <c r="O144" s="562">
        <f t="shared" si="6"/>
        <v>7950000000</v>
      </c>
    </row>
    <row r="145" spans="1:15" s="20" customFormat="1" ht="14.1" customHeight="1" x14ac:dyDescent="0.2">
      <c r="A145" s="49"/>
      <c r="B145" s="49"/>
      <c r="C145" s="396" t="s">
        <v>678</v>
      </c>
      <c r="D145" s="773">
        <v>191907</v>
      </c>
      <c r="E145" s="562">
        <f>0+táj1!E145</f>
        <v>0</v>
      </c>
      <c r="F145" s="562">
        <f>0+táj1!F145</f>
        <v>0</v>
      </c>
      <c r="G145" s="562">
        <f>1560000000+táj1!G145</f>
        <v>1560000000</v>
      </c>
      <c r="H145" s="562">
        <f>0+táj1!H145</f>
        <v>0</v>
      </c>
      <c r="I145" s="562">
        <f>0+táj1!I145</f>
        <v>0</v>
      </c>
      <c r="J145" s="562">
        <f>0+táj1!J145</f>
        <v>0</v>
      </c>
      <c r="K145" s="562">
        <f>0+táj1!K145</f>
        <v>0</v>
      </c>
      <c r="L145" s="562">
        <f>0+táj1!L145</f>
        <v>0</v>
      </c>
      <c r="M145" s="562">
        <f>0+táj1!M145</f>
        <v>0</v>
      </c>
      <c r="N145" s="562">
        <f>0+táj1!N145</f>
        <v>0</v>
      </c>
      <c r="O145" s="562">
        <f t="shared" si="6"/>
        <v>1560000000</v>
      </c>
    </row>
    <row r="146" spans="1:15" s="20" customFormat="1" ht="14.1" customHeight="1" x14ac:dyDescent="0.2">
      <c r="A146" s="49"/>
      <c r="B146" s="49"/>
      <c r="C146" s="396" t="s">
        <v>215</v>
      </c>
      <c r="D146" s="773">
        <v>191907</v>
      </c>
      <c r="E146" s="562">
        <f>0+táj1!E146</f>
        <v>0</v>
      </c>
      <c r="F146" s="562">
        <f>0+táj1!F146</f>
        <v>0</v>
      </c>
      <c r="G146" s="562">
        <f>15000000+táj1!G146</f>
        <v>15000000</v>
      </c>
      <c r="H146" s="562">
        <f>0+táj1!H146</f>
        <v>0</v>
      </c>
      <c r="I146" s="562">
        <f>0+táj1!I146</f>
        <v>0</v>
      </c>
      <c r="J146" s="562">
        <f>0+táj1!J146</f>
        <v>0</v>
      </c>
      <c r="K146" s="562">
        <f>0+táj1!K146</f>
        <v>0</v>
      </c>
      <c r="L146" s="562">
        <f>0+táj1!L146</f>
        <v>0</v>
      </c>
      <c r="M146" s="562">
        <f>0+táj1!M146</f>
        <v>0</v>
      </c>
      <c r="N146" s="562">
        <f>0+táj1!N146</f>
        <v>0</v>
      </c>
      <c r="O146" s="562">
        <f t="shared" si="6"/>
        <v>15000000</v>
      </c>
    </row>
    <row r="147" spans="1:15" s="20" customFormat="1" ht="14.1" customHeight="1" x14ac:dyDescent="0.2">
      <c r="A147" s="49"/>
      <c r="B147" s="49"/>
      <c r="C147" s="396" t="s">
        <v>533</v>
      </c>
      <c r="D147" s="773">
        <v>191907</v>
      </c>
      <c r="E147" s="562">
        <f>0+táj1!E147</f>
        <v>0</v>
      </c>
      <c r="F147" s="562">
        <f>0+táj1!F147</f>
        <v>0</v>
      </c>
      <c r="G147" s="562">
        <f>37000000+táj1!G147</f>
        <v>37000000</v>
      </c>
      <c r="H147" s="562">
        <f>0+táj1!H147</f>
        <v>0</v>
      </c>
      <c r="I147" s="562">
        <f>0+táj1!I147</f>
        <v>0</v>
      </c>
      <c r="J147" s="562">
        <f>0+táj1!J147</f>
        <v>0</v>
      </c>
      <c r="K147" s="562">
        <f>0+táj1!K147</f>
        <v>0</v>
      </c>
      <c r="L147" s="562">
        <f>0+táj1!L147</f>
        <v>0</v>
      </c>
      <c r="M147" s="562">
        <f>0+táj1!M147</f>
        <v>0</v>
      </c>
      <c r="N147" s="562">
        <f>0+táj1!N147</f>
        <v>0</v>
      </c>
      <c r="O147" s="562">
        <f t="shared" si="6"/>
        <v>37000000</v>
      </c>
    </row>
    <row r="148" spans="1:15" s="20" customFormat="1" ht="14.1" customHeight="1" x14ac:dyDescent="0.2">
      <c r="A148" s="49"/>
      <c r="B148" s="49"/>
      <c r="C148" s="396" t="s">
        <v>214</v>
      </c>
      <c r="D148" s="773">
        <v>191907</v>
      </c>
      <c r="E148" s="562">
        <f>0+táj1!E148</f>
        <v>0</v>
      </c>
      <c r="F148" s="562">
        <f>0+táj1!F148</f>
        <v>0</v>
      </c>
      <c r="G148" s="562">
        <f>5000000+táj1!G148</f>
        <v>5000000</v>
      </c>
      <c r="H148" s="562">
        <f>0+táj1!H148</f>
        <v>0</v>
      </c>
      <c r="I148" s="562">
        <f>0+táj1!I148</f>
        <v>0</v>
      </c>
      <c r="J148" s="562">
        <f>0+táj1!J148</f>
        <v>0</v>
      </c>
      <c r="K148" s="562">
        <f>0+táj1!K148</f>
        <v>0</v>
      </c>
      <c r="L148" s="562">
        <f>0+táj1!L148</f>
        <v>0</v>
      </c>
      <c r="M148" s="562">
        <f>0+táj1!M148</f>
        <v>0</v>
      </c>
      <c r="N148" s="562">
        <f>0+táj1!N148</f>
        <v>0</v>
      </c>
      <c r="O148" s="562">
        <f t="shared" si="6"/>
        <v>5000000</v>
      </c>
    </row>
    <row r="149" spans="1:15" s="20" customFormat="1" ht="33.75" customHeight="1" x14ac:dyDescent="0.2">
      <c r="A149" s="49"/>
      <c r="B149" s="49"/>
      <c r="C149" s="104" t="s">
        <v>216</v>
      </c>
      <c r="D149" s="770"/>
      <c r="E149" s="562"/>
      <c r="F149" s="567"/>
      <c r="G149" s="567"/>
      <c r="H149" s="567"/>
      <c r="I149" s="567"/>
      <c r="J149" s="567"/>
      <c r="K149" s="567"/>
      <c r="L149" s="567"/>
      <c r="M149" s="567"/>
      <c r="N149" s="567"/>
      <c r="O149" s="562"/>
    </row>
    <row r="150" spans="1:15" s="20" customFormat="1" ht="42" customHeight="1" x14ac:dyDescent="0.2">
      <c r="A150" s="49"/>
      <c r="B150" s="49"/>
      <c r="C150" s="377" t="s">
        <v>217</v>
      </c>
      <c r="D150" s="770">
        <v>191158</v>
      </c>
      <c r="E150" s="562">
        <f>11000000+táj1!E150</f>
        <v>11000000</v>
      </c>
      <c r="F150" s="562">
        <f>0+táj1!F150</f>
        <v>0</v>
      </c>
      <c r="G150" s="562">
        <f>0+táj1!G150</f>
        <v>0</v>
      </c>
      <c r="H150" s="562">
        <f>0+táj1!H150</f>
        <v>0</v>
      </c>
      <c r="I150" s="562">
        <f>0+táj1!I150</f>
        <v>0</v>
      </c>
      <c r="J150" s="562">
        <f>0+táj1!J150</f>
        <v>0</v>
      </c>
      <c r="K150" s="562">
        <f>0+táj1!K150</f>
        <v>0</v>
      </c>
      <c r="L150" s="562">
        <f>0+táj1!L150</f>
        <v>0</v>
      </c>
      <c r="M150" s="562">
        <f>0+táj1!M150</f>
        <v>0</v>
      </c>
      <c r="N150" s="562">
        <f>0+táj1!N150</f>
        <v>0</v>
      </c>
      <c r="O150" s="562">
        <f t="shared" si="6"/>
        <v>11000000</v>
      </c>
    </row>
    <row r="151" spans="1:15" s="20" customFormat="1" ht="36.75" customHeight="1" x14ac:dyDescent="0.2">
      <c r="A151" s="49"/>
      <c r="B151" s="49"/>
      <c r="C151" s="377" t="s">
        <v>218</v>
      </c>
      <c r="D151" s="770"/>
      <c r="E151" s="562"/>
      <c r="F151" s="567"/>
      <c r="G151" s="567"/>
      <c r="H151" s="567"/>
      <c r="I151" s="567"/>
      <c r="J151" s="567"/>
      <c r="K151" s="567"/>
      <c r="L151" s="567"/>
      <c r="M151" s="567"/>
      <c r="N151" s="567"/>
      <c r="O151" s="562"/>
    </row>
    <row r="152" spans="1:15" s="20" customFormat="1" ht="44.25" customHeight="1" x14ac:dyDescent="0.2">
      <c r="A152" s="49"/>
      <c r="B152" s="49"/>
      <c r="C152" s="377" t="s">
        <v>621</v>
      </c>
      <c r="D152" s="770">
        <v>191135</v>
      </c>
      <c r="E152" s="562">
        <f>15000000+táj1!E152</f>
        <v>15000000</v>
      </c>
      <c r="F152" s="562">
        <f>0+táj1!F152</f>
        <v>0</v>
      </c>
      <c r="G152" s="562">
        <f>0+táj1!G152</f>
        <v>0</v>
      </c>
      <c r="H152" s="562">
        <f>0+táj1!H152</f>
        <v>0</v>
      </c>
      <c r="I152" s="562">
        <f>0+táj1!I152</f>
        <v>0</v>
      </c>
      <c r="J152" s="562">
        <f>0+táj1!J152</f>
        <v>0</v>
      </c>
      <c r="K152" s="562">
        <f>0+táj1!K152</f>
        <v>0</v>
      </c>
      <c r="L152" s="562">
        <f>0+táj1!L152</f>
        <v>0</v>
      </c>
      <c r="M152" s="562">
        <f>0+táj1!M152</f>
        <v>0</v>
      </c>
      <c r="N152" s="562">
        <f>0+táj1!N152</f>
        <v>0</v>
      </c>
      <c r="O152" s="562">
        <f t="shared" si="6"/>
        <v>15000000</v>
      </c>
    </row>
    <row r="153" spans="1:15" s="20" customFormat="1" ht="24.95" customHeight="1" x14ac:dyDescent="0.2">
      <c r="A153" s="49"/>
      <c r="B153" s="49"/>
      <c r="C153" s="385" t="s">
        <v>219</v>
      </c>
      <c r="D153" s="780">
        <v>191906</v>
      </c>
      <c r="E153" s="562">
        <f>9700000+táj1!E153</f>
        <v>9700000</v>
      </c>
      <c r="F153" s="562">
        <f>0+táj1!F153</f>
        <v>0</v>
      </c>
      <c r="G153" s="562">
        <f>0+táj1!G153</f>
        <v>0</v>
      </c>
      <c r="H153" s="562">
        <f>0+táj1!H153</f>
        <v>0</v>
      </c>
      <c r="I153" s="562">
        <f>0+táj1!I153</f>
        <v>0</v>
      </c>
      <c r="J153" s="562">
        <f>0+táj1!J153</f>
        <v>0</v>
      </c>
      <c r="K153" s="562">
        <f>0+táj1!K153</f>
        <v>0</v>
      </c>
      <c r="L153" s="562">
        <f>0+táj1!L153</f>
        <v>0</v>
      </c>
      <c r="M153" s="562">
        <f>0+táj1!M153</f>
        <v>0</v>
      </c>
      <c r="N153" s="562">
        <f>0+táj1!N153</f>
        <v>0</v>
      </c>
      <c r="O153" s="562">
        <f t="shared" si="6"/>
        <v>9700000</v>
      </c>
    </row>
    <row r="154" spans="1:15" s="20" customFormat="1" ht="34.5" customHeight="1" x14ac:dyDescent="0.2">
      <c r="A154" s="49"/>
      <c r="B154" s="49"/>
      <c r="C154" s="385" t="s">
        <v>198</v>
      </c>
      <c r="D154" s="780"/>
      <c r="E154" s="562"/>
      <c r="F154" s="567"/>
      <c r="G154" s="567"/>
      <c r="H154" s="567"/>
      <c r="I154" s="567"/>
      <c r="J154" s="567"/>
      <c r="K154" s="567"/>
      <c r="L154" s="567"/>
      <c r="M154" s="567"/>
      <c r="N154" s="567"/>
      <c r="O154" s="562"/>
    </row>
    <row r="155" spans="1:15" s="20" customFormat="1" ht="19.350000000000001" customHeight="1" x14ac:dyDescent="0.2">
      <c r="A155" s="49"/>
      <c r="B155" s="49"/>
      <c r="C155" s="397" t="s">
        <v>456</v>
      </c>
      <c r="D155" s="780">
        <v>196901</v>
      </c>
      <c r="E155" s="562">
        <f>0+táj1!E155</f>
        <v>0</v>
      </c>
      <c r="F155" s="562">
        <f>0+táj1!F155</f>
        <v>0</v>
      </c>
      <c r="G155" s="562">
        <f>0+táj1!G155</f>
        <v>0</v>
      </c>
      <c r="H155" s="562">
        <f>0+táj1!H155</f>
        <v>0</v>
      </c>
      <c r="I155" s="562">
        <f>0+táj1!I155</f>
        <v>0</v>
      </c>
      <c r="J155" s="562">
        <f>0+táj1!J155</f>
        <v>0</v>
      </c>
      <c r="K155" s="562">
        <f>0+táj1!K155</f>
        <v>0</v>
      </c>
      <c r="L155" s="562">
        <f>0+táj1!L155</f>
        <v>0</v>
      </c>
      <c r="M155" s="562">
        <f>9377142+táj1!M155</f>
        <v>9377142</v>
      </c>
      <c r="N155" s="562">
        <f>0+táj1!N155</f>
        <v>0</v>
      </c>
      <c r="O155" s="562">
        <f t="shared" si="6"/>
        <v>9377142</v>
      </c>
    </row>
    <row r="156" spans="1:15" s="20" customFormat="1" ht="19.350000000000001" customHeight="1" x14ac:dyDescent="0.2">
      <c r="A156" s="613"/>
      <c r="B156" s="613"/>
      <c r="C156" s="468" t="s">
        <v>172</v>
      </c>
      <c r="D156" s="790"/>
      <c r="E156" s="562"/>
      <c r="F156" s="631"/>
      <c r="G156" s="631"/>
      <c r="H156" s="631"/>
      <c r="I156" s="631"/>
      <c r="J156" s="631"/>
      <c r="K156" s="631"/>
      <c r="L156" s="631"/>
      <c r="M156" s="631"/>
      <c r="N156" s="631"/>
      <c r="O156" s="562"/>
    </row>
    <row r="157" spans="1:15" s="20" customFormat="1" ht="19.350000000000001" customHeight="1" x14ac:dyDescent="0.2">
      <c r="A157" s="613"/>
      <c r="B157" s="613"/>
      <c r="C157" s="468" t="s">
        <v>457</v>
      </c>
      <c r="D157" s="790">
        <v>191104</v>
      </c>
      <c r="E157" s="562">
        <f>0+táj1!E157</f>
        <v>0</v>
      </c>
      <c r="F157" s="562">
        <f>0+táj1!F157</f>
        <v>0</v>
      </c>
      <c r="G157" s="562">
        <f>0+táj1!G157</f>
        <v>0</v>
      </c>
      <c r="H157" s="562">
        <f>1519426+táj1!H157</f>
        <v>4277655</v>
      </c>
      <c r="I157" s="562">
        <f>0+táj1!I157</f>
        <v>0</v>
      </c>
      <c r="J157" s="562">
        <f>0+táj1!J157</f>
        <v>0</v>
      </c>
      <c r="K157" s="562">
        <f>0+táj1!K157</f>
        <v>0</v>
      </c>
      <c r="L157" s="562">
        <f>0+táj1!L157</f>
        <v>0</v>
      </c>
      <c r="M157" s="562">
        <f>0+táj1!M157</f>
        <v>0</v>
      </c>
      <c r="N157" s="562">
        <f>0+táj1!N157</f>
        <v>0</v>
      </c>
      <c r="O157" s="562">
        <f t="shared" si="6"/>
        <v>4277655</v>
      </c>
    </row>
    <row r="158" spans="1:15" s="20" customFormat="1" ht="19.350000000000001" customHeight="1" x14ac:dyDescent="0.2">
      <c r="A158" s="613"/>
      <c r="B158" s="613"/>
      <c r="C158" s="468" t="s">
        <v>1014</v>
      </c>
      <c r="D158" s="790">
        <v>191193</v>
      </c>
      <c r="E158" s="619">
        <f>0+táj1!E158</f>
        <v>0</v>
      </c>
      <c r="F158" s="619">
        <f>0+táj1!F158</f>
        <v>0</v>
      </c>
      <c r="G158" s="619">
        <f>0+táj1!G158</f>
        <v>0</v>
      </c>
      <c r="H158" s="619">
        <f>0+táj1!H158</f>
        <v>0</v>
      </c>
      <c r="I158" s="619">
        <f>0+táj1!I158</f>
        <v>0</v>
      </c>
      <c r="J158" s="619">
        <f>26600000+táj1!J158</f>
        <v>26600000</v>
      </c>
      <c r="K158" s="619">
        <f>0+táj1!K158</f>
        <v>0</v>
      </c>
      <c r="L158" s="619">
        <f>0+táj1!L158</f>
        <v>0</v>
      </c>
      <c r="M158" s="619">
        <f>0+táj1!M158</f>
        <v>0</v>
      </c>
      <c r="N158" s="619">
        <f>0+táj1!N158</f>
        <v>0</v>
      </c>
      <c r="O158" s="562">
        <f t="shared" si="6"/>
        <v>26600000</v>
      </c>
    </row>
    <row r="159" spans="1:15" s="20" customFormat="1" ht="15.75" customHeight="1" x14ac:dyDescent="0.2">
      <c r="A159" s="398"/>
      <c r="B159" s="340"/>
      <c r="C159" s="383" t="s">
        <v>220</v>
      </c>
      <c r="D159" s="777"/>
      <c r="E159" s="647">
        <f>SUM(E129:E158)</f>
        <v>7901963697</v>
      </c>
      <c r="F159" s="647">
        <f t="shared" ref="F159:O159" si="10">SUM(F129:F158)</f>
        <v>0</v>
      </c>
      <c r="G159" s="647">
        <f t="shared" si="10"/>
        <v>9567000000</v>
      </c>
      <c r="H159" s="647">
        <f t="shared" si="10"/>
        <v>178340510</v>
      </c>
      <c r="I159" s="647">
        <f t="shared" si="10"/>
        <v>0</v>
      </c>
      <c r="J159" s="647">
        <f t="shared" si="10"/>
        <v>26600000</v>
      </c>
      <c r="K159" s="647">
        <f t="shared" si="10"/>
        <v>0</v>
      </c>
      <c r="L159" s="647">
        <f t="shared" si="10"/>
        <v>500000000</v>
      </c>
      <c r="M159" s="647">
        <f t="shared" si="10"/>
        <v>1371487516</v>
      </c>
      <c r="N159" s="647">
        <f t="shared" si="10"/>
        <v>7600000000</v>
      </c>
      <c r="O159" s="647">
        <f t="shared" si="10"/>
        <v>27145391723</v>
      </c>
    </row>
    <row r="160" spans="1:15" s="20" customFormat="1" ht="17.100000000000001" customHeight="1" x14ac:dyDescent="0.2">
      <c r="A160" s="49">
        <v>1</v>
      </c>
      <c r="B160" s="329">
        <v>22</v>
      </c>
      <c r="C160" s="384" t="s">
        <v>7</v>
      </c>
      <c r="D160" s="759"/>
      <c r="E160" s="562"/>
      <c r="F160" s="565"/>
      <c r="G160" s="565"/>
      <c r="H160" s="565"/>
      <c r="I160" s="565"/>
      <c r="J160" s="565"/>
      <c r="K160" s="565"/>
      <c r="L160" s="565"/>
      <c r="M160" s="565"/>
      <c r="N160" s="565"/>
      <c r="O160" s="562">
        <f t="shared" si="6"/>
        <v>0</v>
      </c>
    </row>
    <row r="161" spans="1:15" s="20" customFormat="1" ht="29.25" customHeight="1" x14ac:dyDescent="0.2">
      <c r="A161" s="613"/>
      <c r="B161" s="614"/>
      <c r="C161" s="632" t="s">
        <v>273</v>
      </c>
      <c r="D161" s="778"/>
      <c r="E161" s="562"/>
      <c r="F161" s="618"/>
      <c r="G161" s="618"/>
      <c r="H161" s="618"/>
      <c r="I161" s="618"/>
      <c r="J161" s="618"/>
      <c r="K161" s="618"/>
      <c r="L161" s="618"/>
      <c r="M161" s="618"/>
      <c r="N161" s="618"/>
      <c r="O161" s="619"/>
    </row>
    <row r="162" spans="1:15" s="20" customFormat="1" ht="17.100000000000001" customHeight="1" x14ac:dyDescent="0.2">
      <c r="A162" s="613"/>
      <c r="B162" s="614"/>
      <c r="C162" s="617" t="s">
        <v>977</v>
      </c>
      <c r="D162" s="793" t="s">
        <v>483</v>
      </c>
      <c r="E162" s="562">
        <f>160179+táj1!E162</f>
        <v>160179</v>
      </c>
      <c r="F162" s="562">
        <f>0+táj1!F162</f>
        <v>0</v>
      </c>
      <c r="G162" s="562">
        <f>0+táj1!G162</f>
        <v>0</v>
      </c>
      <c r="H162" s="562">
        <f>0+táj1!H162</f>
        <v>0</v>
      </c>
      <c r="I162" s="562">
        <f>0+táj1!I162</f>
        <v>0</v>
      </c>
      <c r="J162" s="562">
        <f>0+táj1!J162</f>
        <v>0</v>
      </c>
      <c r="K162" s="562">
        <f>0+táj1!K162</f>
        <v>0</v>
      </c>
      <c r="L162" s="562">
        <f>0+táj1!L162</f>
        <v>0</v>
      </c>
      <c r="M162" s="562">
        <f>0+táj1!M162</f>
        <v>0</v>
      </c>
      <c r="N162" s="562">
        <f>0+táj1!N162</f>
        <v>0</v>
      </c>
      <c r="O162" s="619">
        <f>SUM(E162:N162)</f>
        <v>160179</v>
      </c>
    </row>
    <row r="163" spans="1:15" s="20" customFormat="1" ht="17.100000000000001" customHeight="1" x14ac:dyDescent="0.2">
      <c r="A163" s="613"/>
      <c r="B163" s="614"/>
      <c r="C163" s="617" t="s">
        <v>1015</v>
      </c>
      <c r="D163" s="793">
        <v>121518</v>
      </c>
      <c r="E163" s="619">
        <f>0+táj1!E163</f>
        <v>0</v>
      </c>
      <c r="F163" s="619">
        <f>0+táj1!F163</f>
        <v>0</v>
      </c>
      <c r="G163" s="619">
        <f>0+táj1!G163</f>
        <v>0</v>
      </c>
      <c r="H163" s="619">
        <f>0+táj1!H163</f>
        <v>0</v>
      </c>
      <c r="I163" s="619">
        <f>0+táj1!I163</f>
        <v>0</v>
      </c>
      <c r="J163" s="619">
        <f>300000+táj1!J163</f>
        <v>300000</v>
      </c>
      <c r="K163" s="619">
        <f>0+táj1!K163</f>
        <v>0</v>
      </c>
      <c r="L163" s="619">
        <f>0+táj1!L163</f>
        <v>0</v>
      </c>
      <c r="M163" s="619">
        <f>0+táj1!M163</f>
        <v>0</v>
      </c>
      <c r="N163" s="619">
        <f>0+táj1!N163</f>
        <v>0</v>
      </c>
      <c r="O163" s="619">
        <f>SUM(E163:N163)</f>
        <v>300000</v>
      </c>
    </row>
    <row r="164" spans="1:15" s="20" customFormat="1" ht="17.100000000000001" customHeight="1" x14ac:dyDescent="0.2">
      <c r="A164" s="398"/>
      <c r="B164" s="340"/>
      <c r="C164" s="383" t="s">
        <v>221</v>
      </c>
      <c r="D164" s="777"/>
      <c r="E164" s="563">
        <f>SUM(E160:E163)</f>
        <v>160179</v>
      </c>
      <c r="F164" s="563">
        <f t="shared" ref="F164:O164" si="11">SUM(F160:F163)</f>
        <v>0</v>
      </c>
      <c r="G164" s="563">
        <f t="shared" si="11"/>
        <v>0</v>
      </c>
      <c r="H164" s="563">
        <f t="shared" si="11"/>
        <v>0</v>
      </c>
      <c r="I164" s="563">
        <f t="shared" si="11"/>
        <v>0</v>
      </c>
      <c r="J164" s="563">
        <f t="shared" si="11"/>
        <v>300000</v>
      </c>
      <c r="K164" s="563">
        <f t="shared" si="11"/>
        <v>0</v>
      </c>
      <c r="L164" s="563">
        <f t="shared" si="11"/>
        <v>0</v>
      </c>
      <c r="M164" s="563">
        <f t="shared" si="11"/>
        <v>0</v>
      </c>
      <c r="N164" s="563">
        <f t="shared" si="11"/>
        <v>0</v>
      </c>
      <c r="O164" s="563">
        <f t="shared" si="11"/>
        <v>460179</v>
      </c>
    </row>
    <row r="165" spans="1:15" s="20" customFormat="1" ht="24.95" customHeight="1" x14ac:dyDescent="0.2">
      <c r="A165" s="340"/>
      <c r="B165" s="340"/>
      <c r="C165" s="399" t="s">
        <v>10</v>
      </c>
      <c r="D165" s="794"/>
      <c r="E165" s="563">
        <f t="shared" ref="E165:O165" si="12">SUM(E11+E21+E25+E41+E93+E120+E128+E159+E164)</f>
        <v>9358900855</v>
      </c>
      <c r="F165" s="563">
        <f t="shared" si="12"/>
        <v>7557048778</v>
      </c>
      <c r="G165" s="563">
        <f t="shared" si="12"/>
        <v>9677800000</v>
      </c>
      <c r="H165" s="563">
        <f t="shared" si="12"/>
        <v>3955455282</v>
      </c>
      <c r="I165" s="563">
        <f t="shared" si="12"/>
        <v>174046508</v>
      </c>
      <c r="J165" s="563">
        <f t="shared" si="12"/>
        <v>29906249</v>
      </c>
      <c r="K165" s="563">
        <f t="shared" si="12"/>
        <v>0</v>
      </c>
      <c r="L165" s="563">
        <f t="shared" si="12"/>
        <v>500000000</v>
      </c>
      <c r="M165" s="563">
        <f t="shared" si="12"/>
        <v>4574463736</v>
      </c>
      <c r="N165" s="563">
        <f t="shared" si="12"/>
        <v>8862180000</v>
      </c>
      <c r="O165" s="563">
        <f t="shared" si="12"/>
        <v>44689801408</v>
      </c>
    </row>
    <row r="166" spans="1:15" s="20" customFormat="1" ht="15.95" customHeight="1" x14ac:dyDescent="0.2">
      <c r="A166" s="49">
        <v>2</v>
      </c>
      <c r="B166" s="49"/>
      <c r="C166" s="508" t="s">
        <v>142</v>
      </c>
      <c r="D166" s="760"/>
      <c r="E166" s="562">
        <v>1077543950</v>
      </c>
      <c r="F166" s="562">
        <v>18409864</v>
      </c>
      <c r="G166" s="562">
        <v>5000000</v>
      </c>
      <c r="H166" s="562">
        <v>2043569901</v>
      </c>
      <c r="I166" s="562"/>
      <c r="J166" s="562">
        <v>4310000</v>
      </c>
      <c r="K166" s="562">
        <v>628380</v>
      </c>
      <c r="L166" s="562"/>
      <c r="M166" s="562">
        <v>1007388545</v>
      </c>
      <c r="N166" s="562"/>
      <c r="O166" s="562">
        <f t="shared" si="6"/>
        <v>4156850640</v>
      </c>
    </row>
    <row r="167" spans="1:15" s="20" customFormat="1" ht="15.95" customHeight="1" x14ac:dyDescent="0.2">
      <c r="A167" s="340"/>
      <c r="B167" s="340"/>
      <c r="C167" s="400" t="s">
        <v>134</v>
      </c>
      <c r="D167" s="777"/>
      <c r="E167" s="563">
        <f>SUM(E165:E166)</f>
        <v>10436444805</v>
      </c>
      <c r="F167" s="563">
        <f>SUM(F165:F166)</f>
        <v>7575458642</v>
      </c>
      <c r="G167" s="563">
        <f t="shared" ref="G167:O167" si="13">SUM(G165:G166)</f>
        <v>9682800000</v>
      </c>
      <c r="H167" s="563">
        <f t="shared" si="13"/>
        <v>5999025183</v>
      </c>
      <c r="I167" s="563">
        <f t="shared" si="13"/>
        <v>174046508</v>
      </c>
      <c r="J167" s="563">
        <f t="shared" si="13"/>
        <v>34216249</v>
      </c>
      <c r="K167" s="563">
        <f t="shared" si="13"/>
        <v>628380</v>
      </c>
      <c r="L167" s="563">
        <f t="shared" si="13"/>
        <v>500000000</v>
      </c>
      <c r="M167" s="563">
        <f t="shared" si="13"/>
        <v>5581852281</v>
      </c>
      <c r="N167" s="563">
        <f t="shared" si="13"/>
        <v>8862180000</v>
      </c>
      <c r="O167" s="563">
        <f t="shared" si="13"/>
        <v>48846652048</v>
      </c>
    </row>
    <row r="168" spans="1:15" hidden="1" x14ac:dyDescent="0.2">
      <c r="H168" s="711"/>
      <c r="I168" s="711"/>
      <c r="J168" s="711"/>
      <c r="K168" s="711"/>
      <c r="L168" s="711"/>
      <c r="M168" s="711"/>
      <c r="N168" s="711"/>
      <c r="O168" s="401">
        <f>'8'!$Q$581</f>
        <v>48846652048</v>
      </c>
    </row>
    <row r="169" spans="1:15" hidden="1" x14ac:dyDescent="0.2">
      <c r="H169" s="711" t="s">
        <v>1000</v>
      </c>
      <c r="I169" s="711"/>
      <c r="J169" s="711"/>
      <c r="K169" s="712">
        <f>SUM(E167:K167)</f>
        <v>33902619767</v>
      </c>
      <c r="L169" s="711"/>
      <c r="M169" s="711"/>
      <c r="N169" s="712">
        <f>SUM(L167:N167)</f>
        <v>14944032281</v>
      </c>
      <c r="O169" s="401">
        <f>O167-O168</f>
        <v>0</v>
      </c>
    </row>
    <row r="170" spans="1:15" hidden="1" x14ac:dyDescent="0.2">
      <c r="H170" s="711" t="s">
        <v>1001</v>
      </c>
      <c r="I170" s="711"/>
      <c r="J170" s="711"/>
      <c r="K170" s="401">
        <f>'8'!N583</f>
        <v>42984673130</v>
      </c>
      <c r="L170" s="711"/>
      <c r="M170" s="711"/>
      <c r="N170" s="711"/>
      <c r="O170" s="711"/>
    </row>
    <row r="171" spans="1:15" hidden="1" x14ac:dyDescent="0.2">
      <c r="H171" s="711" t="s">
        <v>1002</v>
      </c>
      <c r="I171" s="711"/>
      <c r="J171" s="711"/>
      <c r="K171" s="712">
        <f>K169-K170</f>
        <v>-9082053363</v>
      </c>
      <c r="L171" s="711"/>
      <c r="M171" s="711"/>
      <c r="N171" s="711"/>
      <c r="O171" s="711"/>
    </row>
    <row r="172" spans="1:15" x14ac:dyDescent="0.2">
      <c r="H172" s="711"/>
      <c r="I172" s="711"/>
      <c r="J172" s="711"/>
      <c r="K172" s="711"/>
      <c r="L172" s="711"/>
      <c r="M172" s="711"/>
      <c r="N172" s="711"/>
      <c r="O172" s="711"/>
    </row>
    <row r="173" spans="1:15" x14ac:dyDescent="0.2">
      <c r="H173" s="711"/>
      <c r="I173" s="711"/>
      <c r="J173" s="711"/>
      <c r="K173" s="711"/>
      <c r="L173" s="711"/>
      <c r="M173" s="711"/>
      <c r="N173" s="711"/>
      <c r="O173" s="711"/>
    </row>
  </sheetData>
  <mergeCells count="7">
    <mergeCell ref="O1:O2"/>
    <mergeCell ref="L1:N1"/>
    <mergeCell ref="A1:A2"/>
    <mergeCell ref="B1:B2"/>
    <mergeCell ref="C1:C2"/>
    <mergeCell ref="D1:D2"/>
    <mergeCell ref="E1:K1"/>
  </mergeCells>
  <printOptions horizontalCentered="1" verticalCentered="1"/>
  <pageMargins left="0.19685039370078741" right="0.19685039370078741" top="0.98425196850393704" bottom="0.82677165354330717" header="0.59055118110236227" footer="0.51181102362204722"/>
  <pageSetup paperSize="9" scale="69" fitToHeight="8" orientation="landscape" r:id="rId1"/>
  <headerFooter alignWithMargins="0">
    <oddHeader>&amp;C&amp;"Times New Roman,Félkövér dőlt" ZALAEGERSZEG MEGYEI JOGÚ VÁROS ÖNKORMÁNYZATA
BEVÉTELI ELŐIRÁNYZATAI  2026.  ÉVBEN&amp;R&amp;"Times New Roman,Félkövér dőlt"6. melléklet
Adatok forintban</oddHeader>
    <oddFooter>&amp;P. oldal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Munka10">
    <pageSetUpPr fitToPage="1"/>
  </sheetPr>
  <dimension ref="A1:N21"/>
  <sheetViews>
    <sheetView zoomScale="112" zoomScaleNormal="112" workbookViewId="0">
      <pane ySplit="2" topLeftCell="A3" activePane="bottomLeft" state="frozen"/>
      <selection activeCell="M5" sqref="M5"/>
      <selection pane="bottomLeft" activeCell="G30" sqref="G30"/>
    </sheetView>
  </sheetViews>
  <sheetFormatPr defaultColWidth="9.33203125" defaultRowHeight="12" x14ac:dyDescent="0.2"/>
  <cols>
    <col min="1" max="1" width="3" style="2" customWidth="1"/>
    <col min="2" max="2" width="3.83203125" style="2" customWidth="1"/>
    <col min="3" max="3" width="23.6640625" style="2" customWidth="1"/>
    <col min="4" max="4" width="13.33203125" style="2" customWidth="1"/>
    <col min="5" max="5" width="13.83203125" style="2" customWidth="1"/>
    <col min="6" max="6" width="14.5" style="2" customWidth="1"/>
    <col min="7" max="7" width="13.5" style="2" customWidth="1"/>
    <col min="8" max="8" width="14.83203125" style="2" customWidth="1"/>
    <col min="9" max="9" width="13.33203125" style="2" customWidth="1"/>
    <col min="10" max="10" width="14.1640625" style="2" customWidth="1"/>
    <col min="11" max="11" width="15" style="2" customWidth="1"/>
    <col min="12" max="12" width="12.83203125" style="2" customWidth="1"/>
    <col min="13" max="13" width="13.6640625" style="2" customWidth="1"/>
    <col min="14" max="14" width="15.6640625" style="2" customWidth="1"/>
    <col min="15" max="16384" width="9.33203125" style="2"/>
  </cols>
  <sheetData>
    <row r="1" spans="1:14" ht="12.75" customHeight="1" x14ac:dyDescent="0.2">
      <c r="A1" s="829"/>
      <c r="B1" s="829"/>
      <c r="C1" s="829"/>
      <c r="D1" s="830" t="s">
        <v>116</v>
      </c>
      <c r="E1" s="830"/>
      <c r="F1" s="830"/>
      <c r="G1" s="830"/>
      <c r="H1" s="830"/>
      <c r="I1" s="830"/>
      <c r="J1" s="830"/>
      <c r="K1" s="830"/>
      <c r="L1" s="830" t="s">
        <v>115</v>
      </c>
      <c r="M1" s="830"/>
      <c r="N1" s="829" t="s">
        <v>140</v>
      </c>
    </row>
    <row r="2" spans="1:14" s="10" customFormat="1" ht="60" customHeight="1" x14ac:dyDescent="0.2">
      <c r="A2" s="829"/>
      <c r="B2" s="829"/>
      <c r="C2" s="829"/>
      <c r="D2" s="442" t="s">
        <v>100</v>
      </c>
      <c r="E2" s="442" t="s">
        <v>152</v>
      </c>
      <c r="F2" s="442" t="s">
        <v>146</v>
      </c>
      <c r="G2" s="442" t="s">
        <v>15</v>
      </c>
      <c r="H2" s="442" t="s">
        <v>21</v>
      </c>
      <c r="I2" s="442" t="s">
        <v>19</v>
      </c>
      <c r="J2" s="442" t="s">
        <v>18</v>
      </c>
      <c r="K2" s="442" t="s">
        <v>68</v>
      </c>
      <c r="L2" s="442" t="s">
        <v>120</v>
      </c>
      <c r="M2" s="442" t="s">
        <v>122</v>
      </c>
      <c r="N2" s="829"/>
    </row>
    <row r="3" spans="1:14" s="10" customFormat="1" ht="15" customHeight="1" x14ac:dyDescent="0.2">
      <c r="A3" s="451">
        <v>1</v>
      </c>
      <c r="B3" s="451"/>
      <c r="C3" s="431" t="s">
        <v>141</v>
      </c>
      <c r="D3" s="452"/>
      <c r="E3" s="452"/>
      <c r="F3" s="452"/>
      <c r="G3" s="452"/>
      <c r="H3" s="452"/>
      <c r="I3" s="452"/>
      <c r="J3" s="452"/>
      <c r="K3" s="452"/>
      <c r="L3" s="452"/>
      <c r="M3" s="452"/>
      <c r="N3" s="452"/>
    </row>
    <row r="4" spans="1:14" s="10" customFormat="1" ht="15" customHeight="1" x14ac:dyDescent="0.2">
      <c r="A4" s="451">
        <v>1</v>
      </c>
      <c r="B4" s="451">
        <v>1</v>
      </c>
      <c r="C4" s="443" t="s">
        <v>3</v>
      </c>
      <c r="D4" s="452"/>
      <c r="E4" s="452"/>
      <c r="F4" s="452"/>
      <c r="G4" s="452"/>
      <c r="H4" s="452"/>
      <c r="I4" s="452"/>
      <c r="J4" s="452"/>
      <c r="K4" s="452"/>
      <c r="L4" s="452"/>
      <c r="M4" s="452"/>
      <c r="N4" s="452"/>
    </row>
    <row r="5" spans="1:14" s="11" customFormat="1" ht="24.95" customHeight="1" x14ac:dyDescent="0.2">
      <c r="A5" s="453"/>
      <c r="B5" s="453">
        <v>12</v>
      </c>
      <c r="C5" s="432" t="s">
        <v>90</v>
      </c>
      <c r="D5" s="437">
        <f>'8'!G45</f>
        <v>0</v>
      </c>
      <c r="E5" s="437">
        <f>'8'!H45</f>
        <v>4200000</v>
      </c>
      <c r="F5" s="437">
        <f>'8'!I45</f>
        <v>61541452</v>
      </c>
      <c r="G5" s="437">
        <f>'8'!J45</f>
        <v>93295051</v>
      </c>
      <c r="H5" s="437">
        <f>'8'!K45</f>
        <v>12100000</v>
      </c>
      <c r="I5" s="437">
        <f>'8'!L45</f>
        <v>0</v>
      </c>
      <c r="J5" s="437">
        <f>'8'!M45</f>
        <v>0</v>
      </c>
      <c r="K5" s="437">
        <f>'8'!N45</f>
        <v>3000000</v>
      </c>
      <c r="L5" s="437">
        <f>'8'!O45</f>
        <v>0</v>
      </c>
      <c r="M5" s="437">
        <f>'8'!P45</f>
        <v>0</v>
      </c>
      <c r="N5" s="454">
        <f>SUM(D5:M5)</f>
        <v>174136503</v>
      </c>
    </row>
    <row r="6" spans="1:14" s="11" customFormat="1" ht="14.1" customHeight="1" x14ac:dyDescent="0.2">
      <c r="A6" s="453"/>
      <c r="B6" s="453">
        <v>13</v>
      </c>
      <c r="C6" s="431" t="s">
        <v>91</v>
      </c>
      <c r="D6" s="437">
        <f>'8'!G185</f>
        <v>9776068</v>
      </c>
      <c r="E6" s="437">
        <f>'8'!H185</f>
        <v>3780145</v>
      </c>
      <c r="F6" s="437">
        <f>'8'!I185</f>
        <v>41252436</v>
      </c>
      <c r="G6" s="437">
        <f>'8'!J185</f>
        <v>11000000</v>
      </c>
      <c r="H6" s="437">
        <f>'8'!K185</f>
        <v>1526023125</v>
      </c>
      <c r="I6" s="437">
        <f>'8'!L185</f>
        <v>4524387</v>
      </c>
      <c r="J6" s="437">
        <f>'8'!M185</f>
        <v>0</v>
      </c>
      <c r="K6" s="437">
        <f>'8'!N185</f>
        <v>0</v>
      </c>
      <c r="L6" s="437">
        <f>'8'!O185</f>
        <v>0</v>
      </c>
      <c r="M6" s="437">
        <f>'8'!P185</f>
        <v>0</v>
      </c>
      <c r="N6" s="454">
        <f t="shared" ref="N6:N14" si="0">SUM(D6:M6)</f>
        <v>1596356161</v>
      </c>
    </row>
    <row r="7" spans="1:14" s="11" customFormat="1" ht="14.1" customHeight="1" x14ac:dyDescent="0.2">
      <c r="A7" s="453"/>
      <c r="B7" s="453">
        <v>14</v>
      </c>
      <c r="C7" s="431" t="s">
        <v>143</v>
      </c>
      <c r="D7" s="437">
        <f>'8'!G197</f>
        <v>1000000</v>
      </c>
      <c r="E7" s="437">
        <f>'8'!H197</f>
        <v>125000</v>
      </c>
      <c r="F7" s="437">
        <f>'8'!I197</f>
        <v>6287936</v>
      </c>
      <c r="G7" s="437">
        <f>'8'!J197</f>
        <v>0</v>
      </c>
      <c r="H7" s="437">
        <f>'8'!K197</f>
        <v>0</v>
      </c>
      <c r="I7" s="437">
        <f>'8'!L197</f>
        <v>20339964</v>
      </c>
      <c r="J7" s="437">
        <f>'8'!M197</f>
        <v>0</v>
      </c>
      <c r="K7" s="437">
        <f>'8'!N197</f>
        <v>8000000</v>
      </c>
      <c r="L7" s="437">
        <f>'8'!O197</f>
        <v>0</v>
      </c>
      <c r="M7" s="437">
        <f>'8'!P197</f>
        <v>0</v>
      </c>
      <c r="N7" s="454">
        <f t="shared" si="0"/>
        <v>35752900</v>
      </c>
    </row>
    <row r="8" spans="1:14" s="11" customFormat="1" ht="14.1" customHeight="1" x14ac:dyDescent="0.2">
      <c r="A8" s="453"/>
      <c r="B8" s="453">
        <v>15</v>
      </c>
      <c r="C8" s="444" t="s">
        <v>113</v>
      </c>
      <c r="D8" s="437">
        <f>'8'!G325</f>
        <v>17089729</v>
      </c>
      <c r="E8" s="437">
        <f>'8'!H325</f>
        <v>2235506</v>
      </c>
      <c r="F8" s="437">
        <f>'8'!I325</f>
        <v>2864024879</v>
      </c>
      <c r="G8" s="437">
        <f>'8'!J325</f>
        <v>0</v>
      </c>
      <c r="H8" s="437">
        <f>'8'!K325</f>
        <v>1792852143</v>
      </c>
      <c r="I8" s="437">
        <f>'8'!L325</f>
        <v>78427755</v>
      </c>
      <c r="J8" s="437">
        <f>'8'!M325</f>
        <v>164728964</v>
      </c>
      <c r="K8" s="437">
        <f>'8'!N325</f>
        <v>0</v>
      </c>
      <c r="L8" s="437">
        <f>'8'!O325</f>
        <v>0</v>
      </c>
      <c r="M8" s="437">
        <f>'8'!P325</f>
        <v>0</v>
      </c>
      <c r="N8" s="454">
        <f t="shared" si="0"/>
        <v>4919358976</v>
      </c>
    </row>
    <row r="9" spans="1:14" s="11" customFormat="1" ht="14.1" customHeight="1" x14ac:dyDescent="0.2">
      <c r="A9" s="453"/>
      <c r="B9" s="453">
        <v>16</v>
      </c>
      <c r="C9" s="444" t="s">
        <v>106</v>
      </c>
      <c r="D9" s="437">
        <f>'8'!G451</f>
        <v>117709540</v>
      </c>
      <c r="E9" s="437">
        <f>'8'!H451</f>
        <v>14876076</v>
      </c>
      <c r="F9" s="437">
        <f>'8'!I451</f>
        <v>2430605533</v>
      </c>
      <c r="G9" s="437">
        <f>'8'!J451</f>
        <v>0</v>
      </c>
      <c r="H9" s="437">
        <f>'8'!K451</f>
        <v>1996249</v>
      </c>
      <c r="I9" s="437">
        <f>'8'!L451</f>
        <v>8614380057</v>
      </c>
      <c r="J9" s="437">
        <f>'8'!M451</f>
        <v>4279216508</v>
      </c>
      <c r="K9" s="437">
        <f>'8'!N451</f>
        <v>41353732</v>
      </c>
      <c r="L9" s="437">
        <f>'8'!O451</f>
        <v>0</v>
      </c>
      <c r="M9" s="437">
        <f>'8'!P451</f>
        <v>0</v>
      </c>
      <c r="N9" s="454">
        <f t="shared" si="0"/>
        <v>15500137695</v>
      </c>
    </row>
    <row r="10" spans="1:14" s="11" customFormat="1" ht="14.1" customHeight="1" x14ac:dyDescent="0.2">
      <c r="A10" s="453"/>
      <c r="B10" s="453">
        <v>17</v>
      </c>
      <c r="C10" s="444" t="s">
        <v>114</v>
      </c>
      <c r="D10" s="437">
        <f>'8'!G469</f>
        <v>0</v>
      </c>
      <c r="E10" s="437">
        <f>'8'!H469</f>
        <v>0</v>
      </c>
      <c r="F10" s="437">
        <f>'8'!I469</f>
        <v>137071203</v>
      </c>
      <c r="G10" s="437">
        <f>'8'!J469</f>
        <v>0</v>
      </c>
      <c r="H10" s="437">
        <f>'8'!K469</f>
        <v>0</v>
      </c>
      <c r="I10" s="437">
        <f>'8'!L469</f>
        <v>6036508</v>
      </c>
      <c r="J10" s="437">
        <f>'8'!M469</f>
        <v>7240000</v>
      </c>
      <c r="K10" s="437">
        <f>'8'!N469</f>
        <v>65000000</v>
      </c>
      <c r="L10" s="437">
        <f>'8'!O469</f>
        <v>0</v>
      </c>
      <c r="M10" s="437">
        <f>'8'!P469</f>
        <v>0</v>
      </c>
      <c r="N10" s="454">
        <f t="shared" si="0"/>
        <v>215347711</v>
      </c>
    </row>
    <row r="11" spans="1:14" s="11" customFormat="1" ht="14.1" customHeight="1" x14ac:dyDescent="0.2">
      <c r="A11" s="453"/>
      <c r="B11" s="453">
        <v>18</v>
      </c>
      <c r="C11" s="444" t="s">
        <v>17</v>
      </c>
      <c r="D11" s="437">
        <f>'8'!G495</f>
        <v>418461992</v>
      </c>
      <c r="E11" s="437">
        <f>'8'!H495</f>
        <v>62790699</v>
      </c>
      <c r="F11" s="437">
        <f>'8'!I495</f>
        <v>243017285</v>
      </c>
      <c r="G11" s="437">
        <f>'8'!J495</f>
        <v>0</v>
      </c>
      <c r="H11" s="437">
        <f>'8'!K495</f>
        <v>16500000</v>
      </c>
      <c r="I11" s="437">
        <f>'8'!L495</f>
        <v>17407794</v>
      </c>
      <c r="J11" s="437">
        <f>'8'!M495</f>
        <v>959802</v>
      </c>
      <c r="K11" s="437">
        <f>'8'!N495</f>
        <v>0</v>
      </c>
      <c r="L11" s="437">
        <f>'8'!O495</f>
        <v>0</v>
      </c>
      <c r="M11" s="437">
        <f>'8'!P495</f>
        <v>0</v>
      </c>
      <c r="N11" s="454">
        <f t="shared" si="0"/>
        <v>759137572</v>
      </c>
    </row>
    <row r="12" spans="1:14" s="11" customFormat="1" ht="14.1" customHeight="1" x14ac:dyDescent="0.2">
      <c r="A12" s="453"/>
      <c r="B12" s="453">
        <v>19</v>
      </c>
      <c r="C12" s="445" t="s">
        <v>78</v>
      </c>
      <c r="D12" s="437">
        <f>'8'!G524</f>
        <v>12253010</v>
      </c>
      <c r="E12" s="437">
        <f>'8'!H524</f>
        <v>2211167</v>
      </c>
      <c r="F12" s="437">
        <f>'8'!I524</f>
        <v>572918766</v>
      </c>
      <c r="G12" s="437">
        <f>'8'!J524</f>
        <v>0</v>
      </c>
      <c r="H12" s="437">
        <f>'8'!K524</f>
        <v>3387562513</v>
      </c>
      <c r="I12" s="437">
        <f>'8'!L524</f>
        <v>0</v>
      </c>
      <c r="J12" s="437">
        <f>'8'!M524</f>
        <v>0</v>
      </c>
      <c r="K12" s="437">
        <f>'8'!N524</f>
        <v>8825357</v>
      </c>
      <c r="L12" s="437">
        <f>'8'!O524</f>
        <v>617851268</v>
      </c>
      <c r="M12" s="437">
        <f>'8'!P524</f>
        <v>5244127650</v>
      </c>
      <c r="N12" s="454">
        <f t="shared" si="0"/>
        <v>9845749731</v>
      </c>
    </row>
    <row r="13" spans="1:14" s="11" customFormat="1" ht="27" customHeight="1" x14ac:dyDescent="0.2">
      <c r="A13" s="453"/>
      <c r="B13" s="453">
        <v>22</v>
      </c>
      <c r="C13" s="446" t="s">
        <v>8</v>
      </c>
      <c r="D13" s="437">
        <f>'8'!G564</f>
        <v>73381754</v>
      </c>
      <c r="E13" s="437">
        <f>'8'!H564</f>
        <v>26386843</v>
      </c>
      <c r="F13" s="437">
        <f>'8'!I564</f>
        <v>236151046</v>
      </c>
      <c r="G13" s="437">
        <f>'8'!J564</f>
        <v>0</v>
      </c>
      <c r="H13" s="437">
        <f>'8'!K564</f>
        <v>411412674</v>
      </c>
      <c r="I13" s="437">
        <f>'8'!L564</f>
        <v>8697382</v>
      </c>
      <c r="J13" s="437">
        <f>'8'!M564</f>
        <v>0</v>
      </c>
      <c r="K13" s="437">
        <f>'8'!N564</f>
        <v>0</v>
      </c>
      <c r="L13" s="437">
        <f>'8'!O564</f>
        <v>0</v>
      </c>
      <c r="M13" s="437">
        <f>'8'!P564</f>
        <v>0</v>
      </c>
      <c r="N13" s="454">
        <f t="shared" si="0"/>
        <v>756029699</v>
      </c>
    </row>
    <row r="14" spans="1:14" s="11" customFormat="1" ht="12.95" customHeight="1" x14ac:dyDescent="0.2">
      <c r="A14" s="453"/>
      <c r="B14" s="453">
        <v>30</v>
      </c>
      <c r="C14" s="443" t="s">
        <v>5</v>
      </c>
      <c r="D14" s="437">
        <f>'8'!G578</f>
        <v>0</v>
      </c>
      <c r="E14" s="437">
        <f>'8'!H578</f>
        <v>0</v>
      </c>
      <c r="F14" s="437">
        <f>'8'!I578</f>
        <v>0</v>
      </c>
      <c r="G14" s="437">
        <f>'8'!J578</f>
        <v>0</v>
      </c>
      <c r="H14" s="437">
        <f>'8'!K578</f>
        <v>573479232</v>
      </c>
      <c r="I14" s="437">
        <f>'8'!L578</f>
        <v>901400</v>
      </c>
      <c r="J14" s="437">
        <f>'8'!M578</f>
        <v>10000000</v>
      </c>
      <c r="K14" s="437">
        <f>'8'!N578</f>
        <v>0</v>
      </c>
      <c r="L14" s="437">
        <f>'8'!O578</f>
        <v>0</v>
      </c>
      <c r="M14" s="437">
        <f>'8'!P578</f>
        <v>0</v>
      </c>
      <c r="N14" s="454">
        <f t="shared" si="0"/>
        <v>584380632</v>
      </c>
    </row>
    <row r="15" spans="1:14" s="11" customFormat="1" ht="34.5" customHeight="1" x14ac:dyDescent="0.2">
      <c r="A15" s="455"/>
      <c r="B15" s="455"/>
      <c r="C15" s="433" t="s">
        <v>10</v>
      </c>
      <c r="D15" s="456">
        <f>SUM(D3:D14)</f>
        <v>649672093</v>
      </c>
      <c r="E15" s="456">
        <f t="shared" ref="E15:M15" si="1">SUM(E3:E14)</f>
        <v>116605436</v>
      </c>
      <c r="F15" s="456">
        <f t="shared" si="1"/>
        <v>6592870536</v>
      </c>
      <c r="G15" s="456">
        <f t="shared" si="1"/>
        <v>104295051</v>
      </c>
      <c r="H15" s="456">
        <f t="shared" si="1"/>
        <v>7721925936</v>
      </c>
      <c r="I15" s="456">
        <f t="shared" si="1"/>
        <v>8750715247</v>
      </c>
      <c r="J15" s="456">
        <f t="shared" si="1"/>
        <v>4462145274</v>
      </c>
      <c r="K15" s="456">
        <f t="shared" si="1"/>
        <v>126179089</v>
      </c>
      <c r="L15" s="456">
        <f t="shared" si="1"/>
        <v>617851268</v>
      </c>
      <c r="M15" s="456">
        <f t="shared" si="1"/>
        <v>5244127650</v>
      </c>
      <c r="N15" s="456">
        <f t="shared" ref="N15" si="2">SUM(N5:N14)</f>
        <v>34386387580</v>
      </c>
    </row>
    <row r="16" spans="1:14" s="11" customFormat="1" ht="12.95" customHeight="1" x14ac:dyDescent="0.2">
      <c r="A16" s="453">
        <v>2</v>
      </c>
      <c r="B16" s="457"/>
      <c r="C16" s="431" t="s">
        <v>142</v>
      </c>
      <c r="D16" s="437">
        <f>'8'!G580</f>
        <v>8437858865</v>
      </c>
      <c r="E16" s="437">
        <f>'8'!H580</f>
        <v>1233356328</v>
      </c>
      <c r="F16" s="437">
        <f>'8'!I580</f>
        <v>4256705912</v>
      </c>
      <c r="G16" s="437">
        <f>'8'!J580</f>
        <v>9452000</v>
      </c>
      <c r="H16" s="437">
        <f>'8'!K580</f>
        <v>135928265</v>
      </c>
      <c r="I16" s="437">
        <f>'8'!L580</f>
        <v>326481003</v>
      </c>
      <c r="J16" s="437">
        <f>'8'!M580</f>
        <v>60482095</v>
      </c>
      <c r="K16" s="437">
        <f>'8'!N580</f>
        <v>0</v>
      </c>
      <c r="L16" s="437">
        <f>'8'!O580</f>
        <v>0</v>
      </c>
      <c r="M16" s="437">
        <f>'8'!P580</f>
        <v>0</v>
      </c>
      <c r="N16" s="437">
        <f>SUM(D16:M16)</f>
        <v>14460264468</v>
      </c>
    </row>
    <row r="17" spans="1:14" s="11" customFormat="1" ht="12.95" customHeight="1" x14ac:dyDescent="0.2">
      <c r="A17" s="455"/>
      <c r="B17" s="455"/>
      <c r="C17" s="447" t="s">
        <v>134</v>
      </c>
      <c r="D17" s="456">
        <f t="shared" ref="D17:N17" si="3">SUM(D15:D16)</f>
        <v>9087530958</v>
      </c>
      <c r="E17" s="456">
        <f t="shared" si="3"/>
        <v>1349961764</v>
      </c>
      <c r="F17" s="456">
        <f t="shared" si="3"/>
        <v>10849576448</v>
      </c>
      <c r="G17" s="456">
        <f t="shared" si="3"/>
        <v>113747051</v>
      </c>
      <c r="H17" s="456">
        <f t="shared" ref="H17:M17" si="4">SUM(H15:H16)</f>
        <v>7857854201</v>
      </c>
      <c r="I17" s="456">
        <f t="shared" si="4"/>
        <v>9077196250</v>
      </c>
      <c r="J17" s="456">
        <f t="shared" si="4"/>
        <v>4522627369</v>
      </c>
      <c r="K17" s="456">
        <f t="shared" si="4"/>
        <v>126179089</v>
      </c>
      <c r="L17" s="456">
        <f>SUM(L15:L16)</f>
        <v>617851268</v>
      </c>
      <c r="M17" s="456">
        <f t="shared" si="4"/>
        <v>5244127650</v>
      </c>
      <c r="N17" s="456">
        <f t="shared" si="3"/>
        <v>48846652048</v>
      </c>
    </row>
    <row r="18" spans="1:14" hidden="1" x14ac:dyDescent="0.2">
      <c r="N18" s="17">
        <f>'8'!P580</f>
        <v>0</v>
      </c>
    </row>
    <row r="19" spans="1:14" hidden="1" x14ac:dyDescent="0.2">
      <c r="I19" s="2" t="s">
        <v>944</v>
      </c>
      <c r="K19" s="17">
        <f>SUM(D17:K17)</f>
        <v>42984673130</v>
      </c>
      <c r="N19" s="17">
        <f>SUM(N17:N18)</f>
        <v>48846652048</v>
      </c>
    </row>
    <row r="20" spans="1:14" hidden="1" x14ac:dyDescent="0.2"/>
    <row r="21" spans="1:14" hidden="1" x14ac:dyDescent="0.2"/>
  </sheetData>
  <dataConsolidate/>
  <mergeCells count="6">
    <mergeCell ref="N1:N2"/>
    <mergeCell ref="C1:C2"/>
    <mergeCell ref="B1:B2"/>
    <mergeCell ref="A1:A2"/>
    <mergeCell ref="D1:K1"/>
    <mergeCell ref="L1:M1"/>
  </mergeCells>
  <phoneticPr fontId="0" type="noConversion"/>
  <printOptions horizontalCentered="1" verticalCentered="1"/>
  <pageMargins left="0.23622047244094491" right="0.35433070866141736" top="1.6929133858267718" bottom="0.78740157480314965" header="0.62992125984251968" footer="0.51181102362204722"/>
  <pageSetup paperSize="9" scale="85" orientation="landscape" r:id="rId1"/>
  <headerFooter alignWithMargins="0">
    <oddHeader>&amp;C&amp;"Times New Roman CE,Félkövér dőlt"ZALAEGERSZEG MEGYEI JOGÚ VÁROS ÖNKORMÁNYZATÁNAK
2026.  ÉVI KIADÁSI ELŐIRÁNYZATAI
CÍMENKÉNTI BONTÁSBAN&amp;R&amp;"Times New Roman CE,Félkövér dőlt"7. melléklet
Adatok forintban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XDO583"/>
  <sheetViews>
    <sheetView zoomScale="124" zoomScaleNormal="124" zoomScaleSheetLayoutView="120" workbookViewId="0">
      <pane xSplit="5" ySplit="2" topLeftCell="F567" activePane="bottomRight" state="frozen"/>
      <selection pane="topRight" activeCell="F1" sqref="F1"/>
      <selection pane="bottomLeft" activeCell="A3" sqref="A3"/>
      <selection pane="bottomRight" activeCell="K569" sqref="K569"/>
    </sheetView>
  </sheetViews>
  <sheetFormatPr defaultRowHeight="12" x14ac:dyDescent="0.2"/>
  <cols>
    <col min="1" max="1" width="3" style="1" customWidth="1"/>
    <col min="2" max="2" width="2.83203125" style="1" customWidth="1"/>
    <col min="3" max="3" width="3.5" style="1" customWidth="1"/>
    <col min="4" max="4" width="43.6640625" style="1" customWidth="1"/>
    <col min="5" max="5" width="3.1640625" style="1" customWidth="1"/>
    <col min="6" max="6" width="8.6640625" style="1" customWidth="1"/>
    <col min="7" max="7" width="14.83203125" style="1" customWidth="1"/>
    <col min="8" max="8" width="15.83203125" style="1" customWidth="1"/>
    <col min="9" max="9" width="16.5" style="1" customWidth="1"/>
    <col min="10" max="10" width="13.83203125" style="1" customWidth="1"/>
    <col min="11" max="11" width="15.5" style="1" customWidth="1"/>
    <col min="12" max="12" width="15.1640625" style="1" customWidth="1"/>
    <col min="13" max="13" width="15.1640625" style="32" customWidth="1"/>
    <col min="14" max="14" width="14.33203125" style="32" customWidth="1"/>
    <col min="15" max="15" width="13.6640625" style="1" customWidth="1"/>
    <col min="16" max="16" width="15.1640625" style="1" customWidth="1"/>
    <col min="17" max="17" width="16.33203125" style="1" customWidth="1"/>
    <col min="18" max="193" width="9.33203125" style="1"/>
    <col min="194" max="195" width="4.5" style="1" customWidth="1"/>
    <col min="196" max="196" width="8.6640625" style="1" customWidth="1"/>
    <col min="197" max="197" width="49.1640625" style="1" customWidth="1"/>
    <col min="198" max="198" width="3.1640625" style="1" customWidth="1"/>
    <col min="199" max="199" width="8.6640625" style="1" customWidth="1"/>
    <col min="200" max="200" width="10.5" style="1" customWidth="1"/>
    <col min="201" max="201" width="10.1640625" style="1" customWidth="1"/>
    <col min="202" max="202" width="11" style="1" customWidth="1"/>
    <col min="203" max="203" width="10.33203125" style="1" customWidth="1"/>
    <col min="204" max="204" width="9.83203125" style="1" customWidth="1"/>
    <col min="205" max="205" width="11.1640625" style="1" customWidth="1"/>
    <col min="206" max="206" width="10.5" style="1" customWidth="1"/>
    <col min="207" max="207" width="8.83203125" style="1" customWidth="1"/>
    <col min="208" max="208" width="10.33203125" style="1" customWidth="1"/>
    <col min="209" max="209" width="10.6640625" style="1" customWidth="1"/>
    <col min="210" max="210" width="12.5" style="1" customWidth="1"/>
    <col min="211" max="211" width="11.83203125" style="1" customWidth="1"/>
    <col min="212" max="212" width="11.1640625" style="1" customWidth="1"/>
    <col min="213" max="213" width="11" style="1" customWidth="1"/>
    <col min="214" max="214" width="11.1640625" style="1" customWidth="1"/>
    <col min="215" max="215" width="10.1640625" style="1" customWidth="1"/>
    <col min="216" max="216" width="11.83203125" style="1" customWidth="1"/>
    <col min="217" max="217" width="9.33203125" style="1"/>
    <col min="218" max="218" width="10.1640625" style="1" customWidth="1"/>
    <col min="219" max="219" width="10" style="1" customWidth="1"/>
    <col min="220" max="220" width="10.83203125" style="1" customWidth="1"/>
    <col min="221" max="221" width="11.33203125" style="1" customWidth="1"/>
    <col min="222" max="449" width="9.33203125" style="1"/>
    <col min="450" max="451" width="4.5" style="1" customWidth="1"/>
    <col min="452" max="452" width="8.6640625" style="1" customWidth="1"/>
    <col min="453" max="453" width="49.1640625" style="1" customWidth="1"/>
    <col min="454" max="454" width="3.1640625" style="1" customWidth="1"/>
    <col min="455" max="455" width="8.6640625" style="1" customWidth="1"/>
    <col min="456" max="456" width="10.5" style="1" customWidth="1"/>
    <col min="457" max="457" width="10.1640625" style="1" customWidth="1"/>
    <col min="458" max="458" width="11" style="1" customWidth="1"/>
    <col min="459" max="459" width="10.33203125" style="1" customWidth="1"/>
    <col min="460" max="460" width="9.83203125" style="1" customWidth="1"/>
    <col min="461" max="461" width="11.1640625" style="1" customWidth="1"/>
    <col min="462" max="462" width="10.5" style="1" customWidth="1"/>
    <col min="463" max="463" width="8.83203125" style="1" customWidth="1"/>
    <col min="464" max="464" width="10.33203125" style="1" customWidth="1"/>
    <col min="465" max="465" width="10.6640625" style="1" customWidth="1"/>
    <col min="466" max="466" width="12.5" style="1" customWidth="1"/>
    <col min="467" max="467" width="11.83203125" style="1" customWidth="1"/>
    <col min="468" max="468" width="11.1640625" style="1" customWidth="1"/>
    <col min="469" max="469" width="11" style="1" customWidth="1"/>
    <col min="470" max="470" width="11.1640625" style="1" customWidth="1"/>
    <col min="471" max="471" width="10.1640625" style="1" customWidth="1"/>
    <col min="472" max="472" width="11.83203125" style="1" customWidth="1"/>
    <col min="473" max="473" width="9.33203125" style="1"/>
    <col min="474" max="474" width="10.1640625" style="1" customWidth="1"/>
    <col min="475" max="475" width="10" style="1" customWidth="1"/>
    <col min="476" max="476" width="10.83203125" style="1" customWidth="1"/>
    <col min="477" max="477" width="11.33203125" style="1" customWidth="1"/>
    <col min="478" max="705" width="9.33203125" style="1"/>
    <col min="706" max="707" width="4.5" style="1" customWidth="1"/>
    <col min="708" max="708" width="8.6640625" style="1" customWidth="1"/>
    <col min="709" max="709" width="49.1640625" style="1" customWidth="1"/>
    <col min="710" max="710" width="3.1640625" style="1" customWidth="1"/>
    <col min="711" max="711" width="8.6640625" style="1" customWidth="1"/>
    <col min="712" max="712" width="10.5" style="1" customWidth="1"/>
    <col min="713" max="713" width="10.1640625" style="1" customWidth="1"/>
    <col min="714" max="714" width="11" style="1" customWidth="1"/>
    <col min="715" max="715" width="10.33203125" style="1" customWidth="1"/>
    <col min="716" max="716" width="9.83203125" style="1" customWidth="1"/>
    <col min="717" max="717" width="11.1640625" style="1" customWidth="1"/>
    <col min="718" max="718" width="10.5" style="1" customWidth="1"/>
    <col min="719" max="719" width="8.83203125" style="1" customWidth="1"/>
    <col min="720" max="720" width="10.33203125" style="1" customWidth="1"/>
    <col min="721" max="721" width="10.6640625" style="1" customWidth="1"/>
    <col min="722" max="722" width="12.5" style="1" customWidth="1"/>
    <col min="723" max="723" width="11.83203125" style="1" customWidth="1"/>
    <col min="724" max="724" width="11.1640625" style="1" customWidth="1"/>
    <col min="725" max="725" width="11" style="1" customWidth="1"/>
    <col min="726" max="726" width="11.1640625" style="1" customWidth="1"/>
    <col min="727" max="727" width="10.1640625" style="1" customWidth="1"/>
    <col min="728" max="728" width="11.83203125" style="1" customWidth="1"/>
    <col min="729" max="729" width="9.33203125" style="1"/>
    <col min="730" max="730" width="10.1640625" style="1" customWidth="1"/>
    <col min="731" max="731" width="10" style="1" customWidth="1"/>
    <col min="732" max="732" width="10.83203125" style="1" customWidth="1"/>
    <col min="733" max="733" width="11.33203125" style="1" customWidth="1"/>
    <col min="734" max="961" width="9.33203125" style="1"/>
    <col min="962" max="963" width="4.5" style="1" customWidth="1"/>
    <col min="964" max="964" width="8.6640625" style="1" customWidth="1"/>
    <col min="965" max="965" width="49.1640625" style="1" customWidth="1"/>
    <col min="966" max="966" width="3.1640625" style="1" customWidth="1"/>
    <col min="967" max="967" width="8.6640625" style="1" customWidth="1"/>
    <col min="968" max="968" width="10.5" style="1" customWidth="1"/>
    <col min="969" max="969" width="10.1640625" style="1" customWidth="1"/>
    <col min="970" max="970" width="11" style="1" customWidth="1"/>
    <col min="971" max="971" width="10.33203125" style="1" customWidth="1"/>
    <col min="972" max="972" width="9.83203125" style="1" customWidth="1"/>
    <col min="973" max="973" width="11.1640625" style="1" customWidth="1"/>
    <col min="974" max="974" width="10.5" style="1" customWidth="1"/>
    <col min="975" max="975" width="8.83203125" style="1" customWidth="1"/>
    <col min="976" max="976" width="10.33203125" style="1" customWidth="1"/>
    <col min="977" max="977" width="10.6640625" style="1" customWidth="1"/>
    <col min="978" max="978" width="12.5" style="1" customWidth="1"/>
    <col min="979" max="979" width="11.83203125" style="1" customWidth="1"/>
    <col min="980" max="980" width="11.1640625" style="1" customWidth="1"/>
    <col min="981" max="981" width="11" style="1" customWidth="1"/>
    <col min="982" max="982" width="11.1640625" style="1" customWidth="1"/>
    <col min="983" max="983" width="10.1640625" style="1" customWidth="1"/>
    <col min="984" max="984" width="11.83203125" style="1" customWidth="1"/>
    <col min="985" max="985" width="9.33203125" style="1"/>
    <col min="986" max="986" width="10.1640625" style="1" customWidth="1"/>
    <col min="987" max="987" width="10" style="1" customWidth="1"/>
    <col min="988" max="988" width="10.83203125" style="1" customWidth="1"/>
    <col min="989" max="989" width="11.33203125" style="1" customWidth="1"/>
    <col min="990" max="1217" width="9.33203125" style="1"/>
    <col min="1218" max="1219" width="4.5" style="1" customWidth="1"/>
    <col min="1220" max="1220" width="8.6640625" style="1" customWidth="1"/>
    <col min="1221" max="1221" width="49.1640625" style="1" customWidth="1"/>
    <col min="1222" max="1222" width="3.1640625" style="1" customWidth="1"/>
    <col min="1223" max="1223" width="8.6640625" style="1" customWidth="1"/>
    <col min="1224" max="1224" width="10.5" style="1" customWidth="1"/>
    <col min="1225" max="1225" width="10.1640625" style="1" customWidth="1"/>
    <col min="1226" max="1226" width="11" style="1" customWidth="1"/>
    <col min="1227" max="1227" width="10.33203125" style="1" customWidth="1"/>
    <col min="1228" max="1228" width="9.83203125" style="1" customWidth="1"/>
    <col min="1229" max="1229" width="11.1640625" style="1" customWidth="1"/>
    <col min="1230" max="1230" width="10.5" style="1" customWidth="1"/>
    <col min="1231" max="1231" width="8.83203125" style="1" customWidth="1"/>
    <col min="1232" max="1232" width="10.33203125" style="1" customWidth="1"/>
    <col min="1233" max="1233" width="10.6640625" style="1" customWidth="1"/>
    <col min="1234" max="1234" width="12.5" style="1" customWidth="1"/>
    <col min="1235" max="1235" width="11.83203125" style="1" customWidth="1"/>
    <col min="1236" max="1236" width="11.1640625" style="1" customWidth="1"/>
    <col min="1237" max="1237" width="11" style="1" customWidth="1"/>
    <col min="1238" max="1238" width="11.1640625" style="1" customWidth="1"/>
    <col min="1239" max="1239" width="10.1640625" style="1" customWidth="1"/>
    <col min="1240" max="1240" width="11.83203125" style="1" customWidth="1"/>
    <col min="1241" max="1241" width="9.33203125" style="1"/>
    <col min="1242" max="1242" width="10.1640625" style="1" customWidth="1"/>
    <col min="1243" max="1243" width="10" style="1" customWidth="1"/>
    <col min="1244" max="1244" width="10.83203125" style="1" customWidth="1"/>
    <col min="1245" max="1245" width="11.33203125" style="1" customWidth="1"/>
    <col min="1246" max="1473" width="9.33203125" style="1"/>
    <col min="1474" max="1475" width="4.5" style="1" customWidth="1"/>
    <col min="1476" max="1476" width="8.6640625" style="1" customWidth="1"/>
    <col min="1477" max="1477" width="49.1640625" style="1" customWidth="1"/>
    <col min="1478" max="1478" width="3.1640625" style="1" customWidth="1"/>
    <col min="1479" max="1479" width="8.6640625" style="1" customWidth="1"/>
    <col min="1480" max="1480" width="10.5" style="1" customWidth="1"/>
    <col min="1481" max="1481" width="10.1640625" style="1" customWidth="1"/>
    <col min="1482" max="1482" width="11" style="1" customWidth="1"/>
    <col min="1483" max="1483" width="10.33203125" style="1" customWidth="1"/>
    <col min="1484" max="1484" width="9.83203125" style="1" customWidth="1"/>
    <col min="1485" max="1485" width="11.1640625" style="1" customWidth="1"/>
    <col min="1486" max="1486" width="10.5" style="1" customWidth="1"/>
    <col min="1487" max="1487" width="8.83203125" style="1" customWidth="1"/>
    <col min="1488" max="1488" width="10.33203125" style="1" customWidth="1"/>
    <col min="1489" max="1489" width="10.6640625" style="1" customWidth="1"/>
    <col min="1490" max="1490" width="12.5" style="1" customWidth="1"/>
    <col min="1491" max="1491" width="11.83203125" style="1" customWidth="1"/>
    <col min="1492" max="1492" width="11.1640625" style="1" customWidth="1"/>
    <col min="1493" max="1493" width="11" style="1" customWidth="1"/>
    <col min="1494" max="1494" width="11.1640625" style="1" customWidth="1"/>
    <col min="1495" max="1495" width="10.1640625" style="1" customWidth="1"/>
    <col min="1496" max="1496" width="11.83203125" style="1" customWidth="1"/>
    <col min="1497" max="1497" width="9.33203125" style="1"/>
    <col min="1498" max="1498" width="10.1640625" style="1" customWidth="1"/>
    <col min="1499" max="1499" width="10" style="1" customWidth="1"/>
    <col min="1500" max="1500" width="10.83203125" style="1" customWidth="1"/>
    <col min="1501" max="1501" width="11.33203125" style="1" customWidth="1"/>
    <col min="1502" max="1729" width="9.33203125" style="1"/>
    <col min="1730" max="1731" width="4.5" style="1" customWidth="1"/>
    <col min="1732" max="1732" width="8.6640625" style="1" customWidth="1"/>
    <col min="1733" max="1733" width="49.1640625" style="1" customWidth="1"/>
    <col min="1734" max="1734" width="3.1640625" style="1" customWidth="1"/>
    <col min="1735" max="1735" width="8.6640625" style="1" customWidth="1"/>
    <col min="1736" max="1736" width="10.5" style="1" customWidth="1"/>
    <col min="1737" max="1737" width="10.1640625" style="1" customWidth="1"/>
    <col min="1738" max="1738" width="11" style="1" customWidth="1"/>
    <col min="1739" max="1739" width="10.33203125" style="1" customWidth="1"/>
    <col min="1740" max="1740" width="9.83203125" style="1" customWidth="1"/>
    <col min="1741" max="1741" width="11.1640625" style="1" customWidth="1"/>
    <col min="1742" max="1742" width="10.5" style="1" customWidth="1"/>
    <col min="1743" max="1743" width="8.83203125" style="1" customWidth="1"/>
    <col min="1744" max="1744" width="10.33203125" style="1" customWidth="1"/>
    <col min="1745" max="1745" width="10.6640625" style="1" customWidth="1"/>
    <col min="1746" max="1746" width="12.5" style="1" customWidth="1"/>
    <col min="1747" max="1747" width="11.83203125" style="1" customWidth="1"/>
    <col min="1748" max="1748" width="11.1640625" style="1" customWidth="1"/>
    <col min="1749" max="1749" width="11" style="1" customWidth="1"/>
    <col min="1750" max="1750" width="11.1640625" style="1" customWidth="1"/>
    <col min="1751" max="1751" width="10.1640625" style="1" customWidth="1"/>
    <col min="1752" max="1752" width="11.83203125" style="1" customWidth="1"/>
    <col min="1753" max="1753" width="9.33203125" style="1"/>
    <col min="1754" max="1754" width="10.1640625" style="1" customWidth="1"/>
    <col min="1755" max="1755" width="10" style="1" customWidth="1"/>
    <col min="1756" max="1756" width="10.83203125" style="1" customWidth="1"/>
    <col min="1757" max="1757" width="11.33203125" style="1" customWidth="1"/>
    <col min="1758" max="1985" width="9.33203125" style="1"/>
    <col min="1986" max="1987" width="4.5" style="1" customWidth="1"/>
    <col min="1988" max="1988" width="8.6640625" style="1" customWidth="1"/>
    <col min="1989" max="1989" width="49.1640625" style="1" customWidth="1"/>
    <col min="1990" max="1990" width="3.1640625" style="1" customWidth="1"/>
    <col min="1991" max="1991" width="8.6640625" style="1" customWidth="1"/>
    <col min="1992" max="1992" width="10.5" style="1" customWidth="1"/>
    <col min="1993" max="1993" width="10.1640625" style="1" customWidth="1"/>
    <col min="1994" max="1994" width="11" style="1" customWidth="1"/>
    <col min="1995" max="1995" width="10.33203125" style="1" customWidth="1"/>
    <col min="1996" max="1996" width="9.83203125" style="1" customWidth="1"/>
    <col min="1997" max="1997" width="11.1640625" style="1" customWidth="1"/>
    <col min="1998" max="1998" width="10.5" style="1" customWidth="1"/>
    <col min="1999" max="1999" width="8.83203125" style="1" customWidth="1"/>
    <col min="2000" max="2000" width="10.33203125" style="1" customWidth="1"/>
    <col min="2001" max="2001" width="10.6640625" style="1" customWidth="1"/>
    <col min="2002" max="2002" width="12.5" style="1" customWidth="1"/>
    <col min="2003" max="2003" width="11.83203125" style="1" customWidth="1"/>
    <col min="2004" max="2004" width="11.1640625" style="1" customWidth="1"/>
    <col min="2005" max="2005" width="11" style="1" customWidth="1"/>
    <col min="2006" max="2006" width="11.1640625" style="1" customWidth="1"/>
    <col min="2007" max="2007" width="10.1640625" style="1" customWidth="1"/>
    <col min="2008" max="2008" width="11.83203125" style="1" customWidth="1"/>
    <col min="2009" max="2009" width="9.33203125" style="1"/>
    <col min="2010" max="2010" width="10.1640625" style="1" customWidth="1"/>
    <col min="2011" max="2011" width="10" style="1" customWidth="1"/>
    <col min="2012" max="2012" width="10.83203125" style="1" customWidth="1"/>
    <col min="2013" max="2013" width="11.33203125" style="1" customWidth="1"/>
    <col min="2014" max="2241" width="9.33203125" style="1"/>
    <col min="2242" max="2243" width="4.5" style="1" customWidth="1"/>
    <col min="2244" max="2244" width="8.6640625" style="1" customWidth="1"/>
    <col min="2245" max="2245" width="49.1640625" style="1" customWidth="1"/>
    <col min="2246" max="2246" width="3.1640625" style="1" customWidth="1"/>
    <col min="2247" max="2247" width="8.6640625" style="1" customWidth="1"/>
    <col min="2248" max="2248" width="10.5" style="1" customWidth="1"/>
    <col min="2249" max="2249" width="10.1640625" style="1" customWidth="1"/>
    <col min="2250" max="2250" width="11" style="1" customWidth="1"/>
    <col min="2251" max="2251" width="10.33203125" style="1" customWidth="1"/>
    <col min="2252" max="2252" width="9.83203125" style="1" customWidth="1"/>
    <col min="2253" max="2253" width="11.1640625" style="1" customWidth="1"/>
    <col min="2254" max="2254" width="10.5" style="1" customWidth="1"/>
    <col min="2255" max="2255" width="8.83203125" style="1" customWidth="1"/>
    <col min="2256" max="2256" width="10.33203125" style="1" customWidth="1"/>
    <col min="2257" max="2257" width="10.6640625" style="1" customWidth="1"/>
    <col min="2258" max="2258" width="12.5" style="1" customWidth="1"/>
    <col min="2259" max="2259" width="11.83203125" style="1" customWidth="1"/>
    <col min="2260" max="2260" width="11.1640625" style="1" customWidth="1"/>
    <col min="2261" max="2261" width="11" style="1" customWidth="1"/>
    <col min="2262" max="2262" width="11.1640625" style="1" customWidth="1"/>
    <col min="2263" max="2263" width="10.1640625" style="1" customWidth="1"/>
    <col min="2264" max="2264" width="11.83203125" style="1" customWidth="1"/>
    <col min="2265" max="2265" width="9.33203125" style="1"/>
    <col min="2266" max="2266" width="10.1640625" style="1" customWidth="1"/>
    <col min="2267" max="2267" width="10" style="1" customWidth="1"/>
    <col min="2268" max="2268" width="10.83203125" style="1" customWidth="1"/>
    <col min="2269" max="2269" width="11.33203125" style="1" customWidth="1"/>
    <col min="2270" max="2497" width="9.33203125" style="1"/>
    <col min="2498" max="2499" width="4.5" style="1" customWidth="1"/>
    <col min="2500" max="2500" width="8.6640625" style="1" customWidth="1"/>
    <col min="2501" max="2501" width="49.1640625" style="1" customWidth="1"/>
    <col min="2502" max="2502" width="3.1640625" style="1" customWidth="1"/>
    <col min="2503" max="2503" width="8.6640625" style="1" customWidth="1"/>
    <col min="2504" max="2504" width="10.5" style="1" customWidth="1"/>
    <col min="2505" max="2505" width="10.1640625" style="1" customWidth="1"/>
    <col min="2506" max="2506" width="11" style="1" customWidth="1"/>
    <col min="2507" max="2507" width="10.33203125" style="1" customWidth="1"/>
    <col min="2508" max="2508" width="9.83203125" style="1" customWidth="1"/>
    <col min="2509" max="2509" width="11.1640625" style="1" customWidth="1"/>
    <col min="2510" max="2510" width="10.5" style="1" customWidth="1"/>
    <col min="2511" max="2511" width="8.83203125" style="1" customWidth="1"/>
    <col min="2512" max="2512" width="10.33203125" style="1" customWidth="1"/>
    <col min="2513" max="2513" width="10.6640625" style="1" customWidth="1"/>
    <col min="2514" max="2514" width="12.5" style="1" customWidth="1"/>
    <col min="2515" max="2515" width="11.83203125" style="1" customWidth="1"/>
    <col min="2516" max="2516" width="11.1640625" style="1" customWidth="1"/>
    <col min="2517" max="2517" width="11" style="1" customWidth="1"/>
    <col min="2518" max="2518" width="11.1640625" style="1" customWidth="1"/>
    <col min="2519" max="2519" width="10.1640625" style="1" customWidth="1"/>
    <col min="2520" max="2520" width="11.83203125" style="1" customWidth="1"/>
    <col min="2521" max="2521" width="9.33203125" style="1"/>
    <col min="2522" max="2522" width="10.1640625" style="1" customWidth="1"/>
    <col min="2523" max="2523" width="10" style="1" customWidth="1"/>
    <col min="2524" max="2524" width="10.83203125" style="1" customWidth="1"/>
    <col min="2525" max="2525" width="11.33203125" style="1" customWidth="1"/>
    <col min="2526" max="2753" width="9.33203125" style="1"/>
    <col min="2754" max="2755" width="4.5" style="1" customWidth="1"/>
    <col min="2756" max="2756" width="8.6640625" style="1" customWidth="1"/>
    <col min="2757" max="2757" width="49.1640625" style="1" customWidth="1"/>
    <col min="2758" max="2758" width="3.1640625" style="1" customWidth="1"/>
    <col min="2759" max="2759" width="8.6640625" style="1" customWidth="1"/>
    <col min="2760" max="2760" width="10.5" style="1" customWidth="1"/>
    <col min="2761" max="2761" width="10.1640625" style="1" customWidth="1"/>
    <col min="2762" max="2762" width="11" style="1" customWidth="1"/>
    <col min="2763" max="2763" width="10.33203125" style="1" customWidth="1"/>
    <col min="2764" max="2764" width="9.83203125" style="1" customWidth="1"/>
    <col min="2765" max="2765" width="11.1640625" style="1" customWidth="1"/>
    <col min="2766" max="2766" width="10.5" style="1" customWidth="1"/>
    <col min="2767" max="2767" width="8.83203125" style="1" customWidth="1"/>
    <col min="2768" max="2768" width="10.33203125" style="1" customWidth="1"/>
    <col min="2769" max="2769" width="10.6640625" style="1" customWidth="1"/>
    <col min="2770" max="2770" width="12.5" style="1" customWidth="1"/>
    <col min="2771" max="2771" width="11.83203125" style="1" customWidth="1"/>
    <col min="2772" max="2772" width="11.1640625" style="1" customWidth="1"/>
    <col min="2773" max="2773" width="11" style="1" customWidth="1"/>
    <col min="2774" max="2774" width="11.1640625" style="1" customWidth="1"/>
    <col min="2775" max="2775" width="10.1640625" style="1" customWidth="1"/>
    <col min="2776" max="2776" width="11.83203125" style="1" customWidth="1"/>
    <col min="2777" max="2777" width="9.33203125" style="1"/>
    <col min="2778" max="2778" width="10.1640625" style="1" customWidth="1"/>
    <col min="2779" max="2779" width="10" style="1" customWidth="1"/>
    <col min="2780" max="2780" width="10.83203125" style="1" customWidth="1"/>
    <col min="2781" max="2781" width="11.33203125" style="1" customWidth="1"/>
    <col min="2782" max="3009" width="9.33203125" style="1"/>
    <col min="3010" max="3011" width="4.5" style="1" customWidth="1"/>
    <col min="3012" max="3012" width="8.6640625" style="1" customWidth="1"/>
    <col min="3013" max="3013" width="49.1640625" style="1" customWidth="1"/>
    <col min="3014" max="3014" width="3.1640625" style="1" customWidth="1"/>
    <col min="3015" max="3015" width="8.6640625" style="1" customWidth="1"/>
    <col min="3016" max="3016" width="10.5" style="1" customWidth="1"/>
    <col min="3017" max="3017" width="10.1640625" style="1" customWidth="1"/>
    <col min="3018" max="3018" width="11" style="1" customWidth="1"/>
    <col min="3019" max="3019" width="10.33203125" style="1" customWidth="1"/>
    <col min="3020" max="3020" width="9.83203125" style="1" customWidth="1"/>
    <col min="3021" max="3021" width="11.1640625" style="1" customWidth="1"/>
    <col min="3022" max="3022" width="10.5" style="1" customWidth="1"/>
    <col min="3023" max="3023" width="8.83203125" style="1" customWidth="1"/>
    <col min="3024" max="3024" width="10.33203125" style="1" customWidth="1"/>
    <col min="3025" max="3025" width="10.6640625" style="1" customWidth="1"/>
    <col min="3026" max="3026" width="12.5" style="1" customWidth="1"/>
    <col min="3027" max="3027" width="11.83203125" style="1" customWidth="1"/>
    <col min="3028" max="3028" width="11.1640625" style="1" customWidth="1"/>
    <col min="3029" max="3029" width="11" style="1" customWidth="1"/>
    <col min="3030" max="3030" width="11.1640625" style="1" customWidth="1"/>
    <col min="3031" max="3031" width="10.1640625" style="1" customWidth="1"/>
    <col min="3032" max="3032" width="11.83203125" style="1" customWidth="1"/>
    <col min="3033" max="3033" width="9.33203125" style="1"/>
    <col min="3034" max="3034" width="10.1640625" style="1" customWidth="1"/>
    <col min="3035" max="3035" width="10" style="1" customWidth="1"/>
    <col min="3036" max="3036" width="10.83203125" style="1" customWidth="1"/>
    <col min="3037" max="3037" width="11.33203125" style="1" customWidth="1"/>
    <col min="3038" max="3265" width="9.33203125" style="1"/>
    <col min="3266" max="3267" width="4.5" style="1" customWidth="1"/>
    <col min="3268" max="3268" width="8.6640625" style="1" customWidth="1"/>
    <col min="3269" max="3269" width="49.1640625" style="1" customWidth="1"/>
    <col min="3270" max="3270" width="3.1640625" style="1" customWidth="1"/>
    <col min="3271" max="3271" width="8.6640625" style="1" customWidth="1"/>
    <col min="3272" max="3272" width="10.5" style="1" customWidth="1"/>
    <col min="3273" max="3273" width="10.1640625" style="1" customWidth="1"/>
    <col min="3274" max="3274" width="11" style="1" customWidth="1"/>
    <col min="3275" max="3275" width="10.33203125" style="1" customWidth="1"/>
    <col min="3276" max="3276" width="9.83203125" style="1" customWidth="1"/>
    <col min="3277" max="3277" width="11.1640625" style="1" customWidth="1"/>
    <col min="3278" max="3278" width="10.5" style="1" customWidth="1"/>
    <col min="3279" max="3279" width="8.83203125" style="1" customWidth="1"/>
    <col min="3280" max="3280" width="10.33203125" style="1" customWidth="1"/>
    <col min="3281" max="3281" width="10.6640625" style="1" customWidth="1"/>
    <col min="3282" max="3282" width="12.5" style="1" customWidth="1"/>
    <col min="3283" max="3283" width="11.83203125" style="1" customWidth="1"/>
    <col min="3284" max="3284" width="11.1640625" style="1" customWidth="1"/>
    <col min="3285" max="3285" width="11" style="1" customWidth="1"/>
    <col min="3286" max="3286" width="11.1640625" style="1" customWidth="1"/>
    <col min="3287" max="3287" width="10.1640625" style="1" customWidth="1"/>
    <col min="3288" max="3288" width="11.83203125" style="1" customWidth="1"/>
    <col min="3289" max="3289" width="9.33203125" style="1"/>
    <col min="3290" max="3290" width="10.1640625" style="1" customWidth="1"/>
    <col min="3291" max="3291" width="10" style="1" customWidth="1"/>
    <col min="3292" max="3292" width="10.83203125" style="1" customWidth="1"/>
    <col min="3293" max="3293" width="11.33203125" style="1" customWidth="1"/>
    <col min="3294" max="3521" width="9.33203125" style="1"/>
    <col min="3522" max="3523" width="4.5" style="1" customWidth="1"/>
    <col min="3524" max="3524" width="8.6640625" style="1" customWidth="1"/>
    <col min="3525" max="3525" width="49.1640625" style="1" customWidth="1"/>
    <col min="3526" max="3526" width="3.1640625" style="1" customWidth="1"/>
    <col min="3527" max="3527" width="8.6640625" style="1" customWidth="1"/>
    <col min="3528" max="3528" width="10.5" style="1" customWidth="1"/>
    <col min="3529" max="3529" width="10.1640625" style="1" customWidth="1"/>
    <col min="3530" max="3530" width="11" style="1" customWidth="1"/>
    <col min="3531" max="3531" width="10.33203125" style="1" customWidth="1"/>
    <col min="3532" max="3532" width="9.83203125" style="1" customWidth="1"/>
    <col min="3533" max="3533" width="11.1640625" style="1" customWidth="1"/>
    <col min="3534" max="3534" width="10.5" style="1" customWidth="1"/>
    <col min="3535" max="3535" width="8.83203125" style="1" customWidth="1"/>
    <col min="3536" max="3536" width="10.33203125" style="1" customWidth="1"/>
    <col min="3537" max="3537" width="10.6640625" style="1" customWidth="1"/>
    <col min="3538" max="3538" width="12.5" style="1" customWidth="1"/>
    <col min="3539" max="3539" width="11.83203125" style="1" customWidth="1"/>
    <col min="3540" max="3540" width="11.1640625" style="1" customWidth="1"/>
    <col min="3541" max="3541" width="11" style="1" customWidth="1"/>
    <col min="3542" max="3542" width="11.1640625" style="1" customWidth="1"/>
    <col min="3543" max="3543" width="10.1640625" style="1" customWidth="1"/>
    <col min="3544" max="3544" width="11.83203125" style="1" customWidth="1"/>
    <col min="3545" max="3545" width="9.33203125" style="1"/>
    <col min="3546" max="3546" width="10.1640625" style="1" customWidth="1"/>
    <col min="3547" max="3547" width="10" style="1" customWidth="1"/>
    <col min="3548" max="3548" width="10.83203125" style="1" customWidth="1"/>
    <col min="3549" max="3549" width="11.33203125" style="1" customWidth="1"/>
    <col min="3550" max="3777" width="9.33203125" style="1"/>
    <col min="3778" max="3779" width="4.5" style="1" customWidth="1"/>
    <col min="3780" max="3780" width="8.6640625" style="1" customWidth="1"/>
    <col min="3781" max="3781" width="49.1640625" style="1" customWidth="1"/>
    <col min="3782" max="3782" width="3.1640625" style="1" customWidth="1"/>
    <col min="3783" max="3783" width="8.6640625" style="1" customWidth="1"/>
    <col min="3784" max="3784" width="10.5" style="1" customWidth="1"/>
    <col min="3785" max="3785" width="10.1640625" style="1" customWidth="1"/>
    <col min="3786" max="3786" width="11" style="1" customWidth="1"/>
    <col min="3787" max="3787" width="10.33203125" style="1" customWidth="1"/>
    <col min="3788" max="3788" width="9.83203125" style="1" customWidth="1"/>
    <col min="3789" max="3789" width="11.1640625" style="1" customWidth="1"/>
    <col min="3790" max="3790" width="10.5" style="1" customWidth="1"/>
    <col min="3791" max="3791" width="8.83203125" style="1" customWidth="1"/>
    <col min="3792" max="3792" width="10.33203125" style="1" customWidth="1"/>
    <col min="3793" max="3793" width="10.6640625" style="1" customWidth="1"/>
    <col min="3794" max="3794" width="12.5" style="1" customWidth="1"/>
    <col min="3795" max="3795" width="11.83203125" style="1" customWidth="1"/>
    <col min="3796" max="3796" width="11.1640625" style="1" customWidth="1"/>
    <col min="3797" max="3797" width="11" style="1" customWidth="1"/>
    <col min="3798" max="3798" width="11.1640625" style="1" customWidth="1"/>
    <col min="3799" max="3799" width="10.1640625" style="1" customWidth="1"/>
    <col min="3800" max="3800" width="11.83203125" style="1" customWidth="1"/>
    <col min="3801" max="3801" width="9.33203125" style="1"/>
    <col min="3802" max="3802" width="10.1640625" style="1" customWidth="1"/>
    <col min="3803" max="3803" width="10" style="1" customWidth="1"/>
    <col min="3804" max="3804" width="10.83203125" style="1" customWidth="1"/>
    <col min="3805" max="3805" width="11.33203125" style="1" customWidth="1"/>
    <col min="3806" max="4033" width="9.33203125" style="1"/>
    <col min="4034" max="4035" width="4.5" style="1" customWidth="1"/>
    <col min="4036" max="4036" width="8.6640625" style="1" customWidth="1"/>
    <col min="4037" max="4037" width="49.1640625" style="1" customWidth="1"/>
    <col min="4038" max="4038" width="3.1640625" style="1" customWidth="1"/>
    <col min="4039" max="4039" width="8.6640625" style="1" customWidth="1"/>
    <col min="4040" max="4040" width="10.5" style="1" customWidth="1"/>
    <col min="4041" max="4041" width="10.1640625" style="1" customWidth="1"/>
    <col min="4042" max="4042" width="11" style="1" customWidth="1"/>
    <col min="4043" max="4043" width="10.33203125" style="1" customWidth="1"/>
    <col min="4044" max="4044" width="9.83203125" style="1" customWidth="1"/>
    <col min="4045" max="4045" width="11.1640625" style="1" customWidth="1"/>
    <col min="4046" max="4046" width="10.5" style="1" customWidth="1"/>
    <col min="4047" max="4047" width="8.83203125" style="1" customWidth="1"/>
    <col min="4048" max="4048" width="10.33203125" style="1" customWidth="1"/>
    <col min="4049" max="4049" width="10.6640625" style="1" customWidth="1"/>
    <col min="4050" max="4050" width="12.5" style="1" customWidth="1"/>
    <col min="4051" max="4051" width="11.83203125" style="1" customWidth="1"/>
    <col min="4052" max="4052" width="11.1640625" style="1" customWidth="1"/>
    <col min="4053" max="4053" width="11" style="1" customWidth="1"/>
    <col min="4054" max="4054" width="11.1640625" style="1" customWidth="1"/>
    <col min="4055" max="4055" width="10.1640625" style="1" customWidth="1"/>
    <col min="4056" max="4056" width="11.83203125" style="1" customWidth="1"/>
    <col min="4057" max="4057" width="9.33203125" style="1"/>
    <col min="4058" max="4058" width="10.1640625" style="1" customWidth="1"/>
    <col min="4059" max="4059" width="10" style="1" customWidth="1"/>
    <col min="4060" max="4060" width="10.83203125" style="1" customWidth="1"/>
    <col min="4061" max="4061" width="11.33203125" style="1" customWidth="1"/>
    <col min="4062" max="4289" width="9.33203125" style="1"/>
    <col min="4290" max="4291" width="4.5" style="1" customWidth="1"/>
    <col min="4292" max="4292" width="8.6640625" style="1" customWidth="1"/>
    <col min="4293" max="4293" width="49.1640625" style="1" customWidth="1"/>
    <col min="4294" max="4294" width="3.1640625" style="1" customWidth="1"/>
    <col min="4295" max="4295" width="8.6640625" style="1" customWidth="1"/>
    <col min="4296" max="4296" width="10.5" style="1" customWidth="1"/>
    <col min="4297" max="4297" width="10.1640625" style="1" customWidth="1"/>
    <col min="4298" max="4298" width="11" style="1" customWidth="1"/>
    <col min="4299" max="4299" width="10.33203125" style="1" customWidth="1"/>
    <col min="4300" max="4300" width="9.83203125" style="1" customWidth="1"/>
    <col min="4301" max="4301" width="11.1640625" style="1" customWidth="1"/>
    <col min="4302" max="4302" width="10.5" style="1" customWidth="1"/>
    <col min="4303" max="4303" width="8.83203125" style="1" customWidth="1"/>
    <col min="4304" max="4304" width="10.33203125" style="1" customWidth="1"/>
    <col min="4305" max="4305" width="10.6640625" style="1" customWidth="1"/>
    <col min="4306" max="4306" width="12.5" style="1" customWidth="1"/>
    <col min="4307" max="4307" width="11.83203125" style="1" customWidth="1"/>
    <col min="4308" max="4308" width="11.1640625" style="1" customWidth="1"/>
    <col min="4309" max="4309" width="11" style="1" customWidth="1"/>
    <col min="4310" max="4310" width="11.1640625" style="1" customWidth="1"/>
    <col min="4311" max="4311" width="10.1640625" style="1" customWidth="1"/>
    <col min="4312" max="4312" width="11.83203125" style="1" customWidth="1"/>
    <col min="4313" max="4313" width="9.33203125" style="1"/>
    <col min="4314" max="4314" width="10.1640625" style="1" customWidth="1"/>
    <col min="4315" max="4315" width="10" style="1" customWidth="1"/>
    <col min="4316" max="4316" width="10.83203125" style="1" customWidth="1"/>
    <col min="4317" max="4317" width="11.33203125" style="1" customWidth="1"/>
    <col min="4318" max="4545" width="9.33203125" style="1"/>
    <col min="4546" max="4547" width="4.5" style="1" customWidth="1"/>
    <col min="4548" max="4548" width="8.6640625" style="1" customWidth="1"/>
    <col min="4549" max="4549" width="49.1640625" style="1" customWidth="1"/>
    <col min="4550" max="4550" width="3.1640625" style="1" customWidth="1"/>
    <col min="4551" max="4551" width="8.6640625" style="1" customWidth="1"/>
    <col min="4552" max="4552" width="10.5" style="1" customWidth="1"/>
    <col min="4553" max="4553" width="10.1640625" style="1" customWidth="1"/>
    <col min="4554" max="4554" width="11" style="1" customWidth="1"/>
    <col min="4555" max="4555" width="10.33203125" style="1" customWidth="1"/>
    <col min="4556" max="4556" width="9.83203125" style="1" customWidth="1"/>
    <col min="4557" max="4557" width="11.1640625" style="1" customWidth="1"/>
    <col min="4558" max="4558" width="10.5" style="1" customWidth="1"/>
    <col min="4559" max="4559" width="8.83203125" style="1" customWidth="1"/>
    <col min="4560" max="4560" width="10.33203125" style="1" customWidth="1"/>
    <col min="4561" max="4561" width="10.6640625" style="1" customWidth="1"/>
    <col min="4562" max="4562" width="12.5" style="1" customWidth="1"/>
    <col min="4563" max="4563" width="11.83203125" style="1" customWidth="1"/>
    <col min="4564" max="4564" width="11.1640625" style="1" customWidth="1"/>
    <col min="4565" max="4565" width="11" style="1" customWidth="1"/>
    <col min="4566" max="4566" width="11.1640625" style="1" customWidth="1"/>
    <col min="4567" max="4567" width="10.1640625" style="1" customWidth="1"/>
    <col min="4568" max="4568" width="11.83203125" style="1" customWidth="1"/>
    <col min="4569" max="4569" width="9.33203125" style="1"/>
    <col min="4570" max="4570" width="10.1640625" style="1" customWidth="1"/>
    <col min="4571" max="4571" width="10" style="1" customWidth="1"/>
    <col min="4572" max="4572" width="10.83203125" style="1" customWidth="1"/>
    <col min="4573" max="4573" width="11.33203125" style="1" customWidth="1"/>
    <col min="4574" max="4801" width="9.33203125" style="1"/>
    <col min="4802" max="4803" width="4.5" style="1" customWidth="1"/>
    <col min="4804" max="4804" width="8.6640625" style="1" customWidth="1"/>
    <col min="4805" max="4805" width="49.1640625" style="1" customWidth="1"/>
    <col min="4806" max="4806" width="3.1640625" style="1" customWidth="1"/>
    <col min="4807" max="4807" width="8.6640625" style="1" customWidth="1"/>
    <col min="4808" max="4808" width="10.5" style="1" customWidth="1"/>
    <col min="4809" max="4809" width="10.1640625" style="1" customWidth="1"/>
    <col min="4810" max="4810" width="11" style="1" customWidth="1"/>
    <col min="4811" max="4811" width="10.33203125" style="1" customWidth="1"/>
    <col min="4812" max="4812" width="9.83203125" style="1" customWidth="1"/>
    <col min="4813" max="4813" width="11.1640625" style="1" customWidth="1"/>
    <col min="4814" max="4814" width="10.5" style="1" customWidth="1"/>
    <col min="4815" max="4815" width="8.83203125" style="1" customWidth="1"/>
    <col min="4816" max="4816" width="10.33203125" style="1" customWidth="1"/>
    <col min="4817" max="4817" width="10.6640625" style="1" customWidth="1"/>
    <col min="4818" max="4818" width="12.5" style="1" customWidth="1"/>
    <col min="4819" max="4819" width="11.83203125" style="1" customWidth="1"/>
    <col min="4820" max="4820" width="11.1640625" style="1" customWidth="1"/>
    <col min="4821" max="4821" width="11" style="1" customWidth="1"/>
    <col min="4822" max="4822" width="11.1640625" style="1" customWidth="1"/>
    <col min="4823" max="4823" width="10.1640625" style="1" customWidth="1"/>
    <col min="4824" max="4824" width="11.83203125" style="1" customWidth="1"/>
    <col min="4825" max="4825" width="9.33203125" style="1"/>
    <col min="4826" max="4826" width="10.1640625" style="1" customWidth="1"/>
    <col min="4827" max="4827" width="10" style="1" customWidth="1"/>
    <col min="4828" max="4828" width="10.83203125" style="1" customWidth="1"/>
    <col min="4829" max="4829" width="11.33203125" style="1" customWidth="1"/>
    <col min="4830" max="5057" width="9.33203125" style="1"/>
    <col min="5058" max="5059" width="4.5" style="1" customWidth="1"/>
    <col min="5060" max="5060" width="8.6640625" style="1" customWidth="1"/>
    <col min="5061" max="5061" width="49.1640625" style="1" customWidth="1"/>
    <col min="5062" max="5062" width="3.1640625" style="1" customWidth="1"/>
    <col min="5063" max="5063" width="8.6640625" style="1" customWidth="1"/>
    <col min="5064" max="5064" width="10.5" style="1" customWidth="1"/>
    <col min="5065" max="5065" width="10.1640625" style="1" customWidth="1"/>
    <col min="5066" max="5066" width="11" style="1" customWidth="1"/>
    <col min="5067" max="5067" width="10.33203125" style="1" customWidth="1"/>
    <col min="5068" max="5068" width="9.83203125" style="1" customWidth="1"/>
    <col min="5069" max="5069" width="11.1640625" style="1" customWidth="1"/>
    <col min="5070" max="5070" width="10.5" style="1" customWidth="1"/>
    <col min="5071" max="5071" width="8.83203125" style="1" customWidth="1"/>
    <col min="5072" max="5072" width="10.33203125" style="1" customWidth="1"/>
    <col min="5073" max="5073" width="10.6640625" style="1" customWidth="1"/>
    <col min="5074" max="5074" width="12.5" style="1" customWidth="1"/>
    <col min="5075" max="5075" width="11.83203125" style="1" customWidth="1"/>
    <col min="5076" max="5076" width="11.1640625" style="1" customWidth="1"/>
    <col min="5077" max="5077" width="11" style="1" customWidth="1"/>
    <col min="5078" max="5078" width="11.1640625" style="1" customWidth="1"/>
    <col min="5079" max="5079" width="10.1640625" style="1" customWidth="1"/>
    <col min="5080" max="5080" width="11.83203125" style="1" customWidth="1"/>
    <col min="5081" max="5081" width="9.33203125" style="1"/>
    <col min="5082" max="5082" width="10.1640625" style="1" customWidth="1"/>
    <col min="5083" max="5083" width="10" style="1" customWidth="1"/>
    <col min="5084" max="5084" width="10.83203125" style="1" customWidth="1"/>
    <col min="5085" max="5085" width="11.33203125" style="1" customWidth="1"/>
    <col min="5086" max="5313" width="9.33203125" style="1"/>
    <col min="5314" max="5315" width="4.5" style="1" customWidth="1"/>
    <col min="5316" max="5316" width="8.6640625" style="1" customWidth="1"/>
    <col min="5317" max="5317" width="49.1640625" style="1" customWidth="1"/>
    <col min="5318" max="5318" width="3.1640625" style="1" customWidth="1"/>
    <col min="5319" max="5319" width="8.6640625" style="1" customWidth="1"/>
    <col min="5320" max="5320" width="10.5" style="1" customWidth="1"/>
    <col min="5321" max="5321" width="10.1640625" style="1" customWidth="1"/>
    <col min="5322" max="5322" width="11" style="1" customWidth="1"/>
    <col min="5323" max="5323" width="10.33203125" style="1" customWidth="1"/>
    <col min="5324" max="5324" width="9.83203125" style="1" customWidth="1"/>
    <col min="5325" max="5325" width="11.1640625" style="1" customWidth="1"/>
    <col min="5326" max="5326" width="10.5" style="1" customWidth="1"/>
    <col min="5327" max="5327" width="8.83203125" style="1" customWidth="1"/>
    <col min="5328" max="5328" width="10.33203125" style="1" customWidth="1"/>
    <col min="5329" max="5329" width="10.6640625" style="1" customWidth="1"/>
    <col min="5330" max="5330" width="12.5" style="1" customWidth="1"/>
    <col min="5331" max="5331" width="11.83203125" style="1" customWidth="1"/>
    <col min="5332" max="5332" width="11.1640625" style="1" customWidth="1"/>
    <col min="5333" max="5333" width="11" style="1" customWidth="1"/>
    <col min="5334" max="5334" width="11.1640625" style="1" customWidth="1"/>
    <col min="5335" max="5335" width="10.1640625" style="1" customWidth="1"/>
    <col min="5336" max="5336" width="11.83203125" style="1" customWidth="1"/>
    <col min="5337" max="5337" width="9.33203125" style="1"/>
    <col min="5338" max="5338" width="10.1640625" style="1" customWidth="1"/>
    <col min="5339" max="5339" width="10" style="1" customWidth="1"/>
    <col min="5340" max="5340" width="10.83203125" style="1" customWidth="1"/>
    <col min="5341" max="5341" width="11.33203125" style="1" customWidth="1"/>
    <col min="5342" max="5569" width="9.33203125" style="1"/>
    <col min="5570" max="5571" width="4.5" style="1" customWidth="1"/>
    <col min="5572" max="5572" width="8.6640625" style="1" customWidth="1"/>
    <col min="5573" max="5573" width="49.1640625" style="1" customWidth="1"/>
    <col min="5574" max="5574" width="3.1640625" style="1" customWidth="1"/>
    <col min="5575" max="5575" width="8.6640625" style="1" customWidth="1"/>
    <col min="5576" max="5576" width="10.5" style="1" customWidth="1"/>
    <col min="5577" max="5577" width="10.1640625" style="1" customWidth="1"/>
    <col min="5578" max="5578" width="11" style="1" customWidth="1"/>
    <col min="5579" max="5579" width="10.33203125" style="1" customWidth="1"/>
    <col min="5580" max="5580" width="9.83203125" style="1" customWidth="1"/>
    <col min="5581" max="5581" width="11.1640625" style="1" customWidth="1"/>
    <col min="5582" max="5582" width="10.5" style="1" customWidth="1"/>
    <col min="5583" max="5583" width="8.83203125" style="1" customWidth="1"/>
    <col min="5584" max="5584" width="10.33203125" style="1" customWidth="1"/>
    <col min="5585" max="5585" width="10.6640625" style="1" customWidth="1"/>
    <col min="5586" max="5586" width="12.5" style="1" customWidth="1"/>
    <col min="5587" max="5587" width="11.83203125" style="1" customWidth="1"/>
    <col min="5588" max="5588" width="11.1640625" style="1" customWidth="1"/>
    <col min="5589" max="5589" width="11" style="1" customWidth="1"/>
    <col min="5590" max="5590" width="11.1640625" style="1" customWidth="1"/>
    <col min="5591" max="5591" width="10.1640625" style="1" customWidth="1"/>
    <col min="5592" max="5592" width="11.83203125" style="1" customWidth="1"/>
    <col min="5593" max="5593" width="9.33203125" style="1"/>
    <col min="5594" max="5594" width="10.1640625" style="1" customWidth="1"/>
    <col min="5595" max="5595" width="10" style="1" customWidth="1"/>
    <col min="5596" max="5596" width="10.83203125" style="1" customWidth="1"/>
    <col min="5597" max="5597" width="11.33203125" style="1" customWidth="1"/>
    <col min="5598" max="5825" width="9.33203125" style="1"/>
    <col min="5826" max="5827" width="4.5" style="1" customWidth="1"/>
    <col min="5828" max="5828" width="8.6640625" style="1" customWidth="1"/>
    <col min="5829" max="5829" width="49.1640625" style="1" customWidth="1"/>
    <col min="5830" max="5830" width="3.1640625" style="1" customWidth="1"/>
    <col min="5831" max="5831" width="8.6640625" style="1" customWidth="1"/>
    <col min="5832" max="5832" width="10.5" style="1" customWidth="1"/>
    <col min="5833" max="5833" width="10.1640625" style="1" customWidth="1"/>
    <col min="5834" max="5834" width="11" style="1" customWidth="1"/>
    <col min="5835" max="5835" width="10.33203125" style="1" customWidth="1"/>
    <col min="5836" max="5836" width="9.83203125" style="1" customWidth="1"/>
    <col min="5837" max="5837" width="11.1640625" style="1" customWidth="1"/>
    <col min="5838" max="5838" width="10.5" style="1" customWidth="1"/>
    <col min="5839" max="5839" width="8.83203125" style="1" customWidth="1"/>
    <col min="5840" max="5840" width="10.33203125" style="1" customWidth="1"/>
    <col min="5841" max="5841" width="10.6640625" style="1" customWidth="1"/>
    <col min="5842" max="5842" width="12.5" style="1" customWidth="1"/>
    <col min="5843" max="5843" width="11.83203125" style="1" customWidth="1"/>
    <col min="5844" max="5844" width="11.1640625" style="1" customWidth="1"/>
    <col min="5845" max="5845" width="11" style="1" customWidth="1"/>
    <col min="5846" max="5846" width="11.1640625" style="1" customWidth="1"/>
    <col min="5847" max="5847" width="10.1640625" style="1" customWidth="1"/>
    <col min="5848" max="5848" width="11.83203125" style="1" customWidth="1"/>
    <col min="5849" max="5849" width="9.33203125" style="1"/>
    <col min="5850" max="5850" width="10.1640625" style="1" customWidth="1"/>
    <col min="5851" max="5851" width="10" style="1" customWidth="1"/>
    <col min="5852" max="5852" width="10.83203125" style="1" customWidth="1"/>
    <col min="5853" max="5853" width="11.33203125" style="1" customWidth="1"/>
    <col min="5854" max="6081" width="9.33203125" style="1"/>
    <col min="6082" max="6083" width="4.5" style="1" customWidth="1"/>
    <col min="6084" max="6084" width="8.6640625" style="1" customWidth="1"/>
    <col min="6085" max="6085" width="49.1640625" style="1" customWidth="1"/>
    <col min="6086" max="6086" width="3.1640625" style="1" customWidth="1"/>
    <col min="6087" max="6087" width="8.6640625" style="1" customWidth="1"/>
    <col min="6088" max="6088" width="10.5" style="1" customWidth="1"/>
    <col min="6089" max="6089" width="10.1640625" style="1" customWidth="1"/>
    <col min="6090" max="6090" width="11" style="1" customWidth="1"/>
    <col min="6091" max="6091" width="10.33203125" style="1" customWidth="1"/>
    <col min="6092" max="6092" width="9.83203125" style="1" customWidth="1"/>
    <col min="6093" max="6093" width="11.1640625" style="1" customWidth="1"/>
    <col min="6094" max="6094" width="10.5" style="1" customWidth="1"/>
    <col min="6095" max="6095" width="8.83203125" style="1" customWidth="1"/>
    <col min="6096" max="6096" width="10.33203125" style="1" customWidth="1"/>
    <col min="6097" max="6097" width="10.6640625" style="1" customWidth="1"/>
    <col min="6098" max="6098" width="12.5" style="1" customWidth="1"/>
    <col min="6099" max="6099" width="11.83203125" style="1" customWidth="1"/>
    <col min="6100" max="6100" width="11.1640625" style="1" customWidth="1"/>
    <col min="6101" max="6101" width="11" style="1" customWidth="1"/>
    <col min="6102" max="6102" width="11.1640625" style="1" customWidth="1"/>
    <col min="6103" max="6103" width="10.1640625" style="1" customWidth="1"/>
    <col min="6104" max="6104" width="11.83203125" style="1" customWidth="1"/>
    <col min="6105" max="6105" width="9.33203125" style="1"/>
    <col min="6106" max="6106" width="10.1640625" style="1" customWidth="1"/>
    <col min="6107" max="6107" width="10" style="1" customWidth="1"/>
    <col min="6108" max="6108" width="10.83203125" style="1" customWidth="1"/>
    <col min="6109" max="6109" width="11.33203125" style="1" customWidth="1"/>
    <col min="6110" max="6337" width="9.33203125" style="1"/>
    <col min="6338" max="6339" width="4.5" style="1" customWidth="1"/>
    <col min="6340" max="6340" width="8.6640625" style="1" customWidth="1"/>
    <col min="6341" max="6341" width="49.1640625" style="1" customWidth="1"/>
    <col min="6342" max="6342" width="3.1640625" style="1" customWidth="1"/>
    <col min="6343" max="6343" width="8.6640625" style="1" customWidth="1"/>
    <col min="6344" max="6344" width="10.5" style="1" customWidth="1"/>
    <col min="6345" max="6345" width="10.1640625" style="1" customWidth="1"/>
    <col min="6346" max="6346" width="11" style="1" customWidth="1"/>
    <col min="6347" max="6347" width="10.33203125" style="1" customWidth="1"/>
    <col min="6348" max="6348" width="9.83203125" style="1" customWidth="1"/>
    <col min="6349" max="6349" width="11.1640625" style="1" customWidth="1"/>
    <col min="6350" max="6350" width="10.5" style="1" customWidth="1"/>
    <col min="6351" max="6351" width="8.83203125" style="1" customWidth="1"/>
    <col min="6352" max="6352" width="10.33203125" style="1" customWidth="1"/>
    <col min="6353" max="6353" width="10.6640625" style="1" customWidth="1"/>
    <col min="6354" max="6354" width="12.5" style="1" customWidth="1"/>
    <col min="6355" max="6355" width="11.83203125" style="1" customWidth="1"/>
    <col min="6356" max="6356" width="11.1640625" style="1" customWidth="1"/>
    <col min="6357" max="6357" width="11" style="1" customWidth="1"/>
    <col min="6358" max="6358" width="11.1640625" style="1" customWidth="1"/>
    <col min="6359" max="6359" width="10.1640625" style="1" customWidth="1"/>
    <col min="6360" max="6360" width="11.83203125" style="1" customWidth="1"/>
    <col min="6361" max="6361" width="9.33203125" style="1"/>
    <col min="6362" max="6362" width="10.1640625" style="1" customWidth="1"/>
    <col min="6363" max="6363" width="10" style="1" customWidth="1"/>
    <col min="6364" max="6364" width="10.83203125" style="1" customWidth="1"/>
    <col min="6365" max="6365" width="11.33203125" style="1" customWidth="1"/>
    <col min="6366" max="6593" width="9.33203125" style="1"/>
    <col min="6594" max="6595" width="4.5" style="1" customWidth="1"/>
    <col min="6596" max="6596" width="8.6640625" style="1" customWidth="1"/>
    <col min="6597" max="6597" width="49.1640625" style="1" customWidth="1"/>
    <col min="6598" max="6598" width="3.1640625" style="1" customWidth="1"/>
    <col min="6599" max="6599" width="8.6640625" style="1" customWidth="1"/>
    <col min="6600" max="6600" width="10.5" style="1" customWidth="1"/>
    <col min="6601" max="6601" width="10.1640625" style="1" customWidth="1"/>
    <col min="6602" max="6602" width="11" style="1" customWidth="1"/>
    <col min="6603" max="6603" width="10.33203125" style="1" customWidth="1"/>
    <col min="6604" max="6604" width="9.83203125" style="1" customWidth="1"/>
    <col min="6605" max="6605" width="11.1640625" style="1" customWidth="1"/>
    <col min="6606" max="6606" width="10.5" style="1" customWidth="1"/>
    <col min="6607" max="6607" width="8.83203125" style="1" customWidth="1"/>
    <col min="6608" max="6608" width="10.33203125" style="1" customWidth="1"/>
    <col min="6609" max="6609" width="10.6640625" style="1" customWidth="1"/>
    <col min="6610" max="6610" width="12.5" style="1" customWidth="1"/>
    <col min="6611" max="6611" width="11.83203125" style="1" customWidth="1"/>
    <col min="6612" max="6612" width="11.1640625" style="1" customWidth="1"/>
    <col min="6613" max="6613" width="11" style="1" customWidth="1"/>
    <col min="6614" max="6614" width="11.1640625" style="1" customWidth="1"/>
    <col min="6615" max="6615" width="10.1640625" style="1" customWidth="1"/>
    <col min="6616" max="6616" width="11.83203125" style="1" customWidth="1"/>
    <col min="6617" max="6617" width="9.33203125" style="1"/>
    <col min="6618" max="6618" width="10.1640625" style="1" customWidth="1"/>
    <col min="6619" max="6619" width="10" style="1" customWidth="1"/>
    <col min="6620" max="6620" width="10.83203125" style="1" customWidth="1"/>
    <col min="6621" max="6621" width="11.33203125" style="1" customWidth="1"/>
    <col min="6622" max="6849" width="9.33203125" style="1"/>
    <col min="6850" max="6851" width="4.5" style="1" customWidth="1"/>
    <col min="6852" max="6852" width="8.6640625" style="1" customWidth="1"/>
    <col min="6853" max="6853" width="49.1640625" style="1" customWidth="1"/>
    <col min="6854" max="6854" width="3.1640625" style="1" customWidth="1"/>
    <col min="6855" max="6855" width="8.6640625" style="1" customWidth="1"/>
    <col min="6856" max="6856" width="10.5" style="1" customWidth="1"/>
    <col min="6857" max="6857" width="10.1640625" style="1" customWidth="1"/>
    <col min="6858" max="6858" width="11" style="1" customWidth="1"/>
    <col min="6859" max="6859" width="10.33203125" style="1" customWidth="1"/>
    <col min="6860" max="6860" width="9.83203125" style="1" customWidth="1"/>
    <col min="6861" max="6861" width="11.1640625" style="1" customWidth="1"/>
    <col min="6862" max="6862" width="10.5" style="1" customWidth="1"/>
    <col min="6863" max="6863" width="8.83203125" style="1" customWidth="1"/>
    <col min="6864" max="6864" width="10.33203125" style="1" customWidth="1"/>
    <col min="6865" max="6865" width="10.6640625" style="1" customWidth="1"/>
    <col min="6866" max="6866" width="12.5" style="1" customWidth="1"/>
    <col min="6867" max="6867" width="11.83203125" style="1" customWidth="1"/>
    <col min="6868" max="6868" width="11.1640625" style="1" customWidth="1"/>
    <col min="6869" max="6869" width="11" style="1" customWidth="1"/>
    <col min="6870" max="6870" width="11.1640625" style="1" customWidth="1"/>
    <col min="6871" max="6871" width="10.1640625" style="1" customWidth="1"/>
    <col min="6872" max="6872" width="11.83203125" style="1" customWidth="1"/>
    <col min="6873" max="6873" width="9.33203125" style="1"/>
    <col min="6874" max="6874" width="10.1640625" style="1" customWidth="1"/>
    <col min="6875" max="6875" width="10" style="1" customWidth="1"/>
    <col min="6876" max="6876" width="10.83203125" style="1" customWidth="1"/>
    <col min="6877" max="6877" width="11.33203125" style="1" customWidth="1"/>
    <col min="6878" max="7105" width="9.33203125" style="1"/>
    <col min="7106" max="7107" width="4.5" style="1" customWidth="1"/>
    <col min="7108" max="7108" width="8.6640625" style="1" customWidth="1"/>
    <col min="7109" max="7109" width="49.1640625" style="1" customWidth="1"/>
    <col min="7110" max="7110" width="3.1640625" style="1" customWidth="1"/>
    <col min="7111" max="7111" width="8.6640625" style="1" customWidth="1"/>
    <col min="7112" max="7112" width="10.5" style="1" customWidth="1"/>
    <col min="7113" max="7113" width="10.1640625" style="1" customWidth="1"/>
    <col min="7114" max="7114" width="11" style="1" customWidth="1"/>
    <col min="7115" max="7115" width="10.33203125" style="1" customWidth="1"/>
    <col min="7116" max="7116" width="9.83203125" style="1" customWidth="1"/>
    <col min="7117" max="7117" width="11.1640625" style="1" customWidth="1"/>
    <col min="7118" max="7118" width="10.5" style="1" customWidth="1"/>
    <col min="7119" max="7119" width="8.83203125" style="1" customWidth="1"/>
    <col min="7120" max="7120" width="10.33203125" style="1" customWidth="1"/>
    <col min="7121" max="7121" width="10.6640625" style="1" customWidth="1"/>
    <col min="7122" max="7122" width="12.5" style="1" customWidth="1"/>
    <col min="7123" max="7123" width="11.83203125" style="1" customWidth="1"/>
    <col min="7124" max="7124" width="11.1640625" style="1" customWidth="1"/>
    <col min="7125" max="7125" width="11" style="1" customWidth="1"/>
    <col min="7126" max="7126" width="11.1640625" style="1" customWidth="1"/>
    <col min="7127" max="7127" width="10.1640625" style="1" customWidth="1"/>
    <col min="7128" max="7128" width="11.83203125" style="1" customWidth="1"/>
    <col min="7129" max="7129" width="9.33203125" style="1"/>
    <col min="7130" max="7130" width="10.1640625" style="1" customWidth="1"/>
    <col min="7131" max="7131" width="10" style="1" customWidth="1"/>
    <col min="7132" max="7132" width="10.83203125" style="1" customWidth="1"/>
    <col min="7133" max="7133" width="11.33203125" style="1" customWidth="1"/>
    <col min="7134" max="7361" width="9.33203125" style="1"/>
    <col min="7362" max="7363" width="4.5" style="1" customWidth="1"/>
    <col min="7364" max="7364" width="8.6640625" style="1" customWidth="1"/>
    <col min="7365" max="7365" width="49.1640625" style="1" customWidth="1"/>
    <col min="7366" max="7366" width="3.1640625" style="1" customWidth="1"/>
    <col min="7367" max="7367" width="8.6640625" style="1" customWidth="1"/>
    <col min="7368" max="7368" width="10.5" style="1" customWidth="1"/>
    <col min="7369" max="7369" width="10.1640625" style="1" customWidth="1"/>
    <col min="7370" max="7370" width="11" style="1" customWidth="1"/>
    <col min="7371" max="7371" width="10.33203125" style="1" customWidth="1"/>
    <col min="7372" max="7372" width="9.83203125" style="1" customWidth="1"/>
    <col min="7373" max="7373" width="11.1640625" style="1" customWidth="1"/>
    <col min="7374" max="7374" width="10.5" style="1" customWidth="1"/>
    <col min="7375" max="7375" width="8.83203125" style="1" customWidth="1"/>
    <col min="7376" max="7376" width="10.33203125" style="1" customWidth="1"/>
    <col min="7377" max="7377" width="10.6640625" style="1" customWidth="1"/>
    <col min="7378" max="7378" width="12.5" style="1" customWidth="1"/>
    <col min="7379" max="7379" width="11.83203125" style="1" customWidth="1"/>
    <col min="7380" max="7380" width="11.1640625" style="1" customWidth="1"/>
    <col min="7381" max="7381" width="11" style="1" customWidth="1"/>
    <col min="7382" max="7382" width="11.1640625" style="1" customWidth="1"/>
    <col min="7383" max="7383" width="10.1640625" style="1" customWidth="1"/>
    <col min="7384" max="7384" width="11.83203125" style="1" customWidth="1"/>
    <col min="7385" max="7385" width="9.33203125" style="1"/>
    <col min="7386" max="7386" width="10.1640625" style="1" customWidth="1"/>
    <col min="7387" max="7387" width="10" style="1" customWidth="1"/>
    <col min="7388" max="7388" width="10.83203125" style="1" customWidth="1"/>
    <col min="7389" max="7389" width="11.33203125" style="1" customWidth="1"/>
    <col min="7390" max="7617" width="9.33203125" style="1"/>
    <col min="7618" max="7619" width="4.5" style="1" customWidth="1"/>
    <col min="7620" max="7620" width="8.6640625" style="1" customWidth="1"/>
    <col min="7621" max="7621" width="49.1640625" style="1" customWidth="1"/>
    <col min="7622" max="7622" width="3.1640625" style="1" customWidth="1"/>
    <col min="7623" max="7623" width="8.6640625" style="1" customWidth="1"/>
    <col min="7624" max="7624" width="10.5" style="1" customWidth="1"/>
    <col min="7625" max="7625" width="10.1640625" style="1" customWidth="1"/>
    <col min="7626" max="7626" width="11" style="1" customWidth="1"/>
    <col min="7627" max="7627" width="10.33203125" style="1" customWidth="1"/>
    <col min="7628" max="7628" width="9.83203125" style="1" customWidth="1"/>
    <col min="7629" max="7629" width="11.1640625" style="1" customWidth="1"/>
    <col min="7630" max="7630" width="10.5" style="1" customWidth="1"/>
    <col min="7631" max="7631" width="8.83203125" style="1" customWidth="1"/>
    <col min="7632" max="7632" width="10.33203125" style="1" customWidth="1"/>
    <col min="7633" max="7633" width="10.6640625" style="1" customWidth="1"/>
    <col min="7634" max="7634" width="12.5" style="1" customWidth="1"/>
    <col min="7635" max="7635" width="11.83203125" style="1" customWidth="1"/>
    <col min="7636" max="7636" width="11.1640625" style="1" customWidth="1"/>
    <col min="7637" max="7637" width="11" style="1" customWidth="1"/>
    <col min="7638" max="7638" width="11.1640625" style="1" customWidth="1"/>
    <col min="7639" max="7639" width="10.1640625" style="1" customWidth="1"/>
    <col min="7640" max="7640" width="11.83203125" style="1" customWidth="1"/>
    <col min="7641" max="7641" width="9.33203125" style="1"/>
    <col min="7642" max="7642" width="10.1640625" style="1" customWidth="1"/>
    <col min="7643" max="7643" width="10" style="1" customWidth="1"/>
    <col min="7644" max="7644" width="10.83203125" style="1" customWidth="1"/>
    <col min="7645" max="7645" width="11.33203125" style="1" customWidth="1"/>
    <col min="7646" max="7873" width="9.33203125" style="1"/>
    <col min="7874" max="7875" width="4.5" style="1" customWidth="1"/>
    <col min="7876" max="7876" width="8.6640625" style="1" customWidth="1"/>
    <col min="7877" max="7877" width="49.1640625" style="1" customWidth="1"/>
    <col min="7878" max="7878" width="3.1640625" style="1" customWidth="1"/>
    <col min="7879" max="7879" width="8.6640625" style="1" customWidth="1"/>
    <col min="7880" max="7880" width="10.5" style="1" customWidth="1"/>
    <col min="7881" max="7881" width="10.1640625" style="1" customWidth="1"/>
    <col min="7882" max="7882" width="11" style="1" customWidth="1"/>
    <col min="7883" max="7883" width="10.33203125" style="1" customWidth="1"/>
    <col min="7884" max="7884" width="9.83203125" style="1" customWidth="1"/>
    <col min="7885" max="7885" width="11.1640625" style="1" customWidth="1"/>
    <col min="7886" max="7886" width="10.5" style="1" customWidth="1"/>
    <col min="7887" max="7887" width="8.83203125" style="1" customWidth="1"/>
    <col min="7888" max="7888" width="10.33203125" style="1" customWidth="1"/>
    <col min="7889" max="7889" width="10.6640625" style="1" customWidth="1"/>
    <col min="7890" max="7890" width="12.5" style="1" customWidth="1"/>
    <col min="7891" max="7891" width="11.83203125" style="1" customWidth="1"/>
    <col min="7892" max="7892" width="11.1640625" style="1" customWidth="1"/>
    <col min="7893" max="7893" width="11" style="1" customWidth="1"/>
    <col min="7894" max="7894" width="11.1640625" style="1" customWidth="1"/>
    <col min="7895" max="7895" width="10.1640625" style="1" customWidth="1"/>
    <col min="7896" max="7896" width="11.83203125" style="1" customWidth="1"/>
    <col min="7897" max="7897" width="9.33203125" style="1"/>
    <col min="7898" max="7898" width="10.1640625" style="1" customWidth="1"/>
    <col min="7899" max="7899" width="10" style="1" customWidth="1"/>
    <col min="7900" max="7900" width="10.83203125" style="1" customWidth="1"/>
    <col min="7901" max="7901" width="11.33203125" style="1" customWidth="1"/>
    <col min="7902" max="8129" width="9.33203125" style="1"/>
    <col min="8130" max="8131" width="4.5" style="1" customWidth="1"/>
    <col min="8132" max="8132" width="8.6640625" style="1" customWidth="1"/>
    <col min="8133" max="8133" width="49.1640625" style="1" customWidth="1"/>
    <col min="8134" max="8134" width="3.1640625" style="1" customWidth="1"/>
    <col min="8135" max="8135" width="8.6640625" style="1" customWidth="1"/>
    <col min="8136" max="8136" width="10.5" style="1" customWidth="1"/>
    <col min="8137" max="8137" width="10.1640625" style="1" customWidth="1"/>
    <col min="8138" max="8138" width="11" style="1" customWidth="1"/>
    <col min="8139" max="8139" width="10.33203125" style="1" customWidth="1"/>
    <col min="8140" max="8140" width="9.83203125" style="1" customWidth="1"/>
    <col min="8141" max="8141" width="11.1640625" style="1" customWidth="1"/>
    <col min="8142" max="8142" width="10.5" style="1" customWidth="1"/>
    <col min="8143" max="8143" width="8.83203125" style="1" customWidth="1"/>
    <col min="8144" max="8144" width="10.33203125" style="1" customWidth="1"/>
    <col min="8145" max="8145" width="10.6640625" style="1" customWidth="1"/>
    <col min="8146" max="8146" width="12.5" style="1" customWidth="1"/>
    <col min="8147" max="8147" width="11.83203125" style="1" customWidth="1"/>
    <col min="8148" max="8148" width="11.1640625" style="1" customWidth="1"/>
    <col min="8149" max="8149" width="11" style="1" customWidth="1"/>
    <col min="8150" max="8150" width="11.1640625" style="1" customWidth="1"/>
    <col min="8151" max="8151" width="10.1640625" style="1" customWidth="1"/>
    <col min="8152" max="8152" width="11.83203125" style="1" customWidth="1"/>
    <col min="8153" max="8153" width="9.33203125" style="1"/>
    <col min="8154" max="8154" width="10.1640625" style="1" customWidth="1"/>
    <col min="8155" max="8155" width="10" style="1" customWidth="1"/>
    <col min="8156" max="8156" width="10.83203125" style="1" customWidth="1"/>
    <col min="8157" max="8157" width="11.33203125" style="1" customWidth="1"/>
    <col min="8158" max="8385" width="9.33203125" style="1"/>
    <col min="8386" max="8387" width="4.5" style="1" customWidth="1"/>
    <col min="8388" max="8388" width="8.6640625" style="1" customWidth="1"/>
    <col min="8389" max="8389" width="49.1640625" style="1" customWidth="1"/>
    <col min="8390" max="8390" width="3.1640625" style="1" customWidth="1"/>
    <col min="8391" max="8391" width="8.6640625" style="1" customWidth="1"/>
    <col min="8392" max="8392" width="10.5" style="1" customWidth="1"/>
    <col min="8393" max="8393" width="10.1640625" style="1" customWidth="1"/>
    <col min="8394" max="8394" width="11" style="1" customWidth="1"/>
    <col min="8395" max="8395" width="10.33203125" style="1" customWidth="1"/>
    <col min="8396" max="8396" width="9.83203125" style="1" customWidth="1"/>
    <col min="8397" max="8397" width="11.1640625" style="1" customWidth="1"/>
    <col min="8398" max="8398" width="10.5" style="1" customWidth="1"/>
    <col min="8399" max="8399" width="8.83203125" style="1" customWidth="1"/>
    <col min="8400" max="8400" width="10.33203125" style="1" customWidth="1"/>
    <col min="8401" max="8401" width="10.6640625" style="1" customWidth="1"/>
    <col min="8402" max="8402" width="12.5" style="1" customWidth="1"/>
    <col min="8403" max="8403" width="11.83203125" style="1" customWidth="1"/>
    <col min="8404" max="8404" width="11.1640625" style="1" customWidth="1"/>
    <col min="8405" max="8405" width="11" style="1" customWidth="1"/>
    <col min="8406" max="8406" width="11.1640625" style="1" customWidth="1"/>
    <col min="8407" max="8407" width="10.1640625" style="1" customWidth="1"/>
    <col min="8408" max="8408" width="11.83203125" style="1" customWidth="1"/>
    <col min="8409" max="8409" width="9.33203125" style="1"/>
    <col min="8410" max="8410" width="10.1640625" style="1" customWidth="1"/>
    <col min="8411" max="8411" width="10" style="1" customWidth="1"/>
    <col min="8412" max="8412" width="10.83203125" style="1" customWidth="1"/>
    <col min="8413" max="8413" width="11.33203125" style="1" customWidth="1"/>
    <col min="8414" max="8641" width="9.33203125" style="1"/>
    <col min="8642" max="8643" width="4.5" style="1" customWidth="1"/>
    <col min="8644" max="8644" width="8.6640625" style="1" customWidth="1"/>
    <col min="8645" max="8645" width="49.1640625" style="1" customWidth="1"/>
    <col min="8646" max="8646" width="3.1640625" style="1" customWidth="1"/>
    <col min="8647" max="8647" width="8.6640625" style="1" customWidth="1"/>
    <col min="8648" max="8648" width="10.5" style="1" customWidth="1"/>
    <col min="8649" max="8649" width="10.1640625" style="1" customWidth="1"/>
    <col min="8650" max="8650" width="11" style="1" customWidth="1"/>
    <col min="8651" max="8651" width="10.33203125" style="1" customWidth="1"/>
    <col min="8652" max="8652" width="9.83203125" style="1" customWidth="1"/>
    <col min="8653" max="8653" width="11.1640625" style="1" customWidth="1"/>
    <col min="8654" max="8654" width="10.5" style="1" customWidth="1"/>
    <col min="8655" max="8655" width="8.83203125" style="1" customWidth="1"/>
    <col min="8656" max="8656" width="10.33203125" style="1" customWidth="1"/>
    <col min="8657" max="8657" width="10.6640625" style="1" customWidth="1"/>
    <col min="8658" max="8658" width="12.5" style="1" customWidth="1"/>
    <col min="8659" max="8659" width="11.83203125" style="1" customWidth="1"/>
    <col min="8660" max="8660" width="11.1640625" style="1" customWidth="1"/>
    <col min="8661" max="8661" width="11" style="1" customWidth="1"/>
    <col min="8662" max="8662" width="11.1640625" style="1" customWidth="1"/>
    <col min="8663" max="8663" width="10.1640625" style="1" customWidth="1"/>
    <col min="8664" max="8664" width="11.83203125" style="1" customWidth="1"/>
    <col min="8665" max="8665" width="9.33203125" style="1"/>
    <col min="8666" max="8666" width="10.1640625" style="1" customWidth="1"/>
    <col min="8667" max="8667" width="10" style="1" customWidth="1"/>
    <col min="8668" max="8668" width="10.83203125" style="1" customWidth="1"/>
    <col min="8669" max="8669" width="11.33203125" style="1" customWidth="1"/>
    <col min="8670" max="8897" width="9.33203125" style="1"/>
    <col min="8898" max="8899" width="4.5" style="1" customWidth="1"/>
    <col min="8900" max="8900" width="8.6640625" style="1" customWidth="1"/>
    <col min="8901" max="8901" width="49.1640625" style="1" customWidth="1"/>
    <col min="8902" max="8902" width="3.1640625" style="1" customWidth="1"/>
    <col min="8903" max="8903" width="8.6640625" style="1" customWidth="1"/>
    <col min="8904" max="8904" width="10.5" style="1" customWidth="1"/>
    <col min="8905" max="8905" width="10.1640625" style="1" customWidth="1"/>
    <col min="8906" max="8906" width="11" style="1" customWidth="1"/>
    <col min="8907" max="8907" width="10.33203125" style="1" customWidth="1"/>
    <col min="8908" max="8908" width="9.83203125" style="1" customWidth="1"/>
    <col min="8909" max="8909" width="11.1640625" style="1" customWidth="1"/>
    <col min="8910" max="8910" width="10.5" style="1" customWidth="1"/>
    <col min="8911" max="8911" width="8.83203125" style="1" customWidth="1"/>
    <col min="8912" max="8912" width="10.33203125" style="1" customWidth="1"/>
    <col min="8913" max="8913" width="10.6640625" style="1" customWidth="1"/>
    <col min="8914" max="8914" width="12.5" style="1" customWidth="1"/>
    <col min="8915" max="8915" width="11.83203125" style="1" customWidth="1"/>
    <col min="8916" max="8916" width="11.1640625" style="1" customWidth="1"/>
    <col min="8917" max="8917" width="11" style="1" customWidth="1"/>
    <col min="8918" max="8918" width="11.1640625" style="1" customWidth="1"/>
    <col min="8919" max="8919" width="10.1640625" style="1" customWidth="1"/>
    <col min="8920" max="8920" width="11.83203125" style="1" customWidth="1"/>
    <col min="8921" max="8921" width="9.33203125" style="1"/>
    <col min="8922" max="8922" width="10.1640625" style="1" customWidth="1"/>
    <col min="8923" max="8923" width="10" style="1" customWidth="1"/>
    <col min="8924" max="8924" width="10.83203125" style="1" customWidth="1"/>
    <col min="8925" max="8925" width="11.33203125" style="1" customWidth="1"/>
    <col min="8926" max="9153" width="9.33203125" style="1"/>
    <col min="9154" max="9155" width="4.5" style="1" customWidth="1"/>
    <col min="9156" max="9156" width="8.6640625" style="1" customWidth="1"/>
    <col min="9157" max="9157" width="49.1640625" style="1" customWidth="1"/>
    <col min="9158" max="9158" width="3.1640625" style="1" customWidth="1"/>
    <col min="9159" max="9159" width="8.6640625" style="1" customWidth="1"/>
    <col min="9160" max="9160" width="10.5" style="1" customWidth="1"/>
    <col min="9161" max="9161" width="10.1640625" style="1" customWidth="1"/>
    <col min="9162" max="9162" width="11" style="1" customWidth="1"/>
    <col min="9163" max="9163" width="10.33203125" style="1" customWidth="1"/>
    <col min="9164" max="9164" width="9.83203125" style="1" customWidth="1"/>
    <col min="9165" max="9165" width="11.1640625" style="1" customWidth="1"/>
    <col min="9166" max="9166" width="10.5" style="1" customWidth="1"/>
    <col min="9167" max="9167" width="8.83203125" style="1" customWidth="1"/>
    <col min="9168" max="9168" width="10.33203125" style="1" customWidth="1"/>
    <col min="9169" max="9169" width="10.6640625" style="1" customWidth="1"/>
    <col min="9170" max="9170" width="12.5" style="1" customWidth="1"/>
    <col min="9171" max="9171" width="11.83203125" style="1" customWidth="1"/>
    <col min="9172" max="9172" width="11.1640625" style="1" customWidth="1"/>
    <col min="9173" max="9173" width="11" style="1" customWidth="1"/>
    <col min="9174" max="9174" width="11.1640625" style="1" customWidth="1"/>
    <col min="9175" max="9175" width="10.1640625" style="1" customWidth="1"/>
    <col min="9176" max="9176" width="11.83203125" style="1" customWidth="1"/>
    <col min="9177" max="9177" width="9.33203125" style="1"/>
    <col min="9178" max="9178" width="10.1640625" style="1" customWidth="1"/>
    <col min="9179" max="9179" width="10" style="1" customWidth="1"/>
    <col min="9180" max="9180" width="10.83203125" style="1" customWidth="1"/>
    <col min="9181" max="9181" width="11.33203125" style="1" customWidth="1"/>
    <col min="9182" max="9409" width="9.33203125" style="1"/>
    <col min="9410" max="9411" width="4.5" style="1" customWidth="1"/>
    <col min="9412" max="9412" width="8.6640625" style="1" customWidth="1"/>
    <col min="9413" max="9413" width="49.1640625" style="1" customWidth="1"/>
    <col min="9414" max="9414" width="3.1640625" style="1" customWidth="1"/>
    <col min="9415" max="9415" width="8.6640625" style="1" customWidth="1"/>
    <col min="9416" max="9416" width="10.5" style="1" customWidth="1"/>
    <col min="9417" max="9417" width="10.1640625" style="1" customWidth="1"/>
    <col min="9418" max="9418" width="11" style="1" customWidth="1"/>
    <col min="9419" max="9419" width="10.33203125" style="1" customWidth="1"/>
    <col min="9420" max="9420" width="9.83203125" style="1" customWidth="1"/>
    <col min="9421" max="9421" width="11.1640625" style="1" customWidth="1"/>
    <col min="9422" max="9422" width="10.5" style="1" customWidth="1"/>
    <col min="9423" max="9423" width="8.83203125" style="1" customWidth="1"/>
    <col min="9424" max="9424" width="10.33203125" style="1" customWidth="1"/>
    <col min="9425" max="9425" width="10.6640625" style="1" customWidth="1"/>
    <col min="9426" max="9426" width="12.5" style="1" customWidth="1"/>
    <col min="9427" max="9427" width="11.83203125" style="1" customWidth="1"/>
    <col min="9428" max="9428" width="11.1640625" style="1" customWidth="1"/>
    <col min="9429" max="9429" width="11" style="1" customWidth="1"/>
    <col min="9430" max="9430" width="11.1640625" style="1" customWidth="1"/>
    <col min="9431" max="9431" width="10.1640625" style="1" customWidth="1"/>
    <col min="9432" max="9432" width="11.83203125" style="1" customWidth="1"/>
    <col min="9433" max="9433" width="9.33203125" style="1"/>
    <col min="9434" max="9434" width="10.1640625" style="1" customWidth="1"/>
    <col min="9435" max="9435" width="10" style="1" customWidth="1"/>
    <col min="9436" max="9436" width="10.83203125" style="1" customWidth="1"/>
    <col min="9437" max="9437" width="11.33203125" style="1" customWidth="1"/>
    <col min="9438" max="9665" width="9.33203125" style="1"/>
    <col min="9666" max="9667" width="4.5" style="1" customWidth="1"/>
    <col min="9668" max="9668" width="8.6640625" style="1" customWidth="1"/>
    <col min="9669" max="9669" width="49.1640625" style="1" customWidth="1"/>
    <col min="9670" max="9670" width="3.1640625" style="1" customWidth="1"/>
    <col min="9671" max="9671" width="8.6640625" style="1" customWidth="1"/>
    <col min="9672" max="9672" width="10.5" style="1" customWidth="1"/>
    <col min="9673" max="9673" width="10.1640625" style="1" customWidth="1"/>
    <col min="9674" max="9674" width="11" style="1" customWidth="1"/>
    <col min="9675" max="9675" width="10.33203125" style="1" customWidth="1"/>
    <col min="9676" max="9676" width="9.83203125" style="1" customWidth="1"/>
    <col min="9677" max="9677" width="11.1640625" style="1" customWidth="1"/>
    <col min="9678" max="9678" width="10.5" style="1" customWidth="1"/>
    <col min="9679" max="9679" width="8.83203125" style="1" customWidth="1"/>
    <col min="9680" max="9680" width="10.33203125" style="1" customWidth="1"/>
    <col min="9681" max="9681" width="10.6640625" style="1" customWidth="1"/>
    <col min="9682" max="9682" width="12.5" style="1" customWidth="1"/>
    <col min="9683" max="9683" width="11.83203125" style="1" customWidth="1"/>
    <col min="9684" max="9684" width="11.1640625" style="1" customWidth="1"/>
    <col min="9685" max="9685" width="11" style="1" customWidth="1"/>
    <col min="9686" max="9686" width="11.1640625" style="1" customWidth="1"/>
    <col min="9687" max="9687" width="10.1640625" style="1" customWidth="1"/>
    <col min="9688" max="9688" width="11.83203125" style="1" customWidth="1"/>
    <col min="9689" max="9689" width="9.33203125" style="1"/>
    <col min="9690" max="9690" width="10.1640625" style="1" customWidth="1"/>
    <col min="9691" max="9691" width="10" style="1" customWidth="1"/>
    <col min="9692" max="9692" width="10.83203125" style="1" customWidth="1"/>
    <col min="9693" max="9693" width="11.33203125" style="1" customWidth="1"/>
    <col min="9694" max="9921" width="9.33203125" style="1"/>
    <col min="9922" max="9923" width="4.5" style="1" customWidth="1"/>
    <col min="9924" max="9924" width="8.6640625" style="1" customWidth="1"/>
    <col min="9925" max="9925" width="49.1640625" style="1" customWidth="1"/>
    <col min="9926" max="9926" width="3.1640625" style="1" customWidth="1"/>
    <col min="9927" max="9927" width="8.6640625" style="1" customWidth="1"/>
    <col min="9928" max="9928" width="10.5" style="1" customWidth="1"/>
    <col min="9929" max="9929" width="10.1640625" style="1" customWidth="1"/>
    <col min="9930" max="9930" width="11" style="1" customWidth="1"/>
    <col min="9931" max="9931" width="10.33203125" style="1" customWidth="1"/>
    <col min="9932" max="9932" width="9.83203125" style="1" customWidth="1"/>
    <col min="9933" max="9933" width="11.1640625" style="1" customWidth="1"/>
    <col min="9934" max="9934" width="10.5" style="1" customWidth="1"/>
    <col min="9935" max="9935" width="8.83203125" style="1" customWidth="1"/>
    <col min="9936" max="9936" width="10.33203125" style="1" customWidth="1"/>
    <col min="9937" max="9937" width="10.6640625" style="1" customWidth="1"/>
    <col min="9938" max="9938" width="12.5" style="1" customWidth="1"/>
    <col min="9939" max="9939" width="11.83203125" style="1" customWidth="1"/>
    <col min="9940" max="9940" width="11.1640625" style="1" customWidth="1"/>
    <col min="9941" max="9941" width="11" style="1" customWidth="1"/>
    <col min="9942" max="9942" width="11.1640625" style="1" customWidth="1"/>
    <col min="9943" max="9943" width="10.1640625" style="1" customWidth="1"/>
    <col min="9944" max="9944" width="11.83203125" style="1" customWidth="1"/>
    <col min="9945" max="9945" width="9.33203125" style="1"/>
    <col min="9946" max="9946" width="10.1640625" style="1" customWidth="1"/>
    <col min="9947" max="9947" width="10" style="1" customWidth="1"/>
    <col min="9948" max="9948" width="10.83203125" style="1" customWidth="1"/>
    <col min="9949" max="9949" width="11.33203125" style="1" customWidth="1"/>
    <col min="9950" max="10177" width="9.33203125" style="1"/>
    <col min="10178" max="10179" width="4.5" style="1" customWidth="1"/>
    <col min="10180" max="10180" width="8.6640625" style="1" customWidth="1"/>
    <col min="10181" max="10181" width="49.1640625" style="1" customWidth="1"/>
    <col min="10182" max="10182" width="3.1640625" style="1" customWidth="1"/>
    <col min="10183" max="10183" width="8.6640625" style="1" customWidth="1"/>
    <col min="10184" max="10184" width="10.5" style="1" customWidth="1"/>
    <col min="10185" max="10185" width="10.1640625" style="1" customWidth="1"/>
    <col min="10186" max="10186" width="11" style="1" customWidth="1"/>
    <col min="10187" max="10187" width="10.33203125" style="1" customWidth="1"/>
    <col min="10188" max="10188" width="9.83203125" style="1" customWidth="1"/>
    <col min="10189" max="10189" width="11.1640625" style="1" customWidth="1"/>
    <col min="10190" max="10190" width="10.5" style="1" customWidth="1"/>
    <col min="10191" max="10191" width="8.83203125" style="1" customWidth="1"/>
    <col min="10192" max="10192" width="10.33203125" style="1" customWidth="1"/>
    <col min="10193" max="10193" width="10.6640625" style="1" customWidth="1"/>
    <col min="10194" max="10194" width="12.5" style="1" customWidth="1"/>
    <col min="10195" max="10195" width="11.83203125" style="1" customWidth="1"/>
    <col min="10196" max="10196" width="11.1640625" style="1" customWidth="1"/>
    <col min="10197" max="10197" width="11" style="1" customWidth="1"/>
    <col min="10198" max="10198" width="11.1640625" style="1" customWidth="1"/>
    <col min="10199" max="10199" width="10.1640625" style="1" customWidth="1"/>
    <col min="10200" max="10200" width="11.83203125" style="1" customWidth="1"/>
    <col min="10201" max="10201" width="9.33203125" style="1"/>
    <col min="10202" max="10202" width="10.1640625" style="1" customWidth="1"/>
    <col min="10203" max="10203" width="10" style="1" customWidth="1"/>
    <col min="10204" max="10204" width="10.83203125" style="1" customWidth="1"/>
    <col min="10205" max="10205" width="11.33203125" style="1" customWidth="1"/>
    <col min="10206" max="10433" width="9.33203125" style="1"/>
    <col min="10434" max="10435" width="4.5" style="1" customWidth="1"/>
    <col min="10436" max="10436" width="8.6640625" style="1" customWidth="1"/>
    <col min="10437" max="10437" width="49.1640625" style="1" customWidth="1"/>
    <col min="10438" max="10438" width="3.1640625" style="1" customWidth="1"/>
    <col min="10439" max="10439" width="8.6640625" style="1" customWidth="1"/>
    <col min="10440" max="10440" width="10.5" style="1" customWidth="1"/>
    <col min="10441" max="10441" width="10.1640625" style="1" customWidth="1"/>
    <col min="10442" max="10442" width="11" style="1" customWidth="1"/>
    <col min="10443" max="10443" width="10.33203125" style="1" customWidth="1"/>
    <col min="10444" max="10444" width="9.83203125" style="1" customWidth="1"/>
    <col min="10445" max="10445" width="11.1640625" style="1" customWidth="1"/>
    <col min="10446" max="10446" width="10.5" style="1" customWidth="1"/>
    <col min="10447" max="10447" width="8.83203125" style="1" customWidth="1"/>
    <col min="10448" max="10448" width="10.33203125" style="1" customWidth="1"/>
    <col min="10449" max="10449" width="10.6640625" style="1" customWidth="1"/>
    <col min="10450" max="10450" width="12.5" style="1" customWidth="1"/>
    <col min="10451" max="10451" width="11.83203125" style="1" customWidth="1"/>
    <col min="10452" max="10452" width="11.1640625" style="1" customWidth="1"/>
    <col min="10453" max="10453" width="11" style="1" customWidth="1"/>
    <col min="10454" max="10454" width="11.1640625" style="1" customWidth="1"/>
    <col min="10455" max="10455" width="10.1640625" style="1" customWidth="1"/>
    <col min="10456" max="10456" width="11.83203125" style="1" customWidth="1"/>
    <col min="10457" max="10457" width="9.33203125" style="1"/>
    <col min="10458" max="10458" width="10.1640625" style="1" customWidth="1"/>
    <col min="10459" max="10459" width="10" style="1" customWidth="1"/>
    <col min="10460" max="10460" width="10.83203125" style="1" customWidth="1"/>
    <col min="10461" max="10461" width="11.33203125" style="1" customWidth="1"/>
    <col min="10462" max="10689" width="9.33203125" style="1"/>
    <col min="10690" max="10691" width="4.5" style="1" customWidth="1"/>
    <col min="10692" max="10692" width="8.6640625" style="1" customWidth="1"/>
    <col min="10693" max="10693" width="49.1640625" style="1" customWidth="1"/>
    <col min="10694" max="10694" width="3.1640625" style="1" customWidth="1"/>
    <col min="10695" max="10695" width="8.6640625" style="1" customWidth="1"/>
    <col min="10696" max="10696" width="10.5" style="1" customWidth="1"/>
    <col min="10697" max="10697" width="10.1640625" style="1" customWidth="1"/>
    <col min="10698" max="10698" width="11" style="1" customWidth="1"/>
    <col min="10699" max="10699" width="10.33203125" style="1" customWidth="1"/>
    <col min="10700" max="10700" width="9.83203125" style="1" customWidth="1"/>
    <col min="10701" max="10701" width="11.1640625" style="1" customWidth="1"/>
    <col min="10702" max="10702" width="10.5" style="1" customWidth="1"/>
    <col min="10703" max="10703" width="8.83203125" style="1" customWidth="1"/>
    <col min="10704" max="10704" width="10.33203125" style="1" customWidth="1"/>
    <col min="10705" max="10705" width="10.6640625" style="1" customWidth="1"/>
    <col min="10706" max="10706" width="12.5" style="1" customWidth="1"/>
    <col min="10707" max="10707" width="11.83203125" style="1" customWidth="1"/>
    <col min="10708" max="10708" width="11.1640625" style="1" customWidth="1"/>
    <col min="10709" max="10709" width="11" style="1" customWidth="1"/>
    <col min="10710" max="10710" width="11.1640625" style="1" customWidth="1"/>
    <col min="10711" max="10711" width="10.1640625" style="1" customWidth="1"/>
    <col min="10712" max="10712" width="11.83203125" style="1" customWidth="1"/>
    <col min="10713" max="10713" width="9.33203125" style="1"/>
    <col min="10714" max="10714" width="10.1640625" style="1" customWidth="1"/>
    <col min="10715" max="10715" width="10" style="1" customWidth="1"/>
    <col min="10716" max="10716" width="10.83203125" style="1" customWidth="1"/>
    <col min="10717" max="10717" width="11.33203125" style="1" customWidth="1"/>
    <col min="10718" max="10945" width="9.33203125" style="1"/>
    <col min="10946" max="10947" width="4.5" style="1" customWidth="1"/>
    <col min="10948" max="10948" width="8.6640625" style="1" customWidth="1"/>
    <col min="10949" max="10949" width="49.1640625" style="1" customWidth="1"/>
    <col min="10950" max="10950" width="3.1640625" style="1" customWidth="1"/>
    <col min="10951" max="10951" width="8.6640625" style="1" customWidth="1"/>
    <col min="10952" max="10952" width="10.5" style="1" customWidth="1"/>
    <col min="10953" max="10953" width="10.1640625" style="1" customWidth="1"/>
    <col min="10954" max="10954" width="11" style="1" customWidth="1"/>
    <col min="10955" max="10955" width="10.33203125" style="1" customWidth="1"/>
    <col min="10956" max="10956" width="9.83203125" style="1" customWidth="1"/>
    <col min="10957" max="10957" width="11.1640625" style="1" customWidth="1"/>
    <col min="10958" max="10958" width="10.5" style="1" customWidth="1"/>
    <col min="10959" max="10959" width="8.83203125" style="1" customWidth="1"/>
    <col min="10960" max="10960" width="10.33203125" style="1" customWidth="1"/>
    <col min="10961" max="10961" width="10.6640625" style="1" customWidth="1"/>
    <col min="10962" max="10962" width="12.5" style="1" customWidth="1"/>
    <col min="10963" max="10963" width="11.83203125" style="1" customWidth="1"/>
    <col min="10964" max="10964" width="11.1640625" style="1" customWidth="1"/>
    <col min="10965" max="10965" width="11" style="1" customWidth="1"/>
    <col min="10966" max="10966" width="11.1640625" style="1" customWidth="1"/>
    <col min="10967" max="10967" width="10.1640625" style="1" customWidth="1"/>
    <col min="10968" max="10968" width="11.83203125" style="1" customWidth="1"/>
    <col min="10969" max="10969" width="9.33203125" style="1"/>
    <col min="10970" max="10970" width="10.1640625" style="1" customWidth="1"/>
    <col min="10971" max="10971" width="10" style="1" customWidth="1"/>
    <col min="10972" max="10972" width="10.83203125" style="1" customWidth="1"/>
    <col min="10973" max="10973" width="11.33203125" style="1" customWidth="1"/>
    <col min="10974" max="11201" width="9.33203125" style="1"/>
    <col min="11202" max="11203" width="4.5" style="1" customWidth="1"/>
    <col min="11204" max="11204" width="8.6640625" style="1" customWidth="1"/>
    <col min="11205" max="11205" width="49.1640625" style="1" customWidth="1"/>
    <col min="11206" max="11206" width="3.1640625" style="1" customWidth="1"/>
    <col min="11207" max="11207" width="8.6640625" style="1" customWidth="1"/>
    <col min="11208" max="11208" width="10.5" style="1" customWidth="1"/>
    <col min="11209" max="11209" width="10.1640625" style="1" customWidth="1"/>
    <col min="11210" max="11210" width="11" style="1" customWidth="1"/>
    <col min="11211" max="11211" width="10.33203125" style="1" customWidth="1"/>
    <col min="11212" max="11212" width="9.83203125" style="1" customWidth="1"/>
    <col min="11213" max="11213" width="11.1640625" style="1" customWidth="1"/>
    <col min="11214" max="11214" width="10.5" style="1" customWidth="1"/>
    <col min="11215" max="11215" width="8.83203125" style="1" customWidth="1"/>
    <col min="11216" max="11216" width="10.33203125" style="1" customWidth="1"/>
    <col min="11217" max="11217" width="10.6640625" style="1" customWidth="1"/>
    <col min="11218" max="11218" width="12.5" style="1" customWidth="1"/>
    <col min="11219" max="11219" width="11.83203125" style="1" customWidth="1"/>
    <col min="11220" max="11220" width="11.1640625" style="1" customWidth="1"/>
    <col min="11221" max="11221" width="11" style="1" customWidth="1"/>
    <col min="11222" max="11222" width="11.1640625" style="1" customWidth="1"/>
    <col min="11223" max="11223" width="10.1640625" style="1" customWidth="1"/>
    <col min="11224" max="11224" width="11.83203125" style="1" customWidth="1"/>
    <col min="11225" max="11225" width="9.33203125" style="1"/>
    <col min="11226" max="11226" width="10.1640625" style="1" customWidth="1"/>
    <col min="11227" max="11227" width="10" style="1" customWidth="1"/>
    <col min="11228" max="11228" width="10.83203125" style="1" customWidth="1"/>
    <col min="11229" max="11229" width="11.33203125" style="1" customWidth="1"/>
    <col min="11230" max="11457" width="9.33203125" style="1"/>
    <col min="11458" max="11459" width="4.5" style="1" customWidth="1"/>
    <col min="11460" max="11460" width="8.6640625" style="1" customWidth="1"/>
    <col min="11461" max="11461" width="49.1640625" style="1" customWidth="1"/>
    <col min="11462" max="11462" width="3.1640625" style="1" customWidth="1"/>
    <col min="11463" max="11463" width="8.6640625" style="1" customWidth="1"/>
    <col min="11464" max="11464" width="10.5" style="1" customWidth="1"/>
    <col min="11465" max="11465" width="10.1640625" style="1" customWidth="1"/>
    <col min="11466" max="11466" width="11" style="1" customWidth="1"/>
    <col min="11467" max="11467" width="10.33203125" style="1" customWidth="1"/>
    <col min="11468" max="11468" width="9.83203125" style="1" customWidth="1"/>
    <col min="11469" max="11469" width="11.1640625" style="1" customWidth="1"/>
    <col min="11470" max="11470" width="10.5" style="1" customWidth="1"/>
    <col min="11471" max="11471" width="8.83203125" style="1" customWidth="1"/>
    <col min="11472" max="11472" width="10.33203125" style="1" customWidth="1"/>
    <col min="11473" max="11473" width="10.6640625" style="1" customWidth="1"/>
    <col min="11474" max="11474" width="12.5" style="1" customWidth="1"/>
    <col min="11475" max="11475" width="11.83203125" style="1" customWidth="1"/>
    <col min="11476" max="11476" width="11.1640625" style="1" customWidth="1"/>
    <col min="11477" max="11477" width="11" style="1" customWidth="1"/>
    <col min="11478" max="11478" width="11.1640625" style="1" customWidth="1"/>
    <col min="11479" max="11479" width="10.1640625" style="1" customWidth="1"/>
    <col min="11480" max="11480" width="11.83203125" style="1" customWidth="1"/>
    <col min="11481" max="11481" width="9.33203125" style="1"/>
    <col min="11482" max="11482" width="10.1640625" style="1" customWidth="1"/>
    <col min="11483" max="11483" width="10" style="1" customWidth="1"/>
    <col min="11484" max="11484" width="10.83203125" style="1" customWidth="1"/>
    <col min="11485" max="11485" width="11.33203125" style="1" customWidth="1"/>
    <col min="11486" max="11713" width="9.33203125" style="1"/>
    <col min="11714" max="11715" width="4.5" style="1" customWidth="1"/>
    <col min="11716" max="11716" width="8.6640625" style="1" customWidth="1"/>
    <col min="11717" max="11717" width="49.1640625" style="1" customWidth="1"/>
    <col min="11718" max="11718" width="3.1640625" style="1" customWidth="1"/>
    <col min="11719" max="11719" width="8.6640625" style="1" customWidth="1"/>
    <col min="11720" max="11720" width="10.5" style="1" customWidth="1"/>
    <col min="11721" max="11721" width="10.1640625" style="1" customWidth="1"/>
    <col min="11722" max="11722" width="11" style="1" customWidth="1"/>
    <col min="11723" max="11723" width="10.33203125" style="1" customWidth="1"/>
    <col min="11724" max="11724" width="9.83203125" style="1" customWidth="1"/>
    <col min="11725" max="11725" width="11.1640625" style="1" customWidth="1"/>
    <col min="11726" max="11726" width="10.5" style="1" customWidth="1"/>
    <col min="11727" max="11727" width="8.83203125" style="1" customWidth="1"/>
    <col min="11728" max="11728" width="10.33203125" style="1" customWidth="1"/>
    <col min="11729" max="11729" width="10.6640625" style="1" customWidth="1"/>
    <col min="11730" max="11730" width="12.5" style="1" customWidth="1"/>
    <col min="11731" max="11731" width="11.83203125" style="1" customWidth="1"/>
    <col min="11732" max="11732" width="11.1640625" style="1" customWidth="1"/>
    <col min="11733" max="11733" width="11" style="1" customWidth="1"/>
    <col min="11734" max="11734" width="11.1640625" style="1" customWidth="1"/>
    <col min="11735" max="11735" width="10.1640625" style="1" customWidth="1"/>
    <col min="11736" max="11736" width="11.83203125" style="1" customWidth="1"/>
    <col min="11737" max="11737" width="9.33203125" style="1"/>
    <col min="11738" max="11738" width="10.1640625" style="1" customWidth="1"/>
    <col min="11739" max="11739" width="10" style="1" customWidth="1"/>
    <col min="11740" max="11740" width="10.83203125" style="1" customWidth="1"/>
    <col min="11741" max="11741" width="11.33203125" style="1" customWidth="1"/>
    <col min="11742" max="11969" width="9.33203125" style="1"/>
    <col min="11970" max="11971" width="4.5" style="1" customWidth="1"/>
    <col min="11972" max="11972" width="8.6640625" style="1" customWidth="1"/>
    <col min="11973" max="11973" width="49.1640625" style="1" customWidth="1"/>
    <col min="11974" max="11974" width="3.1640625" style="1" customWidth="1"/>
    <col min="11975" max="11975" width="8.6640625" style="1" customWidth="1"/>
    <col min="11976" max="11976" width="10.5" style="1" customWidth="1"/>
    <col min="11977" max="11977" width="10.1640625" style="1" customWidth="1"/>
    <col min="11978" max="11978" width="11" style="1" customWidth="1"/>
    <col min="11979" max="11979" width="10.33203125" style="1" customWidth="1"/>
    <col min="11980" max="11980" width="9.83203125" style="1" customWidth="1"/>
    <col min="11981" max="11981" width="11.1640625" style="1" customWidth="1"/>
    <col min="11982" max="11982" width="10.5" style="1" customWidth="1"/>
    <col min="11983" max="11983" width="8.83203125" style="1" customWidth="1"/>
    <col min="11984" max="11984" width="10.33203125" style="1" customWidth="1"/>
    <col min="11985" max="11985" width="10.6640625" style="1" customWidth="1"/>
    <col min="11986" max="11986" width="12.5" style="1" customWidth="1"/>
    <col min="11987" max="11987" width="11.83203125" style="1" customWidth="1"/>
    <col min="11988" max="11988" width="11.1640625" style="1" customWidth="1"/>
    <col min="11989" max="11989" width="11" style="1" customWidth="1"/>
    <col min="11990" max="11990" width="11.1640625" style="1" customWidth="1"/>
    <col min="11991" max="11991" width="10.1640625" style="1" customWidth="1"/>
    <col min="11992" max="11992" width="11.83203125" style="1" customWidth="1"/>
    <col min="11993" max="11993" width="9.33203125" style="1"/>
    <col min="11994" max="11994" width="10.1640625" style="1" customWidth="1"/>
    <col min="11995" max="11995" width="10" style="1" customWidth="1"/>
    <col min="11996" max="11996" width="10.83203125" style="1" customWidth="1"/>
    <col min="11997" max="11997" width="11.33203125" style="1" customWidth="1"/>
    <col min="11998" max="12225" width="9.33203125" style="1"/>
    <col min="12226" max="12227" width="4.5" style="1" customWidth="1"/>
    <col min="12228" max="12228" width="8.6640625" style="1" customWidth="1"/>
    <col min="12229" max="12229" width="49.1640625" style="1" customWidth="1"/>
    <col min="12230" max="12230" width="3.1640625" style="1" customWidth="1"/>
    <col min="12231" max="12231" width="8.6640625" style="1" customWidth="1"/>
    <col min="12232" max="12232" width="10.5" style="1" customWidth="1"/>
    <col min="12233" max="12233" width="10.1640625" style="1" customWidth="1"/>
    <col min="12234" max="12234" width="11" style="1" customWidth="1"/>
    <col min="12235" max="12235" width="10.33203125" style="1" customWidth="1"/>
    <col min="12236" max="12236" width="9.83203125" style="1" customWidth="1"/>
    <col min="12237" max="12237" width="11.1640625" style="1" customWidth="1"/>
    <col min="12238" max="12238" width="10.5" style="1" customWidth="1"/>
    <col min="12239" max="12239" width="8.83203125" style="1" customWidth="1"/>
    <col min="12240" max="12240" width="10.33203125" style="1" customWidth="1"/>
    <col min="12241" max="12241" width="10.6640625" style="1" customWidth="1"/>
    <col min="12242" max="12242" width="12.5" style="1" customWidth="1"/>
    <col min="12243" max="12243" width="11.83203125" style="1" customWidth="1"/>
    <col min="12244" max="12244" width="11.1640625" style="1" customWidth="1"/>
    <col min="12245" max="12245" width="11" style="1" customWidth="1"/>
    <col min="12246" max="12246" width="11.1640625" style="1" customWidth="1"/>
    <col min="12247" max="12247" width="10.1640625" style="1" customWidth="1"/>
    <col min="12248" max="12248" width="11.83203125" style="1" customWidth="1"/>
    <col min="12249" max="12249" width="9.33203125" style="1"/>
    <col min="12250" max="12250" width="10.1640625" style="1" customWidth="1"/>
    <col min="12251" max="12251" width="10" style="1" customWidth="1"/>
    <col min="12252" max="12252" width="10.83203125" style="1" customWidth="1"/>
    <col min="12253" max="12253" width="11.33203125" style="1" customWidth="1"/>
    <col min="12254" max="12481" width="9.33203125" style="1"/>
    <col min="12482" max="12483" width="4.5" style="1" customWidth="1"/>
    <col min="12484" max="12484" width="8.6640625" style="1" customWidth="1"/>
    <col min="12485" max="12485" width="49.1640625" style="1" customWidth="1"/>
    <col min="12486" max="12486" width="3.1640625" style="1" customWidth="1"/>
    <col min="12487" max="12487" width="8.6640625" style="1" customWidth="1"/>
    <col min="12488" max="12488" width="10.5" style="1" customWidth="1"/>
    <col min="12489" max="12489" width="10.1640625" style="1" customWidth="1"/>
    <col min="12490" max="12490" width="11" style="1" customWidth="1"/>
    <col min="12491" max="12491" width="10.33203125" style="1" customWidth="1"/>
    <col min="12492" max="12492" width="9.83203125" style="1" customWidth="1"/>
    <col min="12493" max="12493" width="11.1640625" style="1" customWidth="1"/>
    <col min="12494" max="12494" width="10.5" style="1" customWidth="1"/>
    <col min="12495" max="12495" width="8.83203125" style="1" customWidth="1"/>
    <col min="12496" max="12496" width="10.33203125" style="1" customWidth="1"/>
    <col min="12497" max="12497" width="10.6640625" style="1" customWidth="1"/>
    <col min="12498" max="12498" width="12.5" style="1" customWidth="1"/>
    <col min="12499" max="12499" width="11.83203125" style="1" customWidth="1"/>
    <col min="12500" max="12500" width="11.1640625" style="1" customWidth="1"/>
    <col min="12501" max="12501" width="11" style="1" customWidth="1"/>
    <col min="12502" max="12502" width="11.1640625" style="1" customWidth="1"/>
    <col min="12503" max="12503" width="10.1640625" style="1" customWidth="1"/>
    <col min="12504" max="12504" width="11.83203125" style="1" customWidth="1"/>
    <col min="12505" max="12505" width="9.33203125" style="1"/>
    <col min="12506" max="12506" width="10.1640625" style="1" customWidth="1"/>
    <col min="12507" max="12507" width="10" style="1" customWidth="1"/>
    <col min="12508" max="12508" width="10.83203125" style="1" customWidth="1"/>
    <col min="12509" max="12509" width="11.33203125" style="1" customWidth="1"/>
    <col min="12510" max="12737" width="9.33203125" style="1"/>
    <col min="12738" max="12739" width="4.5" style="1" customWidth="1"/>
    <col min="12740" max="12740" width="8.6640625" style="1" customWidth="1"/>
    <col min="12741" max="12741" width="49.1640625" style="1" customWidth="1"/>
    <col min="12742" max="12742" width="3.1640625" style="1" customWidth="1"/>
    <col min="12743" max="12743" width="8.6640625" style="1" customWidth="1"/>
    <col min="12744" max="12744" width="10.5" style="1" customWidth="1"/>
    <col min="12745" max="12745" width="10.1640625" style="1" customWidth="1"/>
    <col min="12746" max="12746" width="11" style="1" customWidth="1"/>
    <col min="12747" max="12747" width="10.33203125" style="1" customWidth="1"/>
    <col min="12748" max="12748" width="9.83203125" style="1" customWidth="1"/>
    <col min="12749" max="12749" width="11.1640625" style="1" customWidth="1"/>
    <col min="12750" max="12750" width="10.5" style="1" customWidth="1"/>
    <col min="12751" max="12751" width="8.83203125" style="1" customWidth="1"/>
    <col min="12752" max="12752" width="10.33203125" style="1" customWidth="1"/>
    <col min="12753" max="12753" width="10.6640625" style="1" customWidth="1"/>
    <col min="12754" max="12754" width="12.5" style="1" customWidth="1"/>
    <col min="12755" max="12755" width="11.83203125" style="1" customWidth="1"/>
    <col min="12756" max="12756" width="11.1640625" style="1" customWidth="1"/>
    <col min="12757" max="12757" width="11" style="1" customWidth="1"/>
    <col min="12758" max="12758" width="11.1640625" style="1" customWidth="1"/>
    <col min="12759" max="12759" width="10.1640625" style="1" customWidth="1"/>
    <col min="12760" max="12760" width="11.83203125" style="1" customWidth="1"/>
    <col min="12761" max="12761" width="9.33203125" style="1"/>
    <col min="12762" max="12762" width="10.1640625" style="1" customWidth="1"/>
    <col min="12763" max="12763" width="10" style="1" customWidth="1"/>
    <col min="12764" max="12764" width="10.83203125" style="1" customWidth="1"/>
    <col min="12765" max="12765" width="11.33203125" style="1" customWidth="1"/>
    <col min="12766" max="12993" width="9.33203125" style="1"/>
    <col min="12994" max="12995" width="4.5" style="1" customWidth="1"/>
    <col min="12996" max="12996" width="8.6640625" style="1" customWidth="1"/>
    <col min="12997" max="12997" width="49.1640625" style="1" customWidth="1"/>
    <col min="12998" max="12998" width="3.1640625" style="1" customWidth="1"/>
    <col min="12999" max="12999" width="8.6640625" style="1" customWidth="1"/>
    <col min="13000" max="13000" width="10.5" style="1" customWidth="1"/>
    <col min="13001" max="13001" width="10.1640625" style="1" customWidth="1"/>
    <col min="13002" max="13002" width="11" style="1" customWidth="1"/>
    <col min="13003" max="13003" width="10.33203125" style="1" customWidth="1"/>
    <col min="13004" max="13004" width="9.83203125" style="1" customWidth="1"/>
    <col min="13005" max="13005" width="11.1640625" style="1" customWidth="1"/>
    <col min="13006" max="13006" width="10.5" style="1" customWidth="1"/>
    <col min="13007" max="13007" width="8.83203125" style="1" customWidth="1"/>
    <col min="13008" max="13008" width="10.33203125" style="1" customWidth="1"/>
    <col min="13009" max="13009" width="10.6640625" style="1" customWidth="1"/>
    <col min="13010" max="13010" width="12.5" style="1" customWidth="1"/>
    <col min="13011" max="13011" width="11.83203125" style="1" customWidth="1"/>
    <col min="13012" max="13012" width="11.1640625" style="1" customWidth="1"/>
    <col min="13013" max="13013" width="11" style="1" customWidth="1"/>
    <col min="13014" max="13014" width="11.1640625" style="1" customWidth="1"/>
    <col min="13015" max="13015" width="10.1640625" style="1" customWidth="1"/>
    <col min="13016" max="13016" width="11.83203125" style="1" customWidth="1"/>
    <col min="13017" max="13017" width="9.33203125" style="1"/>
    <col min="13018" max="13018" width="10.1640625" style="1" customWidth="1"/>
    <col min="13019" max="13019" width="10" style="1" customWidth="1"/>
    <col min="13020" max="13020" width="10.83203125" style="1" customWidth="1"/>
    <col min="13021" max="13021" width="11.33203125" style="1" customWidth="1"/>
    <col min="13022" max="13249" width="9.33203125" style="1"/>
    <col min="13250" max="13251" width="4.5" style="1" customWidth="1"/>
    <col min="13252" max="13252" width="8.6640625" style="1" customWidth="1"/>
    <col min="13253" max="13253" width="49.1640625" style="1" customWidth="1"/>
    <col min="13254" max="13254" width="3.1640625" style="1" customWidth="1"/>
    <col min="13255" max="13255" width="8.6640625" style="1" customWidth="1"/>
    <col min="13256" max="13256" width="10.5" style="1" customWidth="1"/>
    <col min="13257" max="13257" width="10.1640625" style="1" customWidth="1"/>
    <col min="13258" max="13258" width="11" style="1" customWidth="1"/>
    <col min="13259" max="13259" width="10.33203125" style="1" customWidth="1"/>
    <col min="13260" max="13260" width="9.83203125" style="1" customWidth="1"/>
    <col min="13261" max="13261" width="11.1640625" style="1" customWidth="1"/>
    <col min="13262" max="13262" width="10.5" style="1" customWidth="1"/>
    <col min="13263" max="13263" width="8.83203125" style="1" customWidth="1"/>
    <col min="13264" max="13264" width="10.33203125" style="1" customWidth="1"/>
    <col min="13265" max="13265" width="10.6640625" style="1" customWidth="1"/>
    <col min="13266" max="13266" width="12.5" style="1" customWidth="1"/>
    <col min="13267" max="13267" width="11.83203125" style="1" customWidth="1"/>
    <col min="13268" max="13268" width="11.1640625" style="1" customWidth="1"/>
    <col min="13269" max="13269" width="11" style="1" customWidth="1"/>
    <col min="13270" max="13270" width="11.1640625" style="1" customWidth="1"/>
    <col min="13271" max="13271" width="10.1640625" style="1" customWidth="1"/>
    <col min="13272" max="13272" width="11.83203125" style="1" customWidth="1"/>
    <col min="13273" max="13273" width="9.33203125" style="1"/>
    <col min="13274" max="13274" width="10.1640625" style="1" customWidth="1"/>
    <col min="13275" max="13275" width="10" style="1" customWidth="1"/>
    <col min="13276" max="13276" width="10.83203125" style="1" customWidth="1"/>
    <col min="13277" max="13277" width="11.33203125" style="1" customWidth="1"/>
    <col min="13278" max="13505" width="9.33203125" style="1"/>
    <col min="13506" max="13507" width="4.5" style="1" customWidth="1"/>
    <col min="13508" max="13508" width="8.6640625" style="1" customWidth="1"/>
    <col min="13509" max="13509" width="49.1640625" style="1" customWidth="1"/>
    <col min="13510" max="13510" width="3.1640625" style="1" customWidth="1"/>
    <col min="13511" max="13511" width="8.6640625" style="1" customWidth="1"/>
    <col min="13512" max="13512" width="10.5" style="1" customWidth="1"/>
    <col min="13513" max="13513" width="10.1640625" style="1" customWidth="1"/>
    <col min="13514" max="13514" width="11" style="1" customWidth="1"/>
    <col min="13515" max="13515" width="10.33203125" style="1" customWidth="1"/>
    <col min="13516" max="13516" width="9.83203125" style="1" customWidth="1"/>
    <col min="13517" max="13517" width="11.1640625" style="1" customWidth="1"/>
    <col min="13518" max="13518" width="10.5" style="1" customWidth="1"/>
    <col min="13519" max="13519" width="8.83203125" style="1" customWidth="1"/>
    <col min="13520" max="13520" width="10.33203125" style="1" customWidth="1"/>
    <col min="13521" max="13521" width="10.6640625" style="1" customWidth="1"/>
    <col min="13522" max="13522" width="12.5" style="1" customWidth="1"/>
    <col min="13523" max="13523" width="11.83203125" style="1" customWidth="1"/>
    <col min="13524" max="13524" width="11.1640625" style="1" customWidth="1"/>
    <col min="13525" max="13525" width="11" style="1" customWidth="1"/>
    <col min="13526" max="13526" width="11.1640625" style="1" customWidth="1"/>
    <col min="13527" max="13527" width="10.1640625" style="1" customWidth="1"/>
    <col min="13528" max="13528" width="11.83203125" style="1" customWidth="1"/>
    <col min="13529" max="13529" width="9.33203125" style="1"/>
    <col min="13530" max="13530" width="10.1640625" style="1" customWidth="1"/>
    <col min="13531" max="13531" width="10" style="1" customWidth="1"/>
    <col min="13532" max="13532" width="10.83203125" style="1" customWidth="1"/>
    <col min="13533" max="13533" width="11.33203125" style="1" customWidth="1"/>
    <col min="13534" max="13761" width="9.33203125" style="1"/>
    <col min="13762" max="13763" width="4.5" style="1" customWidth="1"/>
    <col min="13764" max="13764" width="8.6640625" style="1" customWidth="1"/>
    <col min="13765" max="13765" width="49.1640625" style="1" customWidth="1"/>
    <col min="13766" max="13766" width="3.1640625" style="1" customWidth="1"/>
    <col min="13767" max="13767" width="8.6640625" style="1" customWidth="1"/>
    <col min="13768" max="13768" width="10.5" style="1" customWidth="1"/>
    <col min="13769" max="13769" width="10.1640625" style="1" customWidth="1"/>
    <col min="13770" max="13770" width="11" style="1" customWidth="1"/>
    <col min="13771" max="13771" width="10.33203125" style="1" customWidth="1"/>
    <col min="13772" max="13772" width="9.83203125" style="1" customWidth="1"/>
    <col min="13773" max="13773" width="11.1640625" style="1" customWidth="1"/>
    <col min="13774" max="13774" width="10.5" style="1" customWidth="1"/>
    <col min="13775" max="13775" width="8.83203125" style="1" customWidth="1"/>
    <col min="13776" max="13776" width="10.33203125" style="1" customWidth="1"/>
    <col min="13777" max="13777" width="10.6640625" style="1" customWidth="1"/>
    <col min="13778" max="13778" width="12.5" style="1" customWidth="1"/>
    <col min="13779" max="13779" width="11.83203125" style="1" customWidth="1"/>
    <col min="13780" max="13780" width="11.1640625" style="1" customWidth="1"/>
    <col min="13781" max="13781" width="11" style="1" customWidth="1"/>
    <col min="13782" max="13782" width="11.1640625" style="1" customWidth="1"/>
    <col min="13783" max="13783" width="10.1640625" style="1" customWidth="1"/>
    <col min="13784" max="13784" width="11.83203125" style="1" customWidth="1"/>
    <col min="13785" max="13785" width="9.33203125" style="1"/>
    <col min="13786" max="13786" width="10.1640625" style="1" customWidth="1"/>
    <col min="13787" max="13787" width="10" style="1" customWidth="1"/>
    <col min="13788" max="13788" width="10.83203125" style="1" customWidth="1"/>
    <col min="13789" max="13789" width="11.33203125" style="1" customWidth="1"/>
    <col min="13790" max="14017" width="9.33203125" style="1"/>
    <col min="14018" max="14019" width="4.5" style="1" customWidth="1"/>
    <col min="14020" max="14020" width="8.6640625" style="1" customWidth="1"/>
    <col min="14021" max="14021" width="49.1640625" style="1" customWidth="1"/>
    <col min="14022" max="14022" width="3.1640625" style="1" customWidth="1"/>
    <col min="14023" max="14023" width="8.6640625" style="1" customWidth="1"/>
    <col min="14024" max="14024" width="10.5" style="1" customWidth="1"/>
    <col min="14025" max="14025" width="10.1640625" style="1" customWidth="1"/>
    <col min="14026" max="14026" width="11" style="1" customWidth="1"/>
    <col min="14027" max="14027" width="10.33203125" style="1" customWidth="1"/>
    <col min="14028" max="14028" width="9.83203125" style="1" customWidth="1"/>
    <col min="14029" max="14029" width="11.1640625" style="1" customWidth="1"/>
    <col min="14030" max="14030" width="10.5" style="1" customWidth="1"/>
    <col min="14031" max="14031" width="8.83203125" style="1" customWidth="1"/>
    <col min="14032" max="14032" width="10.33203125" style="1" customWidth="1"/>
    <col min="14033" max="14033" width="10.6640625" style="1" customWidth="1"/>
    <col min="14034" max="14034" width="12.5" style="1" customWidth="1"/>
    <col min="14035" max="14035" width="11.83203125" style="1" customWidth="1"/>
    <col min="14036" max="14036" width="11.1640625" style="1" customWidth="1"/>
    <col min="14037" max="14037" width="11" style="1" customWidth="1"/>
    <col min="14038" max="14038" width="11.1640625" style="1" customWidth="1"/>
    <col min="14039" max="14039" width="10.1640625" style="1" customWidth="1"/>
    <col min="14040" max="14040" width="11.83203125" style="1" customWidth="1"/>
    <col min="14041" max="14041" width="9.33203125" style="1"/>
    <col min="14042" max="14042" width="10.1640625" style="1" customWidth="1"/>
    <col min="14043" max="14043" width="10" style="1" customWidth="1"/>
    <col min="14044" max="14044" width="10.83203125" style="1" customWidth="1"/>
    <col min="14045" max="14045" width="11.33203125" style="1" customWidth="1"/>
    <col min="14046" max="14273" width="9.33203125" style="1"/>
    <col min="14274" max="14275" width="4.5" style="1" customWidth="1"/>
    <col min="14276" max="14276" width="8.6640625" style="1" customWidth="1"/>
    <col min="14277" max="14277" width="49.1640625" style="1" customWidth="1"/>
    <col min="14278" max="14278" width="3.1640625" style="1" customWidth="1"/>
    <col min="14279" max="14279" width="8.6640625" style="1" customWidth="1"/>
    <col min="14280" max="14280" width="10.5" style="1" customWidth="1"/>
    <col min="14281" max="14281" width="10.1640625" style="1" customWidth="1"/>
    <col min="14282" max="14282" width="11" style="1" customWidth="1"/>
    <col min="14283" max="14283" width="10.33203125" style="1" customWidth="1"/>
    <col min="14284" max="14284" width="9.83203125" style="1" customWidth="1"/>
    <col min="14285" max="14285" width="11.1640625" style="1" customWidth="1"/>
    <col min="14286" max="14286" width="10.5" style="1" customWidth="1"/>
    <col min="14287" max="14287" width="8.83203125" style="1" customWidth="1"/>
    <col min="14288" max="14288" width="10.33203125" style="1" customWidth="1"/>
    <col min="14289" max="14289" width="10.6640625" style="1" customWidth="1"/>
    <col min="14290" max="14290" width="12.5" style="1" customWidth="1"/>
    <col min="14291" max="14291" width="11.83203125" style="1" customWidth="1"/>
    <col min="14292" max="14292" width="11.1640625" style="1" customWidth="1"/>
    <col min="14293" max="14293" width="11" style="1" customWidth="1"/>
    <col min="14294" max="14294" width="11.1640625" style="1" customWidth="1"/>
    <col min="14295" max="14295" width="10.1640625" style="1" customWidth="1"/>
    <col min="14296" max="14296" width="11.83203125" style="1" customWidth="1"/>
    <col min="14297" max="14297" width="9.33203125" style="1"/>
    <col min="14298" max="14298" width="10.1640625" style="1" customWidth="1"/>
    <col min="14299" max="14299" width="10" style="1" customWidth="1"/>
    <col min="14300" max="14300" width="10.83203125" style="1" customWidth="1"/>
    <col min="14301" max="14301" width="11.33203125" style="1" customWidth="1"/>
    <col min="14302" max="14529" width="9.33203125" style="1"/>
    <col min="14530" max="14531" width="4.5" style="1" customWidth="1"/>
    <col min="14532" max="14532" width="8.6640625" style="1" customWidth="1"/>
    <col min="14533" max="14533" width="49.1640625" style="1" customWidth="1"/>
    <col min="14534" max="14534" width="3.1640625" style="1" customWidth="1"/>
    <col min="14535" max="14535" width="8.6640625" style="1" customWidth="1"/>
    <col min="14536" max="14536" width="10.5" style="1" customWidth="1"/>
    <col min="14537" max="14537" width="10.1640625" style="1" customWidth="1"/>
    <col min="14538" max="14538" width="11" style="1" customWidth="1"/>
    <col min="14539" max="14539" width="10.33203125" style="1" customWidth="1"/>
    <col min="14540" max="14540" width="9.83203125" style="1" customWidth="1"/>
    <col min="14541" max="14541" width="11.1640625" style="1" customWidth="1"/>
    <col min="14542" max="14542" width="10.5" style="1" customWidth="1"/>
    <col min="14543" max="14543" width="8.83203125" style="1" customWidth="1"/>
    <col min="14544" max="14544" width="10.33203125" style="1" customWidth="1"/>
    <col min="14545" max="14545" width="10.6640625" style="1" customWidth="1"/>
    <col min="14546" max="14546" width="12.5" style="1" customWidth="1"/>
    <col min="14547" max="14547" width="11.83203125" style="1" customWidth="1"/>
    <col min="14548" max="14548" width="11.1640625" style="1" customWidth="1"/>
    <col min="14549" max="14549" width="11" style="1" customWidth="1"/>
    <col min="14550" max="14550" width="11.1640625" style="1" customWidth="1"/>
    <col min="14551" max="14551" width="10.1640625" style="1" customWidth="1"/>
    <col min="14552" max="14552" width="11.83203125" style="1" customWidth="1"/>
    <col min="14553" max="14553" width="9.33203125" style="1"/>
    <col min="14554" max="14554" width="10.1640625" style="1" customWidth="1"/>
    <col min="14555" max="14555" width="10" style="1" customWidth="1"/>
    <col min="14556" max="14556" width="10.83203125" style="1" customWidth="1"/>
    <col min="14557" max="14557" width="11.33203125" style="1" customWidth="1"/>
    <col min="14558" max="14785" width="9.33203125" style="1"/>
    <col min="14786" max="14787" width="4.5" style="1" customWidth="1"/>
    <col min="14788" max="14788" width="8.6640625" style="1" customWidth="1"/>
    <col min="14789" max="14789" width="49.1640625" style="1" customWidth="1"/>
    <col min="14790" max="14790" width="3.1640625" style="1" customWidth="1"/>
    <col min="14791" max="14791" width="8.6640625" style="1" customWidth="1"/>
    <col min="14792" max="14792" width="10.5" style="1" customWidth="1"/>
    <col min="14793" max="14793" width="10.1640625" style="1" customWidth="1"/>
    <col min="14794" max="14794" width="11" style="1" customWidth="1"/>
    <col min="14795" max="14795" width="10.33203125" style="1" customWidth="1"/>
    <col min="14796" max="14796" width="9.83203125" style="1" customWidth="1"/>
    <col min="14797" max="14797" width="11.1640625" style="1" customWidth="1"/>
    <col min="14798" max="14798" width="10.5" style="1" customWidth="1"/>
    <col min="14799" max="14799" width="8.83203125" style="1" customWidth="1"/>
    <col min="14800" max="14800" width="10.33203125" style="1" customWidth="1"/>
    <col min="14801" max="14801" width="10.6640625" style="1" customWidth="1"/>
    <col min="14802" max="14802" width="12.5" style="1" customWidth="1"/>
    <col min="14803" max="14803" width="11.83203125" style="1" customWidth="1"/>
    <col min="14804" max="14804" width="11.1640625" style="1" customWidth="1"/>
    <col min="14805" max="14805" width="11" style="1" customWidth="1"/>
    <col min="14806" max="14806" width="11.1640625" style="1" customWidth="1"/>
    <col min="14807" max="14807" width="10.1640625" style="1" customWidth="1"/>
    <col min="14808" max="14808" width="11.83203125" style="1" customWidth="1"/>
    <col min="14809" max="14809" width="9.33203125" style="1"/>
    <col min="14810" max="14810" width="10.1640625" style="1" customWidth="1"/>
    <col min="14811" max="14811" width="10" style="1" customWidth="1"/>
    <col min="14812" max="14812" width="10.83203125" style="1" customWidth="1"/>
    <col min="14813" max="14813" width="11.33203125" style="1" customWidth="1"/>
    <col min="14814" max="15041" width="9.33203125" style="1"/>
    <col min="15042" max="15043" width="4.5" style="1" customWidth="1"/>
    <col min="15044" max="15044" width="8.6640625" style="1" customWidth="1"/>
    <col min="15045" max="15045" width="49.1640625" style="1" customWidth="1"/>
    <col min="15046" max="15046" width="3.1640625" style="1" customWidth="1"/>
    <col min="15047" max="15047" width="8.6640625" style="1" customWidth="1"/>
    <col min="15048" max="15048" width="10.5" style="1" customWidth="1"/>
    <col min="15049" max="15049" width="10.1640625" style="1" customWidth="1"/>
    <col min="15050" max="15050" width="11" style="1" customWidth="1"/>
    <col min="15051" max="15051" width="10.33203125" style="1" customWidth="1"/>
    <col min="15052" max="15052" width="9.83203125" style="1" customWidth="1"/>
    <col min="15053" max="15053" width="11.1640625" style="1" customWidth="1"/>
    <col min="15054" max="15054" width="10.5" style="1" customWidth="1"/>
    <col min="15055" max="15055" width="8.83203125" style="1" customWidth="1"/>
    <col min="15056" max="15056" width="10.33203125" style="1" customWidth="1"/>
    <col min="15057" max="15057" width="10.6640625" style="1" customWidth="1"/>
    <col min="15058" max="15058" width="12.5" style="1" customWidth="1"/>
    <col min="15059" max="15059" width="11.83203125" style="1" customWidth="1"/>
    <col min="15060" max="15060" width="11.1640625" style="1" customWidth="1"/>
    <col min="15061" max="15061" width="11" style="1" customWidth="1"/>
    <col min="15062" max="15062" width="11.1640625" style="1" customWidth="1"/>
    <col min="15063" max="15063" width="10.1640625" style="1" customWidth="1"/>
    <col min="15064" max="15064" width="11.83203125" style="1" customWidth="1"/>
    <col min="15065" max="15065" width="9.33203125" style="1"/>
    <col min="15066" max="15066" width="10.1640625" style="1" customWidth="1"/>
    <col min="15067" max="15067" width="10" style="1" customWidth="1"/>
    <col min="15068" max="15068" width="10.83203125" style="1" customWidth="1"/>
    <col min="15069" max="15069" width="11.33203125" style="1" customWidth="1"/>
    <col min="15070" max="15297" width="9.33203125" style="1"/>
    <col min="15298" max="15299" width="4.5" style="1" customWidth="1"/>
    <col min="15300" max="15300" width="8.6640625" style="1" customWidth="1"/>
    <col min="15301" max="15301" width="49.1640625" style="1" customWidth="1"/>
    <col min="15302" max="15302" width="3.1640625" style="1" customWidth="1"/>
    <col min="15303" max="15303" width="8.6640625" style="1" customWidth="1"/>
    <col min="15304" max="15304" width="10.5" style="1" customWidth="1"/>
    <col min="15305" max="15305" width="10.1640625" style="1" customWidth="1"/>
    <col min="15306" max="15306" width="11" style="1" customWidth="1"/>
    <col min="15307" max="15307" width="10.33203125" style="1" customWidth="1"/>
    <col min="15308" max="15308" width="9.83203125" style="1" customWidth="1"/>
    <col min="15309" max="15309" width="11.1640625" style="1" customWidth="1"/>
    <col min="15310" max="15310" width="10.5" style="1" customWidth="1"/>
    <col min="15311" max="15311" width="8.83203125" style="1" customWidth="1"/>
    <col min="15312" max="15312" width="10.33203125" style="1" customWidth="1"/>
    <col min="15313" max="15313" width="10.6640625" style="1" customWidth="1"/>
    <col min="15314" max="15314" width="12.5" style="1" customWidth="1"/>
    <col min="15315" max="15315" width="11.83203125" style="1" customWidth="1"/>
    <col min="15316" max="15316" width="11.1640625" style="1" customWidth="1"/>
    <col min="15317" max="15317" width="11" style="1" customWidth="1"/>
    <col min="15318" max="15318" width="11.1640625" style="1" customWidth="1"/>
    <col min="15319" max="15319" width="10.1640625" style="1" customWidth="1"/>
    <col min="15320" max="15320" width="11.83203125" style="1" customWidth="1"/>
    <col min="15321" max="15321" width="9.33203125" style="1"/>
    <col min="15322" max="15322" width="10.1640625" style="1" customWidth="1"/>
    <col min="15323" max="15323" width="10" style="1" customWidth="1"/>
    <col min="15324" max="15324" width="10.83203125" style="1" customWidth="1"/>
    <col min="15325" max="15325" width="11.33203125" style="1" customWidth="1"/>
    <col min="15326" max="15553" width="9.33203125" style="1"/>
    <col min="15554" max="15555" width="4.5" style="1" customWidth="1"/>
    <col min="15556" max="15556" width="8.6640625" style="1" customWidth="1"/>
    <col min="15557" max="15557" width="49.1640625" style="1" customWidth="1"/>
    <col min="15558" max="15558" width="3.1640625" style="1" customWidth="1"/>
    <col min="15559" max="15559" width="8.6640625" style="1" customWidth="1"/>
    <col min="15560" max="15560" width="10.5" style="1" customWidth="1"/>
    <col min="15561" max="15561" width="10.1640625" style="1" customWidth="1"/>
    <col min="15562" max="15562" width="11" style="1" customWidth="1"/>
    <col min="15563" max="15563" width="10.33203125" style="1" customWidth="1"/>
    <col min="15564" max="15564" width="9.83203125" style="1" customWidth="1"/>
    <col min="15565" max="15565" width="11.1640625" style="1" customWidth="1"/>
    <col min="15566" max="15566" width="10.5" style="1" customWidth="1"/>
    <col min="15567" max="15567" width="8.83203125" style="1" customWidth="1"/>
    <col min="15568" max="15568" width="10.33203125" style="1" customWidth="1"/>
    <col min="15569" max="15569" width="10.6640625" style="1" customWidth="1"/>
    <col min="15570" max="15570" width="12.5" style="1" customWidth="1"/>
    <col min="15571" max="15571" width="11.83203125" style="1" customWidth="1"/>
    <col min="15572" max="15572" width="11.1640625" style="1" customWidth="1"/>
    <col min="15573" max="15573" width="11" style="1" customWidth="1"/>
    <col min="15574" max="15574" width="11.1640625" style="1" customWidth="1"/>
    <col min="15575" max="15575" width="10.1640625" style="1" customWidth="1"/>
    <col min="15576" max="15576" width="11.83203125" style="1" customWidth="1"/>
    <col min="15577" max="15577" width="9.33203125" style="1"/>
    <col min="15578" max="15578" width="10.1640625" style="1" customWidth="1"/>
    <col min="15579" max="15579" width="10" style="1" customWidth="1"/>
    <col min="15580" max="15580" width="10.83203125" style="1" customWidth="1"/>
    <col min="15581" max="15581" width="11.33203125" style="1" customWidth="1"/>
    <col min="15582" max="15809" width="9.33203125" style="1"/>
    <col min="15810" max="15811" width="4.5" style="1" customWidth="1"/>
    <col min="15812" max="15812" width="8.6640625" style="1" customWidth="1"/>
    <col min="15813" max="15813" width="49.1640625" style="1" customWidth="1"/>
    <col min="15814" max="15814" width="3.1640625" style="1" customWidth="1"/>
    <col min="15815" max="15815" width="8.6640625" style="1" customWidth="1"/>
    <col min="15816" max="15816" width="10.5" style="1" customWidth="1"/>
    <col min="15817" max="15817" width="10.1640625" style="1" customWidth="1"/>
    <col min="15818" max="15818" width="11" style="1" customWidth="1"/>
    <col min="15819" max="15819" width="10.33203125" style="1" customWidth="1"/>
    <col min="15820" max="15820" width="9.83203125" style="1" customWidth="1"/>
    <col min="15821" max="15821" width="11.1640625" style="1" customWidth="1"/>
    <col min="15822" max="15822" width="10.5" style="1" customWidth="1"/>
    <col min="15823" max="15823" width="8.83203125" style="1" customWidth="1"/>
    <col min="15824" max="15824" width="10.33203125" style="1" customWidth="1"/>
    <col min="15825" max="15825" width="10.6640625" style="1" customWidth="1"/>
    <col min="15826" max="15826" width="12.5" style="1" customWidth="1"/>
    <col min="15827" max="15827" width="11.83203125" style="1" customWidth="1"/>
    <col min="15828" max="15828" width="11.1640625" style="1" customWidth="1"/>
    <col min="15829" max="15829" width="11" style="1" customWidth="1"/>
    <col min="15830" max="15830" width="11.1640625" style="1" customWidth="1"/>
    <col min="15831" max="15831" width="10.1640625" style="1" customWidth="1"/>
    <col min="15832" max="15832" width="11.83203125" style="1" customWidth="1"/>
    <col min="15833" max="15833" width="9.33203125" style="1"/>
    <col min="15834" max="15834" width="10.1640625" style="1" customWidth="1"/>
    <col min="15835" max="15835" width="10" style="1" customWidth="1"/>
    <col min="15836" max="15836" width="10.83203125" style="1" customWidth="1"/>
    <col min="15837" max="15837" width="11.33203125" style="1" customWidth="1"/>
    <col min="15838" max="16065" width="9.33203125" style="1"/>
    <col min="16066" max="16067" width="4.5" style="1" customWidth="1"/>
    <col min="16068" max="16068" width="8.6640625" style="1" customWidth="1"/>
    <col min="16069" max="16069" width="49.1640625" style="1" customWidth="1"/>
    <col min="16070" max="16070" width="3.1640625" style="1" customWidth="1"/>
    <col min="16071" max="16071" width="8.6640625" style="1" customWidth="1"/>
    <col min="16072" max="16072" width="10.5" style="1" customWidth="1"/>
    <col min="16073" max="16073" width="10.1640625" style="1" customWidth="1"/>
    <col min="16074" max="16074" width="11" style="1" customWidth="1"/>
    <col min="16075" max="16075" width="10.33203125" style="1" customWidth="1"/>
    <col min="16076" max="16076" width="9.83203125" style="1" customWidth="1"/>
    <col min="16077" max="16077" width="11.1640625" style="1" customWidth="1"/>
    <col min="16078" max="16078" width="10.5" style="1" customWidth="1"/>
    <col min="16079" max="16079" width="8.83203125" style="1" customWidth="1"/>
    <col min="16080" max="16080" width="10.33203125" style="1" customWidth="1"/>
    <col min="16081" max="16081" width="10.6640625" style="1" customWidth="1"/>
    <col min="16082" max="16082" width="12.5" style="1" customWidth="1"/>
    <col min="16083" max="16083" width="11.83203125" style="1" customWidth="1"/>
    <col min="16084" max="16084" width="11.1640625" style="1" customWidth="1"/>
    <col min="16085" max="16085" width="11" style="1" customWidth="1"/>
    <col min="16086" max="16086" width="11.1640625" style="1" customWidth="1"/>
    <col min="16087" max="16087" width="10.1640625" style="1" customWidth="1"/>
    <col min="16088" max="16088" width="11.83203125" style="1" customWidth="1"/>
    <col min="16089" max="16089" width="9.33203125" style="1"/>
    <col min="16090" max="16090" width="10.1640625" style="1" customWidth="1"/>
    <col min="16091" max="16091" width="10" style="1" customWidth="1"/>
    <col min="16092" max="16092" width="10.83203125" style="1" customWidth="1"/>
    <col min="16093" max="16093" width="11.33203125" style="1" customWidth="1"/>
    <col min="16094" max="16330" width="9.33203125" style="1"/>
    <col min="16331" max="16384" width="8.83203125" style="1" customWidth="1"/>
  </cols>
  <sheetData>
    <row r="1" spans="1:17" ht="25.5" customHeight="1" x14ac:dyDescent="0.2">
      <c r="A1" s="842" t="s">
        <v>80</v>
      </c>
      <c r="B1" s="842" t="s">
        <v>81</v>
      </c>
      <c r="C1" s="842" t="s">
        <v>16</v>
      </c>
      <c r="D1" s="844" t="s">
        <v>111</v>
      </c>
      <c r="E1" s="846" t="s">
        <v>222</v>
      </c>
      <c r="F1" s="840" t="s">
        <v>164</v>
      </c>
      <c r="G1" s="831" t="s">
        <v>116</v>
      </c>
      <c r="H1" s="831"/>
      <c r="I1" s="831"/>
      <c r="J1" s="831"/>
      <c r="K1" s="831"/>
      <c r="L1" s="831"/>
      <c r="M1" s="831"/>
      <c r="N1" s="832"/>
      <c r="O1" s="833" t="s">
        <v>115</v>
      </c>
      <c r="P1" s="832"/>
      <c r="Q1" s="834" t="s">
        <v>223</v>
      </c>
    </row>
    <row r="2" spans="1:17" ht="57.95" customHeight="1" thickBot="1" x14ac:dyDescent="0.25">
      <c r="A2" s="843"/>
      <c r="B2" s="843"/>
      <c r="C2" s="843"/>
      <c r="D2" s="845"/>
      <c r="E2" s="847"/>
      <c r="F2" s="841"/>
      <c r="G2" s="33" t="s">
        <v>100</v>
      </c>
      <c r="H2" s="23" t="s">
        <v>152</v>
      </c>
      <c r="I2" s="23" t="s">
        <v>146</v>
      </c>
      <c r="J2" s="23" t="s">
        <v>15</v>
      </c>
      <c r="K2" s="23" t="s">
        <v>21</v>
      </c>
      <c r="L2" s="23" t="s">
        <v>19</v>
      </c>
      <c r="M2" s="23" t="s">
        <v>18</v>
      </c>
      <c r="N2" s="23" t="s">
        <v>68</v>
      </c>
      <c r="O2" s="24" t="s">
        <v>120</v>
      </c>
      <c r="P2" s="25" t="s">
        <v>122</v>
      </c>
      <c r="Q2" s="835"/>
    </row>
    <row r="3" spans="1:17" ht="16.5" customHeight="1" x14ac:dyDescent="0.2">
      <c r="A3" s="26">
        <v>1</v>
      </c>
      <c r="B3" s="129"/>
      <c r="C3" s="492"/>
      <c r="D3" s="496" t="s">
        <v>224</v>
      </c>
      <c r="E3" s="439"/>
      <c r="F3" s="438"/>
      <c r="G3" s="571"/>
      <c r="H3" s="571"/>
      <c r="I3" s="571"/>
      <c r="J3" s="571"/>
      <c r="K3" s="571"/>
      <c r="L3" s="571"/>
      <c r="M3" s="571"/>
      <c r="N3" s="571"/>
      <c r="O3" s="571"/>
      <c r="P3" s="571"/>
      <c r="Q3" s="572"/>
    </row>
    <row r="4" spans="1:17" ht="12.75" customHeight="1" x14ac:dyDescent="0.2">
      <c r="A4" s="129">
        <v>1</v>
      </c>
      <c r="B4" s="129">
        <v>1</v>
      </c>
      <c r="C4" s="493"/>
      <c r="D4" s="496" t="s">
        <v>3</v>
      </c>
      <c r="E4" s="439"/>
      <c r="F4" s="438"/>
      <c r="G4" s="571"/>
      <c r="H4" s="571"/>
      <c r="I4" s="571"/>
      <c r="J4" s="571"/>
      <c r="K4" s="571"/>
      <c r="L4" s="571"/>
      <c r="M4" s="571"/>
      <c r="N4" s="571"/>
      <c r="O4" s="571"/>
      <c r="P4" s="571"/>
      <c r="Q4" s="571"/>
    </row>
    <row r="5" spans="1:17" ht="12" customHeight="1" x14ac:dyDescent="0.2">
      <c r="A5" s="131">
        <v>1</v>
      </c>
      <c r="B5" s="131">
        <v>12</v>
      </c>
      <c r="C5" s="494"/>
      <c r="D5" s="431" t="s">
        <v>90</v>
      </c>
      <c r="E5" s="497"/>
      <c r="F5" s="457"/>
      <c r="G5" s="573"/>
      <c r="H5" s="573"/>
      <c r="I5" s="573"/>
      <c r="J5" s="573"/>
      <c r="K5" s="573"/>
      <c r="L5" s="573"/>
      <c r="M5" s="573"/>
      <c r="N5" s="573"/>
      <c r="O5" s="573"/>
      <c r="P5" s="573"/>
      <c r="Q5" s="573"/>
    </row>
    <row r="6" spans="1:17" ht="14.45" customHeight="1" x14ac:dyDescent="0.2">
      <c r="A6" s="131"/>
      <c r="B6" s="131"/>
      <c r="C6" s="494"/>
      <c r="D6" s="444" t="s">
        <v>225</v>
      </c>
      <c r="E6" s="498"/>
      <c r="F6" s="499"/>
      <c r="G6" s="573"/>
      <c r="H6" s="573"/>
      <c r="I6" s="573"/>
      <c r="J6" s="573"/>
      <c r="K6" s="573"/>
      <c r="L6" s="573"/>
      <c r="M6" s="573"/>
      <c r="N6" s="573"/>
      <c r="O6" s="573"/>
      <c r="P6" s="573"/>
      <c r="Q6" s="573"/>
    </row>
    <row r="7" spans="1:17" ht="14.45" customHeight="1" x14ac:dyDescent="0.2">
      <c r="A7" s="131"/>
      <c r="B7" s="131"/>
      <c r="C7" s="494"/>
      <c r="D7" s="443" t="s">
        <v>226</v>
      </c>
      <c r="E7" s="477">
        <v>2</v>
      </c>
      <c r="F7" s="443">
        <v>121103</v>
      </c>
      <c r="G7" s="573">
        <f>0+táj2!G7</f>
        <v>0</v>
      </c>
      <c r="H7" s="573">
        <f>0+táj2!H7</f>
        <v>0</v>
      </c>
      <c r="I7" s="573">
        <f>0+táj2!I7</f>
        <v>0</v>
      </c>
      <c r="J7" s="573">
        <f>5000000+táj2!J7</f>
        <v>5000000</v>
      </c>
      <c r="K7" s="573">
        <f>0+táj2!K7</f>
        <v>0</v>
      </c>
      <c r="L7" s="573">
        <f>0+táj2!L7</f>
        <v>0</v>
      </c>
      <c r="M7" s="573">
        <f>0+táj2!M7</f>
        <v>0</v>
      </c>
      <c r="N7" s="573">
        <f>0+táj2!N7</f>
        <v>0</v>
      </c>
      <c r="O7" s="573">
        <f>0+táj2!O7</f>
        <v>0</v>
      </c>
      <c r="P7" s="573">
        <f>0+táj2!P7</f>
        <v>0</v>
      </c>
      <c r="Q7" s="573">
        <f>SUM(G7:P7)</f>
        <v>5000000</v>
      </c>
    </row>
    <row r="8" spans="1:17" ht="14.45" customHeight="1" x14ac:dyDescent="0.2">
      <c r="A8" s="131"/>
      <c r="B8" s="131"/>
      <c r="C8" s="494"/>
      <c r="D8" s="443" t="s">
        <v>227</v>
      </c>
      <c r="E8" s="477"/>
      <c r="F8" s="443"/>
      <c r="G8" s="573"/>
      <c r="H8" s="573"/>
      <c r="I8" s="573"/>
      <c r="J8" s="573"/>
      <c r="K8" s="573"/>
      <c r="L8" s="573"/>
      <c r="M8" s="573"/>
      <c r="N8" s="573"/>
      <c r="O8" s="573"/>
      <c r="P8" s="573"/>
      <c r="Q8" s="573"/>
    </row>
    <row r="9" spans="1:17" ht="14.45" customHeight="1" x14ac:dyDescent="0.2">
      <c r="A9" s="131"/>
      <c r="B9" s="131"/>
      <c r="C9" s="494"/>
      <c r="D9" s="443" t="s">
        <v>228</v>
      </c>
      <c r="E9" s="477">
        <v>2</v>
      </c>
      <c r="F9" s="443">
        <v>121104</v>
      </c>
      <c r="G9" s="573">
        <f>0+táj2!G9</f>
        <v>0</v>
      </c>
      <c r="H9" s="573">
        <f>0+táj2!H9</f>
        <v>0</v>
      </c>
      <c r="I9" s="573">
        <f>0+táj2!I9</f>
        <v>0</v>
      </c>
      <c r="J9" s="573">
        <f>20000000+táj2!J9</f>
        <v>20000000</v>
      </c>
      <c r="K9" s="573">
        <f>0+táj2!K9</f>
        <v>0</v>
      </c>
      <c r="L9" s="573">
        <f>0+táj2!L9</f>
        <v>0</v>
      </c>
      <c r="M9" s="573">
        <f>0+táj2!M9</f>
        <v>0</v>
      </c>
      <c r="N9" s="573">
        <f>0+táj2!N9</f>
        <v>0</v>
      </c>
      <c r="O9" s="573">
        <f>0+táj2!O9</f>
        <v>0</v>
      </c>
      <c r="P9" s="573">
        <f>0+táj2!P9</f>
        <v>0</v>
      </c>
      <c r="Q9" s="573">
        <f>SUM(G9:P9)</f>
        <v>20000000</v>
      </c>
    </row>
    <row r="10" spans="1:17" ht="25.9" customHeight="1" x14ac:dyDescent="0.2">
      <c r="A10" s="131"/>
      <c r="B10" s="131"/>
      <c r="C10" s="494"/>
      <c r="D10" s="500" t="s">
        <v>229</v>
      </c>
      <c r="E10" s="477">
        <v>2</v>
      </c>
      <c r="F10" s="443">
        <v>121117</v>
      </c>
      <c r="G10" s="573">
        <f>0+táj2!G10</f>
        <v>0</v>
      </c>
      <c r="H10" s="573">
        <f>0+táj2!H10</f>
        <v>0</v>
      </c>
      <c r="I10" s="573">
        <f>0+táj2!I10</f>
        <v>0</v>
      </c>
      <c r="J10" s="573">
        <f>9000000+táj2!J10</f>
        <v>9000000</v>
      </c>
      <c r="K10" s="573">
        <f>0+táj2!K10</f>
        <v>0</v>
      </c>
      <c r="L10" s="573">
        <f>0+táj2!L10</f>
        <v>0</v>
      </c>
      <c r="M10" s="573">
        <f>0+táj2!M10</f>
        <v>0</v>
      </c>
      <c r="N10" s="573">
        <f>0+táj2!N10</f>
        <v>0</v>
      </c>
      <c r="O10" s="573">
        <f>0+táj2!O10</f>
        <v>0</v>
      </c>
      <c r="P10" s="573">
        <f>0+táj2!P10</f>
        <v>0</v>
      </c>
      <c r="Q10" s="573">
        <f>SUM(G10:P10)</f>
        <v>9000000</v>
      </c>
    </row>
    <row r="11" spans="1:17" ht="15" customHeight="1" x14ac:dyDescent="0.2">
      <c r="A11" s="131"/>
      <c r="B11" s="131"/>
      <c r="C11" s="494"/>
      <c r="D11" s="500" t="s">
        <v>557</v>
      </c>
      <c r="E11" s="477">
        <v>2</v>
      </c>
      <c r="F11" s="443">
        <v>121202</v>
      </c>
      <c r="G11" s="573">
        <f>0+táj2!G11</f>
        <v>0</v>
      </c>
      <c r="H11" s="573">
        <f>0+táj2!H11</f>
        <v>0</v>
      </c>
      <c r="I11" s="573">
        <f>0+táj2!I11</f>
        <v>0</v>
      </c>
      <c r="J11" s="573">
        <f>3900000+táj2!J11</f>
        <v>3900000</v>
      </c>
      <c r="K11" s="573">
        <f>0+táj2!K11</f>
        <v>0</v>
      </c>
      <c r="L11" s="573">
        <f>0+táj2!L11</f>
        <v>0</v>
      </c>
      <c r="M11" s="573">
        <f>0+táj2!M11</f>
        <v>0</v>
      </c>
      <c r="N11" s="573">
        <f>0+táj2!N11</f>
        <v>0</v>
      </c>
      <c r="O11" s="573">
        <f>0+táj2!O11</f>
        <v>0</v>
      </c>
      <c r="P11" s="573">
        <f>0+táj2!P11</f>
        <v>0</v>
      </c>
      <c r="Q11" s="573">
        <f t="shared" ref="Q11:Q12" si="0">SUM(G11:P11)</f>
        <v>3900000</v>
      </c>
    </row>
    <row r="12" spans="1:17" ht="15" customHeight="1" x14ac:dyDescent="0.2">
      <c r="A12" s="131"/>
      <c r="B12" s="131"/>
      <c r="C12" s="494"/>
      <c r="D12" s="500" t="s">
        <v>699</v>
      </c>
      <c r="E12" s="477">
        <v>2</v>
      </c>
      <c r="F12" s="443">
        <v>121205</v>
      </c>
      <c r="G12" s="573">
        <f>0+táj2!G12</f>
        <v>0</v>
      </c>
      <c r="H12" s="573">
        <f>0+táj2!H12</f>
        <v>0</v>
      </c>
      <c r="I12" s="573">
        <f>0+táj2!I12</f>
        <v>0</v>
      </c>
      <c r="J12" s="573">
        <f>3900000+táj2!J12</f>
        <v>3900000</v>
      </c>
      <c r="K12" s="573">
        <f>0+táj2!K12</f>
        <v>0</v>
      </c>
      <c r="L12" s="573">
        <f>0+táj2!L12</f>
        <v>0</v>
      </c>
      <c r="M12" s="573">
        <f>0+táj2!M12</f>
        <v>0</v>
      </c>
      <c r="N12" s="573">
        <f>0+táj2!N12</f>
        <v>0</v>
      </c>
      <c r="O12" s="573">
        <f>0+táj2!O12</f>
        <v>0</v>
      </c>
      <c r="P12" s="573">
        <f>0+táj2!P12</f>
        <v>0</v>
      </c>
      <c r="Q12" s="573">
        <f t="shared" si="0"/>
        <v>3900000</v>
      </c>
    </row>
    <row r="13" spans="1:17" ht="14.45" customHeight="1" x14ac:dyDescent="0.2">
      <c r="A13" s="131"/>
      <c r="B13" s="131"/>
      <c r="C13" s="494"/>
      <c r="D13" s="443" t="s">
        <v>230</v>
      </c>
      <c r="E13" s="477"/>
      <c r="F13" s="443"/>
      <c r="G13" s="573"/>
      <c r="H13" s="573"/>
      <c r="I13" s="573"/>
      <c r="J13" s="573"/>
      <c r="K13" s="573"/>
      <c r="L13" s="573"/>
      <c r="M13" s="573"/>
      <c r="N13" s="573"/>
      <c r="O13" s="573"/>
      <c r="P13" s="573"/>
      <c r="Q13" s="573"/>
    </row>
    <row r="14" spans="1:17" ht="14.45" customHeight="1" x14ac:dyDescent="0.2">
      <c r="A14" s="131"/>
      <c r="B14" s="131"/>
      <c r="C14" s="494"/>
      <c r="D14" s="443" t="s">
        <v>231</v>
      </c>
      <c r="E14" s="477">
        <v>2</v>
      </c>
      <c r="F14" s="443">
        <v>121111</v>
      </c>
      <c r="G14" s="573">
        <f>0+táj2!G14</f>
        <v>0</v>
      </c>
      <c r="H14" s="573">
        <f>0+táj2!H14</f>
        <v>0</v>
      </c>
      <c r="I14" s="573">
        <f>0+táj2!I14</f>
        <v>0</v>
      </c>
      <c r="J14" s="573">
        <f>2000000+táj2!J14</f>
        <v>2000000</v>
      </c>
      <c r="K14" s="573">
        <f>0+táj2!K14</f>
        <v>0</v>
      </c>
      <c r="L14" s="573">
        <f>0+táj2!L14</f>
        <v>0</v>
      </c>
      <c r="M14" s="573">
        <f>0+táj2!M14</f>
        <v>0</v>
      </c>
      <c r="N14" s="573">
        <f>0+táj2!N14</f>
        <v>0</v>
      </c>
      <c r="O14" s="573">
        <f>0+táj2!O14</f>
        <v>0</v>
      </c>
      <c r="P14" s="573">
        <f>0+táj2!P14</f>
        <v>0</v>
      </c>
      <c r="Q14" s="573">
        <f t="shared" ref="Q14:Q18" si="1">SUM(G14:P14)</f>
        <v>2000000</v>
      </c>
    </row>
    <row r="15" spans="1:17" ht="14.45" customHeight="1" x14ac:dyDescent="0.2">
      <c r="A15" s="131"/>
      <c r="B15" s="131"/>
      <c r="C15" s="494"/>
      <c r="D15" s="443" t="s">
        <v>232</v>
      </c>
      <c r="E15" s="477">
        <v>2</v>
      </c>
      <c r="F15" s="439">
        <v>121127</v>
      </c>
      <c r="G15" s="573">
        <f>0+táj2!G15</f>
        <v>0</v>
      </c>
      <c r="H15" s="573">
        <f>0+táj2!H15</f>
        <v>0</v>
      </c>
      <c r="I15" s="573">
        <f>0+táj2!I15</f>
        <v>0</v>
      </c>
      <c r="J15" s="573">
        <f>4000000+táj2!J15</f>
        <v>4000000</v>
      </c>
      <c r="K15" s="573">
        <f>0+táj2!K15</f>
        <v>0</v>
      </c>
      <c r="L15" s="573">
        <f>0+táj2!L15</f>
        <v>0</v>
      </c>
      <c r="M15" s="573">
        <f>0+táj2!M15</f>
        <v>0</v>
      </c>
      <c r="N15" s="573">
        <f>0+táj2!N15</f>
        <v>0</v>
      </c>
      <c r="O15" s="573">
        <f>0+táj2!O15</f>
        <v>0</v>
      </c>
      <c r="P15" s="573">
        <f>0+táj2!P15</f>
        <v>0</v>
      </c>
      <c r="Q15" s="573">
        <f t="shared" si="1"/>
        <v>4000000</v>
      </c>
    </row>
    <row r="16" spans="1:17" ht="14.45" customHeight="1" x14ac:dyDescent="0.2">
      <c r="A16" s="131"/>
      <c r="B16" s="131"/>
      <c r="C16" s="494"/>
      <c r="D16" s="443" t="s">
        <v>577</v>
      </c>
      <c r="E16" s="477">
        <v>2</v>
      </c>
      <c r="F16" s="439">
        <v>121115</v>
      </c>
      <c r="G16" s="573">
        <f>0+táj2!G16</f>
        <v>0</v>
      </c>
      <c r="H16" s="573">
        <f>0+táj2!H16</f>
        <v>0</v>
      </c>
      <c r="I16" s="573">
        <f>0+táj2!I16</f>
        <v>0</v>
      </c>
      <c r="J16" s="573">
        <f>1650000+táj2!J16</f>
        <v>1650000</v>
      </c>
      <c r="K16" s="573">
        <f>0+táj2!K16</f>
        <v>0</v>
      </c>
      <c r="L16" s="573">
        <f>0+táj2!L16</f>
        <v>0</v>
      </c>
      <c r="M16" s="573">
        <f>0+táj2!M16</f>
        <v>0</v>
      </c>
      <c r="N16" s="573">
        <f>0+táj2!N16</f>
        <v>0</v>
      </c>
      <c r="O16" s="573">
        <f>0+táj2!O16</f>
        <v>0</v>
      </c>
      <c r="P16" s="573">
        <f>0+táj2!P16</f>
        <v>0</v>
      </c>
      <c r="Q16" s="573">
        <f t="shared" si="1"/>
        <v>1650000</v>
      </c>
    </row>
    <row r="17" spans="1:17" ht="14.45" customHeight="1" x14ac:dyDescent="0.2">
      <c r="A17" s="131"/>
      <c r="B17" s="131"/>
      <c r="C17" s="494"/>
      <c r="D17" s="443" t="s">
        <v>233</v>
      </c>
      <c r="E17" s="477">
        <v>2</v>
      </c>
      <c r="F17" s="439">
        <v>121129</v>
      </c>
      <c r="G17" s="573">
        <f>0+táj2!G17</f>
        <v>0</v>
      </c>
      <c r="H17" s="573">
        <f>0+táj2!H17</f>
        <v>0</v>
      </c>
      <c r="I17" s="573">
        <f>0+táj2!I17</f>
        <v>0</v>
      </c>
      <c r="J17" s="573">
        <f>3600000+táj2!J17</f>
        <v>3600000</v>
      </c>
      <c r="K17" s="573">
        <f>0+táj2!K17</f>
        <v>0</v>
      </c>
      <c r="L17" s="573">
        <f>0+táj2!L17</f>
        <v>0</v>
      </c>
      <c r="M17" s="573">
        <f>0+táj2!M17</f>
        <v>0</v>
      </c>
      <c r="N17" s="573">
        <f>0+táj2!N17</f>
        <v>0</v>
      </c>
      <c r="O17" s="573">
        <f>0+táj2!O17</f>
        <v>0</v>
      </c>
      <c r="P17" s="573">
        <f>0+táj2!P17</f>
        <v>0</v>
      </c>
      <c r="Q17" s="573">
        <f t="shared" si="1"/>
        <v>3600000</v>
      </c>
    </row>
    <row r="18" spans="1:17" ht="14.45" customHeight="1" x14ac:dyDescent="0.2">
      <c r="A18" s="131"/>
      <c r="B18" s="131"/>
      <c r="C18" s="494"/>
      <c r="D18" s="443" t="s">
        <v>743</v>
      </c>
      <c r="E18" s="477">
        <v>2</v>
      </c>
      <c r="F18" s="439">
        <v>121106</v>
      </c>
      <c r="G18" s="573">
        <f>0+táj2!G18</f>
        <v>0</v>
      </c>
      <c r="H18" s="573">
        <f>0+táj2!H18</f>
        <v>0</v>
      </c>
      <c r="I18" s="573">
        <f>0+táj2!I18</f>
        <v>0</v>
      </c>
      <c r="J18" s="573">
        <f>4500000+táj2!J18</f>
        <v>4500000</v>
      </c>
      <c r="K18" s="573">
        <f>0+táj2!K18</f>
        <v>0</v>
      </c>
      <c r="L18" s="573">
        <f>0+táj2!L18</f>
        <v>0</v>
      </c>
      <c r="M18" s="573">
        <f>0+táj2!M18</f>
        <v>0</v>
      </c>
      <c r="N18" s="573">
        <f>0+táj2!N18</f>
        <v>0</v>
      </c>
      <c r="O18" s="573">
        <f>0+táj2!O18</f>
        <v>0</v>
      </c>
      <c r="P18" s="573">
        <f>0+táj2!P18</f>
        <v>0</v>
      </c>
      <c r="Q18" s="574">
        <f t="shared" si="1"/>
        <v>4500000</v>
      </c>
    </row>
    <row r="19" spans="1:17" ht="22.5" customHeight="1" x14ac:dyDescent="0.2">
      <c r="A19" s="134"/>
      <c r="B19" s="134"/>
      <c r="C19" s="494"/>
      <c r="D19" s="501" t="s">
        <v>234</v>
      </c>
      <c r="E19" s="477"/>
      <c r="F19" s="477"/>
      <c r="G19" s="573"/>
      <c r="H19" s="574"/>
      <c r="I19" s="574"/>
      <c r="J19" s="574"/>
      <c r="K19" s="574"/>
      <c r="L19" s="574"/>
      <c r="M19" s="574"/>
      <c r="N19" s="574"/>
      <c r="O19" s="574"/>
      <c r="P19" s="574"/>
      <c r="Q19" s="574"/>
    </row>
    <row r="20" spans="1:17" ht="14.45" customHeight="1" x14ac:dyDescent="0.2">
      <c r="A20" s="134"/>
      <c r="B20" s="134"/>
      <c r="C20" s="494"/>
      <c r="D20" s="443" t="s">
        <v>235</v>
      </c>
      <c r="E20" s="477">
        <v>2</v>
      </c>
      <c r="F20" s="439">
        <v>121131</v>
      </c>
      <c r="G20" s="573">
        <f>0+táj2!G20</f>
        <v>0</v>
      </c>
      <c r="H20" s="573">
        <f>0+táj2!H20</f>
        <v>0</v>
      </c>
      <c r="I20" s="573">
        <f>0+táj2!I20</f>
        <v>0</v>
      </c>
      <c r="J20" s="573">
        <f>2000000+táj2!J20</f>
        <v>2000000</v>
      </c>
      <c r="K20" s="573">
        <f>0+táj2!K20</f>
        <v>0</v>
      </c>
      <c r="L20" s="573">
        <f>0+táj2!L20</f>
        <v>0</v>
      </c>
      <c r="M20" s="573">
        <f>0+táj2!M20</f>
        <v>0</v>
      </c>
      <c r="N20" s="573">
        <f>0+táj2!N20</f>
        <v>0</v>
      </c>
      <c r="O20" s="573">
        <f>0+táj2!O20</f>
        <v>0</v>
      </c>
      <c r="P20" s="573">
        <f>0+táj2!P20</f>
        <v>0</v>
      </c>
      <c r="Q20" s="574">
        <f>SUM(G20:P20)</f>
        <v>2000000</v>
      </c>
    </row>
    <row r="21" spans="1:17" ht="14.45" customHeight="1" x14ac:dyDescent="0.2">
      <c r="A21" s="134"/>
      <c r="B21" s="134"/>
      <c r="C21" s="494"/>
      <c r="D21" s="443" t="s">
        <v>227</v>
      </c>
      <c r="E21" s="477"/>
      <c r="F21" s="477"/>
      <c r="G21" s="573"/>
      <c r="H21" s="574"/>
      <c r="I21" s="574"/>
      <c r="J21" s="574"/>
      <c r="K21" s="574"/>
      <c r="L21" s="574"/>
      <c r="M21" s="574"/>
      <c r="N21" s="574"/>
      <c r="O21" s="574"/>
      <c r="P21" s="574"/>
      <c r="Q21" s="574"/>
    </row>
    <row r="22" spans="1:17" ht="14.45" customHeight="1" x14ac:dyDescent="0.2">
      <c r="A22" s="134"/>
      <c r="B22" s="134"/>
      <c r="C22" s="494"/>
      <c r="D22" s="443" t="s">
        <v>236</v>
      </c>
      <c r="E22" s="477">
        <v>2</v>
      </c>
      <c r="F22" s="439">
        <v>121130</v>
      </c>
      <c r="G22" s="573">
        <f>0+táj2!G22</f>
        <v>0</v>
      </c>
      <c r="H22" s="573">
        <f>0+táj2!H22</f>
        <v>0</v>
      </c>
      <c r="I22" s="573">
        <f>0+táj2!I22</f>
        <v>0</v>
      </c>
      <c r="J22" s="573">
        <f>1000000+táj2!J22</f>
        <v>1000000</v>
      </c>
      <c r="K22" s="573">
        <f>0+táj2!K22</f>
        <v>0</v>
      </c>
      <c r="L22" s="573">
        <f>0+táj2!L22</f>
        <v>0</v>
      </c>
      <c r="M22" s="573">
        <f>0+táj2!M22</f>
        <v>0</v>
      </c>
      <c r="N22" s="573">
        <f>0+táj2!N22</f>
        <v>0</v>
      </c>
      <c r="O22" s="573">
        <f>0+táj2!O22</f>
        <v>0</v>
      </c>
      <c r="P22" s="573">
        <f>0+táj2!P22</f>
        <v>0</v>
      </c>
      <c r="Q22" s="574">
        <f>SUM(G22:P22)</f>
        <v>1000000</v>
      </c>
    </row>
    <row r="23" spans="1:17" ht="14.45" customHeight="1" x14ac:dyDescent="0.2">
      <c r="A23" s="134"/>
      <c r="B23" s="134"/>
      <c r="C23" s="494"/>
      <c r="D23" s="443" t="s">
        <v>230</v>
      </c>
      <c r="E23" s="477"/>
      <c r="F23" s="477"/>
      <c r="G23" s="573"/>
      <c r="H23" s="574"/>
      <c r="I23" s="574"/>
      <c r="J23" s="574"/>
      <c r="K23" s="574"/>
      <c r="L23" s="574"/>
      <c r="M23" s="574"/>
      <c r="N23" s="574"/>
      <c r="O23" s="574"/>
      <c r="P23" s="574"/>
      <c r="Q23" s="574"/>
    </row>
    <row r="24" spans="1:17" ht="14.45" customHeight="1" x14ac:dyDescent="0.2">
      <c r="A24" s="134"/>
      <c r="B24" s="134"/>
      <c r="C24" s="494"/>
      <c r="D24" s="443" t="s">
        <v>237</v>
      </c>
      <c r="E24" s="477">
        <v>1</v>
      </c>
      <c r="F24" s="443">
        <v>121204</v>
      </c>
      <c r="G24" s="573">
        <f>0+táj2!G24</f>
        <v>0</v>
      </c>
      <c r="H24" s="573">
        <f>0+táj2!H24</f>
        <v>0</v>
      </c>
      <c r="I24" s="573">
        <f>0+táj2!I24</f>
        <v>0</v>
      </c>
      <c r="J24" s="573">
        <f>15116000+táj2!J24</f>
        <v>15116000</v>
      </c>
      <c r="K24" s="573">
        <f>0+táj2!K24</f>
        <v>0</v>
      </c>
      <c r="L24" s="573">
        <f>0+táj2!L24</f>
        <v>0</v>
      </c>
      <c r="M24" s="573">
        <f>0+táj2!M24</f>
        <v>0</v>
      </c>
      <c r="N24" s="573">
        <f>0+táj2!N24</f>
        <v>0</v>
      </c>
      <c r="O24" s="573">
        <f>0+táj2!O24</f>
        <v>0</v>
      </c>
      <c r="P24" s="573">
        <f>0+táj2!P24</f>
        <v>0</v>
      </c>
      <c r="Q24" s="574">
        <f>SUM(G24:P24)</f>
        <v>15116000</v>
      </c>
    </row>
    <row r="25" spans="1:17" ht="14.45" customHeight="1" x14ac:dyDescent="0.2">
      <c r="A25" s="134"/>
      <c r="B25" s="134"/>
      <c r="C25" s="494"/>
      <c r="D25" s="443" t="s">
        <v>744</v>
      </c>
      <c r="E25" s="477">
        <v>1</v>
      </c>
      <c r="F25" s="443">
        <v>121132</v>
      </c>
      <c r="G25" s="573">
        <f>0+táj2!G25</f>
        <v>0</v>
      </c>
      <c r="H25" s="573">
        <f>0+táj2!H25</f>
        <v>0</v>
      </c>
      <c r="I25" s="573">
        <f>0+táj2!I25</f>
        <v>0</v>
      </c>
      <c r="J25" s="573">
        <f>1500000+táj2!J25</f>
        <v>1500000</v>
      </c>
      <c r="K25" s="573">
        <f>0+táj2!K25</f>
        <v>0</v>
      </c>
      <c r="L25" s="573">
        <f>0+táj2!L25</f>
        <v>0</v>
      </c>
      <c r="M25" s="573">
        <f>0+táj2!M25</f>
        <v>0</v>
      </c>
      <c r="N25" s="573">
        <f>0+táj2!N25</f>
        <v>0</v>
      </c>
      <c r="O25" s="573">
        <f>0+táj2!O25</f>
        <v>0</v>
      </c>
      <c r="P25" s="573">
        <f>0+táj2!P25</f>
        <v>0</v>
      </c>
      <c r="Q25" s="574">
        <f>SUM(G25:P25)</f>
        <v>1500000</v>
      </c>
    </row>
    <row r="26" spans="1:17" ht="14.45" customHeight="1" x14ac:dyDescent="0.2">
      <c r="A26" s="134"/>
      <c r="B26" s="134"/>
      <c r="C26" s="494"/>
      <c r="D26" s="502" t="s">
        <v>238</v>
      </c>
      <c r="E26" s="477">
        <v>1</v>
      </c>
      <c r="F26" s="443">
        <v>121203</v>
      </c>
      <c r="G26" s="573">
        <f>0+táj2!G26</f>
        <v>0</v>
      </c>
      <c r="H26" s="573">
        <f>0+táj2!H26</f>
        <v>0</v>
      </c>
      <c r="I26" s="573">
        <f>1200000+táj2!I26</f>
        <v>1200000</v>
      </c>
      <c r="J26" s="573">
        <f>4700000+táj2!J26</f>
        <v>4700000</v>
      </c>
      <c r="K26" s="573">
        <f>600000+táj2!K26</f>
        <v>600000</v>
      </c>
      <c r="L26" s="573">
        <f>0+táj2!L26</f>
        <v>0</v>
      </c>
      <c r="M26" s="573">
        <f>0+táj2!M26</f>
        <v>0</v>
      </c>
      <c r="N26" s="573">
        <f>0+táj2!N26</f>
        <v>0</v>
      </c>
      <c r="O26" s="573">
        <f>0+táj2!O26</f>
        <v>0</v>
      </c>
      <c r="P26" s="573">
        <f>0+táj2!P26</f>
        <v>0</v>
      </c>
      <c r="Q26" s="574">
        <f>SUM(G26:P26)</f>
        <v>6500000</v>
      </c>
    </row>
    <row r="27" spans="1:17" ht="14.45" customHeight="1" x14ac:dyDescent="0.2">
      <c r="A27" s="134"/>
      <c r="B27" s="134"/>
      <c r="C27" s="494"/>
      <c r="D27" s="439" t="s">
        <v>239</v>
      </c>
      <c r="E27" s="477"/>
      <c r="F27" s="439"/>
      <c r="G27" s="573"/>
      <c r="H27" s="574"/>
      <c r="I27" s="574"/>
      <c r="J27" s="574"/>
      <c r="K27" s="574"/>
      <c r="L27" s="574"/>
      <c r="M27" s="574"/>
      <c r="N27" s="574"/>
      <c r="O27" s="574"/>
      <c r="P27" s="574"/>
      <c r="Q27" s="574"/>
    </row>
    <row r="28" spans="1:17" ht="14.45" customHeight="1" x14ac:dyDescent="0.2">
      <c r="A28" s="134"/>
      <c r="B28" s="134"/>
      <c r="C28" s="494"/>
      <c r="D28" s="443" t="s">
        <v>240</v>
      </c>
      <c r="E28" s="477">
        <v>2</v>
      </c>
      <c r="F28" s="443">
        <v>121504</v>
      </c>
      <c r="G28" s="573">
        <f>0+táj2!G28</f>
        <v>0</v>
      </c>
      <c r="H28" s="573">
        <f>0+táj2!H28</f>
        <v>0</v>
      </c>
      <c r="I28" s="573">
        <f>0+táj2!I28</f>
        <v>0</v>
      </c>
      <c r="J28" s="573">
        <f>0+táj2!J28</f>
        <v>0</v>
      </c>
      <c r="K28" s="573">
        <f>6500000+táj2!K28</f>
        <v>6500000</v>
      </c>
      <c r="L28" s="573">
        <f>0+táj2!L28</f>
        <v>0</v>
      </c>
      <c r="M28" s="573">
        <f>0+táj2!M28</f>
        <v>0</v>
      </c>
      <c r="N28" s="573">
        <f>0+táj2!N28</f>
        <v>0</v>
      </c>
      <c r="O28" s="573">
        <f>0+táj2!O28</f>
        <v>0</v>
      </c>
      <c r="P28" s="573">
        <f>0+táj2!P28</f>
        <v>0</v>
      </c>
      <c r="Q28" s="574">
        <f>SUM(G28:P28)</f>
        <v>6500000</v>
      </c>
    </row>
    <row r="29" spans="1:17" ht="12.6" customHeight="1" x14ac:dyDescent="0.2">
      <c r="A29" s="45"/>
      <c r="B29" s="135"/>
      <c r="C29" s="495"/>
      <c r="D29" s="439" t="s">
        <v>241</v>
      </c>
      <c r="E29" s="439"/>
      <c r="F29" s="439"/>
      <c r="G29" s="573"/>
      <c r="H29" s="574"/>
      <c r="I29" s="574"/>
      <c r="J29" s="574"/>
      <c r="K29" s="574"/>
      <c r="L29" s="574"/>
      <c r="M29" s="574"/>
      <c r="N29" s="574"/>
      <c r="O29" s="574"/>
      <c r="P29" s="574"/>
      <c r="Q29" s="574"/>
    </row>
    <row r="30" spans="1:17" ht="12.6" customHeight="1" x14ac:dyDescent="0.2">
      <c r="A30" s="45"/>
      <c r="B30" s="45"/>
      <c r="C30" s="466"/>
      <c r="D30" s="439" t="s">
        <v>242</v>
      </c>
      <c r="E30" s="439">
        <v>1</v>
      </c>
      <c r="F30" s="439">
        <v>121301</v>
      </c>
      <c r="G30" s="573">
        <f>0+táj2!G30</f>
        <v>0</v>
      </c>
      <c r="H30" s="573">
        <f>0+táj2!H30</f>
        <v>0</v>
      </c>
      <c r="I30" s="573">
        <f>0+táj2!I30</f>
        <v>0</v>
      </c>
      <c r="J30" s="573">
        <f>0+táj2!J30</f>
        <v>0</v>
      </c>
      <c r="K30" s="573">
        <f>0+táj2!K30</f>
        <v>0</v>
      </c>
      <c r="L30" s="573">
        <f>0+táj2!L30</f>
        <v>0</v>
      </c>
      <c r="M30" s="573">
        <f>0+táj2!M30</f>
        <v>0</v>
      </c>
      <c r="N30" s="573">
        <f>0+táj2!N30</f>
        <v>0</v>
      </c>
      <c r="O30" s="573">
        <f>0+táj2!O30</f>
        <v>0</v>
      </c>
      <c r="P30" s="573">
        <f>0+táj2!P30</f>
        <v>0</v>
      </c>
      <c r="Q30" s="574">
        <f>SUM(G30:P30)</f>
        <v>0</v>
      </c>
    </row>
    <row r="31" spans="1:17" ht="12.6" customHeight="1" x14ac:dyDescent="0.2">
      <c r="A31" s="45"/>
      <c r="B31" s="45"/>
      <c r="C31" s="466"/>
      <c r="D31" s="450" t="s">
        <v>165</v>
      </c>
      <c r="E31" s="477"/>
      <c r="F31" s="439"/>
      <c r="G31" s="573"/>
      <c r="H31" s="574"/>
      <c r="I31" s="574"/>
      <c r="J31" s="574"/>
      <c r="K31" s="574"/>
      <c r="L31" s="574"/>
      <c r="M31" s="574"/>
      <c r="N31" s="574"/>
      <c r="O31" s="574"/>
      <c r="P31" s="574"/>
      <c r="Q31" s="574"/>
    </row>
    <row r="32" spans="1:17" ht="12.6" customHeight="1" x14ac:dyDescent="0.2">
      <c r="A32" s="45"/>
      <c r="B32" s="45"/>
      <c r="C32" s="466"/>
      <c r="D32" s="503" t="s">
        <v>243</v>
      </c>
      <c r="E32" s="477">
        <v>2</v>
      </c>
      <c r="F32" s="439">
        <v>221902</v>
      </c>
      <c r="G32" s="573">
        <f>0+táj2!G32</f>
        <v>0</v>
      </c>
      <c r="H32" s="573">
        <f>0+táj2!H32</f>
        <v>0</v>
      </c>
      <c r="I32" s="573">
        <f>59497002+táj2!I32</f>
        <v>59497002</v>
      </c>
      <c r="J32" s="573">
        <f>0+táj2!J32</f>
        <v>0</v>
      </c>
      <c r="K32" s="573">
        <f>0+táj2!K32</f>
        <v>0</v>
      </c>
      <c r="L32" s="573">
        <f>0+táj2!L32</f>
        <v>0</v>
      </c>
      <c r="M32" s="573">
        <f>0+táj2!M32</f>
        <v>0</v>
      </c>
      <c r="N32" s="573">
        <f>0+táj2!N32</f>
        <v>0</v>
      </c>
      <c r="O32" s="573">
        <f>0+táj2!O32</f>
        <v>0</v>
      </c>
      <c r="P32" s="573">
        <f>0+táj2!P32</f>
        <v>0</v>
      </c>
      <c r="Q32" s="574">
        <f>SUM(G32:P32)</f>
        <v>59497002</v>
      </c>
    </row>
    <row r="33" spans="1:17" ht="12.6" customHeight="1" x14ac:dyDescent="0.2">
      <c r="A33" s="45"/>
      <c r="B33" s="45"/>
      <c r="C33" s="466"/>
      <c r="D33" s="504" t="s">
        <v>244</v>
      </c>
      <c r="E33" s="477">
        <v>2</v>
      </c>
      <c r="F33" s="439" t="s">
        <v>245</v>
      </c>
      <c r="G33" s="573">
        <f>0+táj2!G33</f>
        <v>0</v>
      </c>
      <c r="H33" s="573">
        <f>4200000+táj2!H33</f>
        <v>4200000</v>
      </c>
      <c r="I33" s="573">
        <f>544450+táj2!I33</f>
        <v>544450</v>
      </c>
      <c r="J33" s="573">
        <f>11429051+táj2!J33</f>
        <v>11429051</v>
      </c>
      <c r="K33" s="573">
        <f>0+táj2!K33</f>
        <v>0</v>
      </c>
      <c r="L33" s="573">
        <f>0+táj2!L33</f>
        <v>0</v>
      </c>
      <c r="M33" s="573">
        <f>0+táj2!M33</f>
        <v>0</v>
      </c>
      <c r="N33" s="573">
        <f>0+táj2!N33</f>
        <v>0</v>
      </c>
      <c r="O33" s="573">
        <f>0+táj2!O33</f>
        <v>0</v>
      </c>
      <c r="P33" s="573">
        <f>0+táj2!P33</f>
        <v>0</v>
      </c>
      <c r="Q33" s="574">
        <f>SUM(G33:P33)</f>
        <v>16173501</v>
      </c>
    </row>
    <row r="34" spans="1:17" ht="12.6" customHeight="1" x14ac:dyDescent="0.2">
      <c r="A34" s="45"/>
      <c r="B34" s="45"/>
      <c r="C34" s="466"/>
      <c r="D34" s="504" t="s">
        <v>803</v>
      </c>
      <c r="E34" s="477">
        <v>1</v>
      </c>
      <c r="F34" s="439">
        <v>121118</v>
      </c>
      <c r="G34" s="573">
        <f>0+táj2!G34</f>
        <v>0</v>
      </c>
      <c r="H34" s="573">
        <f>0+táj2!H34</f>
        <v>0</v>
      </c>
      <c r="I34" s="573">
        <f>0+táj2!I34</f>
        <v>0</v>
      </c>
      <c r="J34" s="573">
        <f>0+táj2!J34</f>
        <v>0</v>
      </c>
      <c r="K34" s="573">
        <f>0+táj2!K34</f>
        <v>0</v>
      </c>
      <c r="L34" s="573">
        <f>0+táj2!L34</f>
        <v>0</v>
      </c>
      <c r="M34" s="573">
        <f>0+táj2!M34</f>
        <v>0</v>
      </c>
      <c r="N34" s="573">
        <f>0+táj2!N34</f>
        <v>0</v>
      </c>
      <c r="O34" s="573">
        <f>0+táj2!O34</f>
        <v>0</v>
      </c>
      <c r="P34" s="573">
        <f>0+táj2!P34</f>
        <v>0</v>
      </c>
      <c r="Q34" s="574">
        <f t="shared" ref="Q34:Q35" si="2">SUM(G34:P34)</f>
        <v>0</v>
      </c>
    </row>
    <row r="35" spans="1:17" ht="12.6" customHeight="1" x14ac:dyDescent="0.2">
      <c r="A35" s="45"/>
      <c r="B35" s="45"/>
      <c r="C35" s="466"/>
      <c r="D35" s="502" t="s">
        <v>509</v>
      </c>
      <c r="E35" s="477">
        <v>1</v>
      </c>
      <c r="F35" s="439">
        <v>121515</v>
      </c>
      <c r="G35" s="573">
        <f>0+táj2!G35</f>
        <v>0</v>
      </c>
      <c r="H35" s="573">
        <f>0+táj2!H35</f>
        <v>0</v>
      </c>
      <c r="I35" s="573">
        <f>200000+táj2!I35</f>
        <v>200000</v>
      </c>
      <c r="J35" s="573">
        <f>0+táj2!J35</f>
        <v>0</v>
      </c>
      <c r="K35" s="573">
        <f>0+táj2!K35</f>
        <v>0</v>
      </c>
      <c r="L35" s="573">
        <f>0+táj2!L35</f>
        <v>0</v>
      </c>
      <c r="M35" s="573">
        <f>0+táj2!M35</f>
        <v>0</v>
      </c>
      <c r="N35" s="573">
        <f>0+táj2!N35</f>
        <v>0</v>
      </c>
      <c r="O35" s="573">
        <f>0+táj2!O35</f>
        <v>0</v>
      </c>
      <c r="P35" s="573">
        <f>0+táj2!P35</f>
        <v>0</v>
      </c>
      <c r="Q35" s="574">
        <f t="shared" si="2"/>
        <v>200000</v>
      </c>
    </row>
    <row r="36" spans="1:17" ht="14.1" customHeight="1" x14ac:dyDescent="0.2">
      <c r="A36" s="45"/>
      <c r="B36" s="45"/>
      <c r="C36" s="466"/>
      <c r="D36" s="444" t="s">
        <v>246</v>
      </c>
      <c r="E36" s="477"/>
      <c r="F36" s="439"/>
      <c r="G36" s="573"/>
      <c r="H36" s="574"/>
      <c r="I36" s="574"/>
      <c r="J36" s="574"/>
      <c r="K36" s="574"/>
      <c r="L36" s="574"/>
      <c r="M36" s="574"/>
      <c r="N36" s="574"/>
      <c r="O36" s="574"/>
      <c r="P36" s="574"/>
      <c r="Q36" s="574"/>
    </row>
    <row r="37" spans="1:17" ht="14.1" customHeight="1" x14ac:dyDescent="0.2">
      <c r="A37" s="45"/>
      <c r="B37" s="45"/>
      <c r="C37" s="466"/>
      <c r="D37" s="439" t="s">
        <v>247</v>
      </c>
      <c r="E37" s="477">
        <v>1</v>
      </c>
      <c r="F37" s="439">
        <v>121601</v>
      </c>
      <c r="G37" s="573">
        <f>0+táj2!G37</f>
        <v>0</v>
      </c>
      <c r="H37" s="573">
        <f>0+táj2!H37</f>
        <v>0</v>
      </c>
      <c r="I37" s="573">
        <f>100000+táj2!I37</f>
        <v>100000</v>
      </c>
      <c r="J37" s="573">
        <f>0+táj2!J37</f>
        <v>0</v>
      </c>
      <c r="K37" s="573">
        <f>0+táj2!K37</f>
        <v>0</v>
      </c>
      <c r="L37" s="573">
        <f>0+táj2!L37</f>
        <v>0</v>
      </c>
      <c r="M37" s="573">
        <f>0+táj2!M37</f>
        <v>0</v>
      </c>
      <c r="N37" s="573">
        <f>0+táj2!N37</f>
        <v>0</v>
      </c>
      <c r="O37" s="573">
        <f>0+táj2!O37</f>
        <v>0</v>
      </c>
      <c r="P37" s="573">
        <f>0+táj2!P37</f>
        <v>0</v>
      </c>
      <c r="Q37" s="574">
        <f>SUM(G37:P37)</f>
        <v>100000</v>
      </c>
    </row>
    <row r="38" spans="1:17" ht="14.1" customHeight="1" x14ac:dyDescent="0.2">
      <c r="A38" s="45"/>
      <c r="B38" s="45"/>
      <c r="C38" s="466"/>
      <c r="D38" s="460" t="s">
        <v>248</v>
      </c>
      <c r="E38" s="477"/>
      <c r="F38" s="477"/>
      <c r="G38" s="573"/>
      <c r="H38" s="574"/>
      <c r="I38" s="574"/>
      <c r="J38" s="574"/>
      <c r="K38" s="574"/>
      <c r="L38" s="574"/>
      <c r="M38" s="574"/>
      <c r="N38" s="574"/>
      <c r="O38" s="574"/>
      <c r="P38" s="574"/>
      <c r="Q38" s="574"/>
    </row>
    <row r="39" spans="1:17" ht="14.1" customHeight="1" x14ac:dyDescent="0.2">
      <c r="A39" s="45"/>
      <c r="B39" s="45"/>
      <c r="C39" s="466"/>
      <c r="D39" s="439" t="s">
        <v>249</v>
      </c>
      <c r="E39" s="477">
        <v>2</v>
      </c>
      <c r="F39" s="439">
        <v>121517</v>
      </c>
      <c r="G39" s="573">
        <f>0+táj2!G39</f>
        <v>0</v>
      </c>
      <c r="H39" s="573">
        <f>0+táj2!H39</f>
        <v>0</v>
      </c>
      <c r="I39" s="573">
        <f>0+táj2!I39</f>
        <v>0</v>
      </c>
      <c r="J39" s="573">
        <f>0+táj2!J39</f>
        <v>0</v>
      </c>
      <c r="K39" s="573">
        <f>5000000+táj2!K39</f>
        <v>5000000</v>
      </c>
      <c r="L39" s="573">
        <f>0+táj2!L39</f>
        <v>0</v>
      </c>
      <c r="M39" s="573">
        <f>0+táj2!M39</f>
        <v>0</v>
      </c>
      <c r="N39" s="573">
        <f>0+táj2!N39</f>
        <v>0</v>
      </c>
      <c r="O39" s="573">
        <f>0+táj2!O39</f>
        <v>0</v>
      </c>
      <c r="P39" s="573">
        <f>0+táj2!P39</f>
        <v>0</v>
      </c>
      <c r="Q39" s="574">
        <f>SUM(G39:P39)</f>
        <v>5000000</v>
      </c>
    </row>
    <row r="40" spans="1:17" ht="18" customHeight="1" x14ac:dyDescent="0.2">
      <c r="A40" s="136"/>
      <c r="B40" s="136"/>
      <c r="C40" s="137"/>
      <c r="D40" s="138" t="s">
        <v>745</v>
      </c>
      <c r="E40" s="139"/>
      <c r="F40" s="68"/>
      <c r="G40" s="575">
        <f t="shared" ref="G40:Q40" si="3">SUM(G7:G39)</f>
        <v>0</v>
      </c>
      <c r="H40" s="575">
        <f t="shared" si="3"/>
        <v>4200000</v>
      </c>
      <c r="I40" s="575">
        <f t="shared" si="3"/>
        <v>61541452</v>
      </c>
      <c r="J40" s="575">
        <f t="shared" si="3"/>
        <v>93295051</v>
      </c>
      <c r="K40" s="575">
        <f t="shared" si="3"/>
        <v>12100000</v>
      </c>
      <c r="L40" s="575">
        <f t="shared" si="3"/>
        <v>0</v>
      </c>
      <c r="M40" s="575">
        <f t="shared" si="3"/>
        <v>0</v>
      </c>
      <c r="N40" s="575">
        <f t="shared" si="3"/>
        <v>0</v>
      </c>
      <c r="O40" s="575">
        <f t="shared" si="3"/>
        <v>0</v>
      </c>
      <c r="P40" s="575">
        <f t="shared" si="3"/>
        <v>0</v>
      </c>
      <c r="Q40" s="575">
        <f t="shared" si="3"/>
        <v>171136503</v>
      </c>
    </row>
    <row r="41" spans="1:17" x14ac:dyDescent="0.2">
      <c r="A41" s="51"/>
      <c r="B41" s="51"/>
      <c r="C41" s="95"/>
      <c r="D41" s="90" t="s">
        <v>250</v>
      </c>
      <c r="E41" s="94"/>
      <c r="F41" s="48"/>
      <c r="G41" s="576"/>
      <c r="H41" s="576"/>
      <c r="I41" s="576"/>
      <c r="J41" s="576"/>
      <c r="K41" s="576"/>
      <c r="L41" s="576"/>
      <c r="M41" s="576"/>
      <c r="N41" s="576"/>
      <c r="O41" s="576"/>
      <c r="P41" s="576"/>
      <c r="Q41" s="576"/>
    </row>
    <row r="42" spans="1:17" x14ac:dyDescent="0.2">
      <c r="A42" s="462"/>
      <c r="B42" s="462"/>
      <c r="C42" s="466"/>
      <c r="D42" s="467" t="s">
        <v>746</v>
      </c>
      <c r="E42" s="201"/>
      <c r="F42" s="439"/>
      <c r="G42" s="577"/>
      <c r="H42" s="577"/>
      <c r="I42" s="577"/>
      <c r="J42" s="577"/>
      <c r="K42" s="577"/>
      <c r="L42" s="577"/>
      <c r="M42" s="577"/>
      <c r="N42" s="577"/>
      <c r="O42" s="577"/>
      <c r="P42" s="577"/>
      <c r="Q42" s="577"/>
    </row>
    <row r="43" spans="1:17" ht="24" x14ac:dyDescent="0.2">
      <c r="A43" s="51"/>
      <c r="B43" s="51"/>
      <c r="C43" s="95" t="s">
        <v>253</v>
      </c>
      <c r="D43" s="319" t="s">
        <v>252</v>
      </c>
      <c r="E43" s="94">
        <v>2</v>
      </c>
      <c r="F43" s="48">
        <v>121401</v>
      </c>
      <c r="G43" s="578">
        <f>0+táj2!G43</f>
        <v>0</v>
      </c>
      <c r="H43" s="578">
        <f>0+táj2!H43</f>
        <v>0</v>
      </c>
      <c r="I43" s="578">
        <f>0+táj2!I43</f>
        <v>0</v>
      </c>
      <c r="J43" s="578">
        <f>0+táj2!J43</f>
        <v>0</v>
      </c>
      <c r="K43" s="578">
        <f>0+táj2!K43</f>
        <v>0</v>
      </c>
      <c r="L43" s="578">
        <f>0+táj2!L43</f>
        <v>0</v>
      </c>
      <c r="M43" s="578">
        <f>0+táj2!M43</f>
        <v>0</v>
      </c>
      <c r="N43" s="578">
        <f>2000000+táj2!N43</f>
        <v>2000000</v>
      </c>
      <c r="O43" s="578">
        <f>0+táj2!O43</f>
        <v>0</v>
      </c>
      <c r="P43" s="578">
        <f>0+táj2!P43</f>
        <v>0</v>
      </c>
      <c r="Q43" s="578">
        <f>SUM(G43:P43)</f>
        <v>2000000</v>
      </c>
    </row>
    <row r="44" spans="1:17" ht="16.5" customHeight="1" x14ac:dyDescent="0.2">
      <c r="A44" s="51"/>
      <c r="B44" s="51"/>
      <c r="C44" s="95" t="s">
        <v>255</v>
      </c>
      <c r="D44" s="320" t="s">
        <v>254</v>
      </c>
      <c r="E44" s="94">
        <v>2</v>
      </c>
      <c r="F44" s="48">
        <v>121405</v>
      </c>
      <c r="G44" s="578">
        <f>0+táj2!G44</f>
        <v>0</v>
      </c>
      <c r="H44" s="578">
        <f>0+táj2!H44</f>
        <v>0</v>
      </c>
      <c r="I44" s="578">
        <f>0+táj2!I44</f>
        <v>0</v>
      </c>
      <c r="J44" s="578">
        <f>0+táj2!J44</f>
        <v>0</v>
      </c>
      <c r="K44" s="578">
        <f>0+táj2!K44</f>
        <v>0</v>
      </c>
      <c r="L44" s="578">
        <f>0+táj2!L44</f>
        <v>0</v>
      </c>
      <c r="M44" s="578">
        <f>0+táj2!M44</f>
        <v>0</v>
      </c>
      <c r="N44" s="578">
        <f>1000000+táj2!N44</f>
        <v>1000000</v>
      </c>
      <c r="O44" s="578">
        <f>0+táj2!O44</f>
        <v>0</v>
      </c>
      <c r="P44" s="578">
        <f>0+táj2!P44</f>
        <v>0</v>
      </c>
      <c r="Q44" s="578">
        <f>SUM(G44:P44)</f>
        <v>1000000</v>
      </c>
    </row>
    <row r="45" spans="1:17" ht="21.75" customHeight="1" x14ac:dyDescent="0.2">
      <c r="A45" s="136"/>
      <c r="B45" s="136"/>
      <c r="C45" s="137"/>
      <c r="D45" s="138" t="s">
        <v>747</v>
      </c>
      <c r="E45" s="139"/>
      <c r="F45" s="68"/>
      <c r="G45" s="575">
        <f t="shared" ref="G45:Q45" si="4">SUM(G40:G44)</f>
        <v>0</v>
      </c>
      <c r="H45" s="575">
        <f t="shared" si="4"/>
        <v>4200000</v>
      </c>
      <c r="I45" s="575">
        <f t="shared" si="4"/>
        <v>61541452</v>
      </c>
      <c r="J45" s="575">
        <f t="shared" si="4"/>
        <v>93295051</v>
      </c>
      <c r="K45" s="575">
        <f t="shared" si="4"/>
        <v>12100000</v>
      </c>
      <c r="L45" s="575">
        <f t="shared" si="4"/>
        <v>0</v>
      </c>
      <c r="M45" s="575">
        <f t="shared" si="4"/>
        <v>0</v>
      </c>
      <c r="N45" s="575">
        <f t="shared" si="4"/>
        <v>3000000</v>
      </c>
      <c r="O45" s="575">
        <f t="shared" si="4"/>
        <v>0</v>
      </c>
      <c r="P45" s="575">
        <f t="shared" si="4"/>
        <v>0</v>
      </c>
      <c r="Q45" s="575">
        <f t="shared" si="4"/>
        <v>174136503</v>
      </c>
    </row>
    <row r="46" spans="1:17" ht="12" customHeight="1" x14ac:dyDescent="0.2">
      <c r="A46" s="45">
        <v>1</v>
      </c>
      <c r="B46" s="45">
        <v>13</v>
      </c>
      <c r="C46" s="45"/>
      <c r="D46" s="140" t="s">
        <v>91</v>
      </c>
      <c r="E46" s="102" t="s">
        <v>256</v>
      </c>
      <c r="F46" s="52"/>
      <c r="G46" s="576"/>
      <c r="H46" s="574"/>
      <c r="I46" s="574"/>
      <c r="J46" s="574"/>
      <c r="K46" s="574"/>
      <c r="L46" s="574"/>
      <c r="M46" s="576"/>
      <c r="N46" s="576"/>
      <c r="O46" s="576"/>
      <c r="P46" s="576"/>
      <c r="Q46" s="576"/>
    </row>
    <row r="47" spans="1:17" x14ac:dyDescent="0.2">
      <c r="A47" s="45"/>
      <c r="B47" s="45"/>
      <c r="C47" s="95" t="s">
        <v>83</v>
      </c>
      <c r="D47" s="141" t="s">
        <v>257</v>
      </c>
      <c r="E47" s="102"/>
      <c r="F47" s="52"/>
      <c r="G47" s="576"/>
      <c r="H47" s="574"/>
      <c r="I47" s="574"/>
      <c r="J47" s="574"/>
      <c r="K47" s="574"/>
      <c r="L47" s="574"/>
      <c r="M47" s="576"/>
      <c r="N47" s="576"/>
      <c r="O47" s="576"/>
      <c r="P47" s="576"/>
      <c r="Q47" s="576"/>
    </row>
    <row r="48" spans="1:17" ht="12" customHeight="1" x14ac:dyDescent="0.2">
      <c r="A48" s="45"/>
      <c r="B48" s="45"/>
      <c r="C48" s="95"/>
      <c r="D48" s="93" t="s">
        <v>258</v>
      </c>
      <c r="E48" s="92"/>
      <c r="F48" s="69"/>
      <c r="G48" s="578"/>
      <c r="H48" s="574"/>
      <c r="I48" s="574"/>
      <c r="J48" s="574"/>
      <c r="K48" s="574"/>
      <c r="L48" s="574"/>
      <c r="M48" s="578"/>
      <c r="N48" s="578"/>
      <c r="O48" s="578"/>
      <c r="P48" s="578"/>
      <c r="Q48" s="578"/>
    </row>
    <row r="49" spans="1:17" ht="27" customHeight="1" x14ac:dyDescent="0.2">
      <c r="A49" s="45"/>
      <c r="B49" s="45"/>
      <c r="C49" s="95"/>
      <c r="D49" s="91" t="s">
        <v>259</v>
      </c>
      <c r="E49" s="48">
        <v>2</v>
      </c>
      <c r="F49" s="48">
        <v>131112</v>
      </c>
      <c r="G49" s="578">
        <f>0+táj2!G49</f>
        <v>0</v>
      </c>
      <c r="H49" s="578">
        <f>0+táj2!H49</f>
        <v>0</v>
      </c>
      <c r="I49" s="578">
        <f>0+táj2!I49</f>
        <v>0</v>
      </c>
      <c r="J49" s="578">
        <f>0+táj2!J49</f>
        <v>0</v>
      </c>
      <c r="K49" s="578">
        <f>17000000+táj2!K49</f>
        <v>17000000</v>
      </c>
      <c r="L49" s="578">
        <f>0+táj2!L49</f>
        <v>0</v>
      </c>
      <c r="M49" s="578">
        <f>0+táj2!M49</f>
        <v>0</v>
      </c>
      <c r="N49" s="578">
        <f>0+táj2!N49</f>
        <v>0</v>
      </c>
      <c r="O49" s="578">
        <f>0+táj2!O49</f>
        <v>0</v>
      </c>
      <c r="P49" s="578">
        <f>0+táj2!P49</f>
        <v>0</v>
      </c>
      <c r="Q49" s="578">
        <f t="shared" ref="Q49:Q55" si="5">SUM(G49:P49)</f>
        <v>17000000</v>
      </c>
    </row>
    <row r="50" spans="1:17" ht="24.75" customHeight="1" x14ac:dyDescent="0.2">
      <c r="A50" s="45"/>
      <c r="B50" s="45"/>
      <c r="C50" s="95"/>
      <c r="D50" s="96" t="s">
        <v>260</v>
      </c>
      <c r="E50" s="48">
        <v>2</v>
      </c>
      <c r="F50" s="48">
        <v>131123</v>
      </c>
      <c r="G50" s="578">
        <f>0+táj2!G50</f>
        <v>0</v>
      </c>
      <c r="H50" s="578">
        <f>0+táj2!H50</f>
        <v>0</v>
      </c>
      <c r="I50" s="578">
        <f>0+táj2!I50</f>
        <v>0</v>
      </c>
      <c r="J50" s="578">
        <f>0+táj2!J50</f>
        <v>0</v>
      </c>
      <c r="K50" s="578">
        <f>3000000+táj2!K50</f>
        <v>3000000</v>
      </c>
      <c r="L50" s="578">
        <f>0+táj2!L50</f>
        <v>0</v>
      </c>
      <c r="M50" s="578">
        <f>0+táj2!M50</f>
        <v>0</v>
      </c>
      <c r="N50" s="578">
        <f>0+táj2!N50</f>
        <v>0</v>
      </c>
      <c r="O50" s="578">
        <f>0+táj2!O50</f>
        <v>0</v>
      </c>
      <c r="P50" s="578">
        <f>0+táj2!P50</f>
        <v>0</v>
      </c>
      <c r="Q50" s="578">
        <f t="shared" si="5"/>
        <v>3000000</v>
      </c>
    </row>
    <row r="51" spans="1:17" ht="17.45" customHeight="1" x14ac:dyDescent="0.2">
      <c r="A51" s="45"/>
      <c r="B51" s="45"/>
      <c r="C51" s="95"/>
      <c r="D51" s="96" t="s">
        <v>700</v>
      </c>
      <c r="E51" s="48">
        <v>2</v>
      </c>
      <c r="F51" s="48">
        <v>131212</v>
      </c>
      <c r="G51" s="578">
        <f>700000+táj2!G51</f>
        <v>715000</v>
      </c>
      <c r="H51" s="578">
        <f>500000+táj2!H51</f>
        <v>500000</v>
      </c>
      <c r="I51" s="578">
        <f>300000+táj2!I51</f>
        <v>285000</v>
      </c>
      <c r="J51" s="578">
        <f>0+táj2!J51</f>
        <v>0</v>
      </c>
      <c r="K51" s="578">
        <f>0+táj2!K51</f>
        <v>0</v>
      </c>
      <c r="L51" s="578">
        <f>0+táj2!L51</f>
        <v>0</v>
      </c>
      <c r="M51" s="578">
        <f>0+táj2!M51</f>
        <v>0</v>
      </c>
      <c r="N51" s="578">
        <f>0+táj2!N51</f>
        <v>0</v>
      </c>
      <c r="O51" s="578">
        <f>0+táj2!O51</f>
        <v>0</v>
      </c>
      <c r="P51" s="578">
        <f>0+táj2!P51</f>
        <v>0</v>
      </c>
      <c r="Q51" s="578">
        <f t="shared" si="5"/>
        <v>1500000</v>
      </c>
    </row>
    <row r="52" spans="1:17" ht="22.5" customHeight="1" x14ac:dyDescent="0.2">
      <c r="A52" s="45"/>
      <c r="B52" s="45"/>
      <c r="C52" s="95"/>
      <c r="D52" s="96" t="s">
        <v>261</v>
      </c>
      <c r="E52" s="48">
        <v>2</v>
      </c>
      <c r="F52" s="48">
        <v>131122</v>
      </c>
      <c r="G52" s="578">
        <f>900000+táj2!G52</f>
        <v>900000</v>
      </c>
      <c r="H52" s="578">
        <f>150000+táj2!H52</f>
        <v>150000</v>
      </c>
      <c r="I52" s="578">
        <f>550000+táj2!I52</f>
        <v>550000</v>
      </c>
      <c r="J52" s="578">
        <f>0+táj2!J52</f>
        <v>0</v>
      </c>
      <c r="K52" s="578">
        <f>0+táj2!K52</f>
        <v>0</v>
      </c>
      <c r="L52" s="578">
        <f>0+táj2!L52</f>
        <v>0</v>
      </c>
      <c r="M52" s="578">
        <f>0+táj2!M52</f>
        <v>0</v>
      </c>
      <c r="N52" s="578">
        <f>0+táj2!N52</f>
        <v>0</v>
      </c>
      <c r="O52" s="578">
        <f>0+táj2!O52</f>
        <v>0</v>
      </c>
      <c r="P52" s="578">
        <f>0+táj2!P52</f>
        <v>0</v>
      </c>
      <c r="Q52" s="578">
        <f t="shared" si="5"/>
        <v>1600000</v>
      </c>
    </row>
    <row r="53" spans="1:17" ht="15" customHeight="1" x14ac:dyDescent="0.2">
      <c r="A53" s="45"/>
      <c r="B53" s="45"/>
      <c r="C53" s="95"/>
      <c r="D53" s="90" t="s">
        <v>840</v>
      </c>
      <c r="E53" s="48">
        <v>2</v>
      </c>
      <c r="F53" s="48">
        <v>131107</v>
      </c>
      <c r="G53" s="578">
        <f>0+táj2!G53</f>
        <v>0</v>
      </c>
      <c r="H53" s="578">
        <f>0+táj2!H53</f>
        <v>0</v>
      </c>
      <c r="I53" s="578">
        <f>0+táj2!I53</f>
        <v>0</v>
      </c>
      <c r="J53" s="578">
        <f>0+táj2!J53</f>
        <v>0</v>
      </c>
      <c r="K53" s="578">
        <f>45000000+táj2!K53</f>
        <v>45000000</v>
      </c>
      <c r="L53" s="578">
        <f>0+táj2!L53</f>
        <v>0</v>
      </c>
      <c r="M53" s="578">
        <f>0+táj2!M53</f>
        <v>0</v>
      </c>
      <c r="N53" s="578">
        <f>0+táj2!N53</f>
        <v>0</v>
      </c>
      <c r="O53" s="578">
        <f>0+táj2!O53</f>
        <v>0</v>
      </c>
      <c r="P53" s="578">
        <f>0+táj2!P53</f>
        <v>0</v>
      </c>
      <c r="Q53" s="578">
        <f t="shared" si="5"/>
        <v>45000000</v>
      </c>
    </row>
    <row r="54" spans="1:17" ht="15" customHeight="1" x14ac:dyDescent="0.2">
      <c r="A54" s="45"/>
      <c r="B54" s="45"/>
      <c r="C54" s="95"/>
      <c r="D54" s="90" t="s">
        <v>262</v>
      </c>
      <c r="E54" s="48">
        <v>2</v>
      </c>
      <c r="F54" s="48">
        <v>131128</v>
      </c>
      <c r="G54" s="578">
        <f>0+táj2!G54</f>
        <v>0</v>
      </c>
      <c r="H54" s="578">
        <f>0+táj2!H54</f>
        <v>0</v>
      </c>
      <c r="I54" s="578">
        <f>0+táj2!I54</f>
        <v>0</v>
      </c>
      <c r="J54" s="578">
        <f>0+táj2!J54</f>
        <v>0</v>
      </c>
      <c r="K54" s="578">
        <f>2500000+táj2!K54</f>
        <v>2500000</v>
      </c>
      <c r="L54" s="578">
        <f>0+táj2!L54</f>
        <v>0</v>
      </c>
      <c r="M54" s="578">
        <f>0+táj2!M54</f>
        <v>0</v>
      </c>
      <c r="N54" s="578">
        <f>0+táj2!N54</f>
        <v>0</v>
      </c>
      <c r="O54" s="578">
        <f>0+táj2!O54</f>
        <v>0</v>
      </c>
      <c r="P54" s="578">
        <f>0+táj2!P54</f>
        <v>0</v>
      </c>
      <c r="Q54" s="578">
        <f t="shared" si="5"/>
        <v>2500000</v>
      </c>
    </row>
    <row r="55" spans="1:17" ht="27.6" customHeight="1" x14ac:dyDescent="0.2">
      <c r="A55" s="45"/>
      <c r="B55" s="45"/>
      <c r="C55" s="95"/>
      <c r="D55" s="91" t="s">
        <v>701</v>
      </c>
      <c r="E55" s="48">
        <v>2</v>
      </c>
      <c r="F55" s="48">
        <v>131129</v>
      </c>
      <c r="G55" s="578">
        <f>0+táj2!G55</f>
        <v>0</v>
      </c>
      <c r="H55" s="578">
        <f>0+táj2!H55</f>
        <v>0</v>
      </c>
      <c r="I55" s="578">
        <f>0+táj2!I55</f>
        <v>0</v>
      </c>
      <c r="J55" s="578">
        <f>0+táj2!J55</f>
        <v>0</v>
      </c>
      <c r="K55" s="578">
        <f>2500000+táj2!K55</f>
        <v>2500000</v>
      </c>
      <c r="L55" s="578">
        <f>0+táj2!L55</f>
        <v>0</v>
      </c>
      <c r="M55" s="578">
        <f>0+táj2!M55</f>
        <v>0</v>
      </c>
      <c r="N55" s="578">
        <f>0+táj2!N55</f>
        <v>0</v>
      </c>
      <c r="O55" s="578">
        <f>0+táj2!O55</f>
        <v>0</v>
      </c>
      <c r="P55" s="578">
        <f>0+táj2!P55</f>
        <v>0</v>
      </c>
      <c r="Q55" s="578">
        <f t="shared" si="5"/>
        <v>2500000</v>
      </c>
    </row>
    <row r="56" spans="1:17" ht="14.1" customHeight="1" x14ac:dyDescent="0.2">
      <c r="A56" s="45"/>
      <c r="B56" s="45"/>
      <c r="C56" s="95" t="s">
        <v>82</v>
      </c>
      <c r="D56" s="97" t="s">
        <v>263</v>
      </c>
      <c r="E56" s="142"/>
      <c r="F56" s="142"/>
      <c r="G56" s="578"/>
      <c r="H56" s="578"/>
      <c r="I56" s="578"/>
      <c r="J56" s="578"/>
      <c r="K56" s="578"/>
      <c r="L56" s="578"/>
      <c r="M56" s="578"/>
      <c r="N56" s="578"/>
      <c r="O56" s="578"/>
      <c r="P56" s="578"/>
      <c r="Q56" s="578"/>
    </row>
    <row r="57" spans="1:17" ht="36" customHeight="1" x14ac:dyDescent="0.2">
      <c r="A57" s="45"/>
      <c r="B57" s="45"/>
      <c r="C57" s="95"/>
      <c r="D57" s="96" t="s">
        <v>264</v>
      </c>
      <c r="E57" s="57"/>
      <c r="F57" s="57"/>
      <c r="G57" s="578"/>
      <c r="H57" s="578">
        <f>0+táj2!H57</f>
        <v>0</v>
      </c>
      <c r="I57" s="578">
        <f>0+táj2!I57</f>
        <v>0</v>
      </c>
      <c r="J57" s="578">
        <f>0+táj2!J57</f>
        <v>0</v>
      </c>
      <c r="K57" s="578">
        <f>0+táj2!K57</f>
        <v>0</v>
      </c>
      <c r="L57" s="578">
        <f>0+táj2!L57</f>
        <v>0</v>
      </c>
      <c r="M57" s="578">
        <f>0+táj2!M57</f>
        <v>0</v>
      </c>
      <c r="N57" s="578">
        <f>0+táj2!N57</f>
        <v>0</v>
      </c>
      <c r="O57" s="578">
        <f>0+táj2!O57</f>
        <v>0</v>
      </c>
      <c r="P57" s="578">
        <f>0+táj2!P57</f>
        <v>0</v>
      </c>
      <c r="Q57" s="578"/>
    </row>
    <row r="58" spans="1:17" ht="15" customHeight="1" x14ac:dyDescent="0.2">
      <c r="A58" s="45"/>
      <c r="B58" s="45"/>
      <c r="C58" s="95"/>
      <c r="D58" s="90" t="s">
        <v>265</v>
      </c>
      <c r="E58" s="48">
        <v>2</v>
      </c>
      <c r="F58" s="48">
        <v>131201</v>
      </c>
      <c r="G58" s="578">
        <f>1400000+táj2!G58</f>
        <v>1400000</v>
      </c>
      <c r="H58" s="578">
        <f>400000+táj2!H58</f>
        <v>400000</v>
      </c>
      <c r="I58" s="578">
        <f>700000+táj2!I58</f>
        <v>700000</v>
      </c>
      <c r="J58" s="578">
        <f>0+táj2!J58</f>
        <v>0</v>
      </c>
      <c r="K58" s="578">
        <f>0+táj2!K58</f>
        <v>0</v>
      </c>
      <c r="L58" s="578">
        <f>0+táj2!L58</f>
        <v>0</v>
      </c>
      <c r="M58" s="578">
        <f>0+táj2!M58</f>
        <v>0</v>
      </c>
      <c r="N58" s="578">
        <f>0+táj2!N58</f>
        <v>0</v>
      </c>
      <c r="O58" s="578">
        <f>0+táj2!O58</f>
        <v>0</v>
      </c>
      <c r="P58" s="578">
        <f>0+táj2!P58</f>
        <v>0</v>
      </c>
      <c r="Q58" s="578">
        <f t="shared" ref="Q58:Q63" si="6">SUM(G58:P58)</f>
        <v>2500000</v>
      </c>
    </row>
    <row r="59" spans="1:17" ht="15" customHeight="1" x14ac:dyDescent="0.2">
      <c r="A59" s="45"/>
      <c r="B59" s="45"/>
      <c r="C59" s="95"/>
      <c r="D59" s="90" t="s">
        <v>266</v>
      </c>
      <c r="E59" s="48">
        <v>2</v>
      </c>
      <c r="F59" s="48">
        <v>131202</v>
      </c>
      <c r="G59" s="578">
        <f>700000+táj2!G59</f>
        <v>700000</v>
      </c>
      <c r="H59" s="578">
        <f>301585+táj2!H59</f>
        <v>301585</v>
      </c>
      <c r="I59" s="578">
        <f>300000+táj2!I59</f>
        <v>300000</v>
      </c>
      <c r="J59" s="578">
        <f>0+táj2!J59</f>
        <v>0</v>
      </c>
      <c r="K59" s="578">
        <f>0+táj2!K59</f>
        <v>0</v>
      </c>
      <c r="L59" s="578">
        <f>0+táj2!L59</f>
        <v>0</v>
      </c>
      <c r="M59" s="578">
        <f>0+táj2!M59</f>
        <v>0</v>
      </c>
      <c r="N59" s="578">
        <f>0+táj2!N59</f>
        <v>0</v>
      </c>
      <c r="O59" s="578">
        <f>0+táj2!O59</f>
        <v>0</v>
      </c>
      <c r="P59" s="578">
        <f>0+táj2!P59</f>
        <v>0</v>
      </c>
      <c r="Q59" s="578">
        <f t="shared" si="6"/>
        <v>1301585</v>
      </c>
    </row>
    <row r="60" spans="1:17" ht="15" customHeight="1" x14ac:dyDescent="0.2">
      <c r="A60" s="45"/>
      <c r="B60" s="45"/>
      <c r="C60" s="95"/>
      <c r="D60" s="90" t="s">
        <v>267</v>
      </c>
      <c r="E60" s="48">
        <v>2</v>
      </c>
      <c r="F60" s="48">
        <v>131205</v>
      </c>
      <c r="G60" s="578">
        <f>0+táj2!G60</f>
        <v>0</v>
      </c>
      <c r="H60" s="578">
        <f>0+táj2!H60</f>
        <v>0</v>
      </c>
      <c r="I60" s="578">
        <f>650000+táj2!I60</f>
        <v>650000</v>
      </c>
      <c r="J60" s="578">
        <f>0+táj2!J60</f>
        <v>0</v>
      </c>
      <c r="K60" s="578">
        <f>3000000+táj2!K60</f>
        <v>3000000</v>
      </c>
      <c r="L60" s="578">
        <f>0+táj2!L60</f>
        <v>0</v>
      </c>
      <c r="M60" s="578">
        <f>0+táj2!M60</f>
        <v>0</v>
      </c>
      <c r="N60" s="578">
        <f>0+táj2!N60</f>
        <v>0</v>
      </c>
      <c r="O60" s="578">
        <f>0+táj2!O60</f>
        <v>0</v>
      </c>
      <c r="P60" s="578">
        <f>0+táj2!P60</f>
        <v>0</v>
      </c>
      <c r="Q60" s="578">
        <f t="shared" si="6"/>
        <v>3650000</v>
      </c>
    </row>
    <row r="61" spans="1:17" ht="15" customHeight="1" x14ac:dyDescent="0.2">
      <c r="A61" s="45"/>
      <c r="B61" s="45"/>
      <c r="C61" s="95"/>
      <c r="D61" s="90" t="s">
        <v>268</v>
      </c>
      <c r="E61" s="48">
        <v>2</v>
      </c>
      <c r="F61" s="48">
        <v>131206</v>
      </c>
      <c r="G61" s="578">
        <f>0+táj2!G61</f>
        <v>0</v>
      </c>
      <c r="H61" s="578">
        <f>0+táj2!H61</f>
        <v>0</v>
      </c>
      <c r="I61" s="578">
        <f>0+táj2!I61</f>
        <v>0</v>
      </c>
      <c r="J61" s="578">
        <f>0+táj2!J61</f>
        <v>0</v>
      </c>
      <c r="K61" s="578">
        <f>250000+táj2!K61</f>
        <v>250000</v>
      </c>
      <c r="L61" s="578">
        <f>0+táj2!L61</f>
        <v>0</v>
      </c>
      <c r="M61" s="578">
        <f>0+táj2!M61</f>
        <v>0</v>
      </c>
      <c r="N61" s="578">
        <f>0+táj2!N61</f>
        <v>0</v>
      </c>
      <c r="O61" s="578">
        <f>0+táj2!O61</f>
        <v>0</v>
      </c>
      <c r="P61" s="578">
        <f>0+táj2!P61</f>
        <v>0</v>
      </c>
      <c r="Q61" s="578">
        <f t="shared" si="6"/>
        <v>250000</v>
      </c>
    </row>
    <row r="62" spans="1:17" ht="15" customHeight="1" x14ac:dyDescent="0.2">
      <c r="A62" s="45"/>
      <c r="B62" s="45"/>
      <c r="C62" s="95"/>
      <c r="D62" s="93" t="s">
        <v>269</v>
      </c>
      <c r="E62" s="48">
        <v>2</v>
      </c>
      <c r="F62" s="48">
        <v>131209</v>
      </c>
      <c r="G62" s="578">
        <f>400000+táj2!G62</f>
        <v>400000</v>
      </c>
      <c r="H62" s="578">
        <f>350000+táj2!H62</f>
        <v>350000</v>
      </c>
      <c r="I62" s="578">
        <f>419330+táj2!I62</f>
        <v>419330</v>
      </c>
      <c r="J62" s="578">
        <f>0+táj2!J62</f>
        <v>0</v>
      </c>
      <c r="K62" s="578">
        <f>0+táj2!K62</f>
        <v>0</v>
      </c>
      <c r="L62" s="578">
        <f>0+táj2!L62</f>
        <v>0</v>
      </c>
      <c r="M62" s="578">
        <f>0+táj2!M62</f>
        <v>0</v>
      </c>
      <c r="N62" s="578">
        <f>0+táj2!N62</f>
        <v>0</v>
      </c>
      <c r="O62" s="578">
        <f>0+táj2!O62</f>
        <v>0</v>
      </c>
      <c r="P62" s="578">
        <f>0+táj2!P62</f>
        <v>0</v>
      </c>
      <c r="Q62" s="578">
        <f t="shared" si="6"/>
        <v>1169330</v>
      </c>
    </row>
    <row r="63" spans="1:17" ht="26.45" customHeight="1" x14ac:dyDescent="0.2">
      <c r="A63" s="45"/>
      <c r="B63" s="45"/>
      <c r="C63" s="95"/>
      <c r="D63" s="143" t="s">
        <v>702</v>
      </c>
      <c r="E63" s="48">
        <v>2</v>
      </c>
      <c r="F63" s="48">
        <v>131214</v>
      </c>
      <c r="G63" s="578">
        <f>0+táj2!G63</f>
        <v>0</v>
      </c>
      <c r="H63" s="578">
        <f>0+táj2!H63</f>
        <v>0</v>
      </c>
      <c r="I63" s="578">
        <f>0+táj2!I63</f>
        <v>0</v>
      </c>
      <c r="J63" s="578">
        <f>0+táj2!J63</f>
        <v>0</v>
      </c>
      <c r="K63" s="578">
        <f>500000+táj2!K63</f>
        <v>500000</v>
      </c>
      <c r="L63" s="578">
        <f>0+táj2!L63</f>
        <v>0</v>
      </c>
      <c r="M63" s="578">
        <f>0+táj2!M63</f>
        <v>0</v>
      </c>
      <c r="N63" s="578">
        <f>0+táj2!N63</f>
        <v>0</v>
      </c>
      <c r="O63" s="578">
        <f>0+táj2!O63</f>
        <v>0</v>
      </c>
      <c r="P63" s="578">
        <f>0+táj2!P63</f>
        <v>0</v>
      </c>
      <c r="Q63" s="578">
        <f t="shared" si="6"/>
        <v>500000</v>
      </c>
    </row>
    <row r="64" spans="1:17" ht="14.1" customHeight="1" x14ac:dyDescent="0.2">
      <c r="A64" s="45"/>
      <c r="B64" s="45"/>
      <c r="C64" s="95"/>
      <c r="D64" s="90" t="s">
        <v>239</v>
      </c>
      <c r="E64" s="48"/>
      <c r="F64" s="48"/>
      <c r="G64" s="578"/>
      <c r="H64" s="578"/>
      <c r="I64" s="578"/>
      <c r="J64" s="578"/>
      <c r="K64" s="578"/>
      <c r="L64" s="578"/>
      <c r="M64" s="578"/>
      <c r="N64" s="578"/>
      <c r="O64" s="578"/>
      <c r="P64" s="578"/>
      <c r="Q64" s="578"/>
    </row>
    <row r="65" spans="1:17" ht="14.1" customHeight="1" x14ac:dyDescent="0.2">
      <c r="A65" s="45"/>
      <c r="B65" s="45"/>
      <c r="C65" s="95"/>
      <c r="D65" s="93" t="s">
        <v>270</v>
      </c>
      <c r="E65" s="48">
        <v>2</v>
      </c>
      <c r="F65" s="48">
        <v>131101</v>
      </c>
      <c r="G65" s="578">
        <f>0+táj2!G65</f>
        <v>0</v>
      </c>
      <c r="H65" s="578">
        <f>0+táj2!H65</f>
        <v>0</v>
      </c>
      <c r="I65" s="578">
        <f>0+táj2!I65</f>
        <v>0</v>
      </c>
      <c r="J65" s="578">
        <f>10500000+táj2!J65</f>
        <v>10500000</v>
      </c>
      <c r="K65" s="578">
        <f>6500000+táj2!K65</f>
        <v>6500000</v>
      </c>
      <c r="L65" s="578">
        <f>0+táj2!L65</f>
        <v>0</v>
      </c>
      <c r="M65" s="578">
        <f>0+táj2!M65</f>
        <v>0</v>
      </c>
      <c r="N65" s="578">
        <f>0+táj2!N65</f>
        <v>0</v>
      </c>
      <c r="O65" s="578">
        <f>0+táj2!O65</f>
        <v>0</v>
      </c>
      <c r="P65" s="578">
        <f>0+táj2!P65</f>
        <v>0</v>
      </c>
      <c r="Q65" s="578">
        <f>SUM(G65:P65)</f>
        <v>17000000</v>
      </c>
    </row>
    <row r="66" spans="1:17" ht="14.1" customHeight="1" x14ac:dyDescent="0.2">
      <c r="A66" s="45"/>
      <c r="B66" s="45"/>
      <c r="C66" s="95"/>
      <c r="D66" s="93" t="s">
        <v>271</v>
      </c>
      <c r="E66" s="48"/>
      <c r="F66" s="48"/>
      <c r="G66" s="578"/>
      <c r="H66" s="578"/>
      <c r="I66" s="578"/>
      <c r="J66" s="578"/>
      <c r="K66" s="578"/>
      <c r="L66" s="578"/>
      <c r="M66" s="578"/>
      <c r="N66" s="578"/>
      <c r="O66" s="578"/>
      <c r="P66" s="578"/>
      <c r="Q66" s="578"/>
    </row>
    <row r="67" spans="1:17" ht="14.1" customHeight="1" x14ac:dyDescent="0.2">
      <c r="A67" s="45"/>
      <c r="B67" s="45"/>
      <c r="C67" s="95"/>
      <c r="D67" s="90" t="s">
        <v>272</v>
      </c>
      <c r="E67" s="48">
        <v>2</v>
      </c>
      <c r="F67" s="48">
        <v>131120</v>
      </c>
      <c r="G67" s="578">
        <f>150000+táj2!G67</f>
        <v>150000</v>
      </c>
      <c r="H67" s="578">
        <f>50000+táj2!H67</f>
        <v>50000</v>
      </c>
      <c r="I67" s="578">
        <f>3150000+táj2!I67</f>
        <v>3150000</v>
      </c>
      <c r="J67" s="578">
        <f>0+táj2!J67</f>
        <v>0</v>
      </c>
      <c r="K67" s="578">
        <f>0+táj2!K67</f>
        <v>0</v>
      </c>
      <c r="L67" s="578">
        <f>0+táj2!L67</f>
        <v>0</v>
      </c>
      <c r="M67" s="578">
        <f>0+táj2!M67</f>
        <v>0</v>
      </c>
      <c r="N67" s="578">
        <f>0+táj2!N67</f>
        <v>0</v>
      </c>
      <c r="O67" s="578">
        <f>0+táj2!O67</f>
        <v>0</v>
      </c>
      <c r="P67" s="578">
        <f>0+táj2!P67</f>
        <v>0</v>
      </c>
      <c r="Q67" s="578">
        <f>SUM(G67:P67)</f>
        <v>3350000</v>
      </c>
    </row>
    <row r="68" spans="1:17" ht="14.1" customHeight="1" x14ac:dyDescent="0.2">
      <c r="A68" s="45"/>
      <c r="B68" s="45"/>
      <c r="C68" s="95"/>
      <c r="D68" s="90" t="s">
        <v>273</v>
      </c>
      <c r="E68" s="69"/>
      <c r="F68" s="69"/>
      <c r="G68" s="578"/>
      <c r="H68" s="578"/>
      <c r="I68" s="578"/>
      <c r="J68" s="578"/>
      <c r="K68" s="578"/>
      <c r="L68" s="578"/>
      <c r="M68" s="578"/>
      <c r="N68" s="578"/>
      <c r="O68" s="578"/>
      <c r="P68" s="578"/>
      <c r="Q68" s="578"/>
    </row>
    <row r="69" spans="1:17" ht="14.1" customHeight="1" x14ac:dyDescent="0.2">
      <c r="A69" s="45"/>
      <c r="B69" s="45"/>
      <c r="C69" s="95"/>
      <c r="D69" s="90" t="s">
        <v>274</v>
      </c>
      <c r="E69" s="48">
        <v>2</v>
      </c>
      <c r="F69" s="48">
        <v>131346</v>
      </c>
      <c r="G69" s="578">
        <f>800000+táj2!G69</f>
        <v>800000</v>
      </c>
      <c r="H69" s="578">
        <f>246457+táj2!H69</f>
        <v>246457</v>
      </c>
      <c r="I69" s="578">
        <f>764000+táj2!I69</f>
        <v>764000</v>
      </c>
      <c r="J69" s="578">
        <f>0+táj2!J69</f>
        <v>0</v>
      </c>
      <c r="K69" s="578">
        <f>2225000+táj2!K69</f>
        <v>2225000</v>
      </c>
      <c r="L69" s="578">
        <f>0+táj2!L69</f>
        <v>0</v>
      </c>
      <c r="M69" s="578">
        <f>0+táj2!M69</f>
        <v>0</v>
      </c>
      <c r="N69" s="578">
        <f>0+táj2!N69</f>
        <v>0</v>
      </c>
      <c r="O69" s="578">
        <f>0+táj2!O69</f>
        <v>0</v>
      </c>
      <c r="P69" s="578">
        <f>0+táj2!P69</f>
        <v>0</v>
      </c>
      <c r="Q69" s="578">
        <f t="shared" ref="Q69:Q97" si="7">SUM(G69:P69)</f>
        <v>4035457</v>
      </c>
    </row>
    <row r="70" spans="1:17" ht="14.1" customHeight="1" x14ac:dyDescent="0.2">
      <c r="A70" s="45"/>
      <c r="B70" s="45"/>
      <c r="C70" s="95"/>
      <c r="D70" s="90" t="s">
        <v>600</v>
      </c>
      <c r="E70" s="48">
        <v>2</v>
      </c>
      <c r="F70" s="48">
        <v>131339</v>
      </c>
      <c r="G70" s="578">
        <f>0+táj2!G70</f>
        <v>0</v>
      </c>
      <c r="H70" s="578">
        <f>0+táj2!H70</f>
        <v>0</v>
      </c>
      <c r="I70" s="578">
        <f>0+táj2!I70</f>
        <v>0</v>
      </c>
      <c r="J70" s="578">
        <f>0+táj2!J70</f>
        <v>0</v>
      </c>
      <c r="K70" s="578">
        <f>1500000+táj2!K70</f>
        <v>1500000</v>
      </c>
      <c r="L70" s="578">
        <f>0+táj2!L70</f>
        <v>0</v>
      </c>
      <c r="M70" s="578">
        <f>0+táj2!M70</f>
        <v>0</v>
      </c>
      <c r="N70" s="578">
        <f>0+táj2!N70</f>
        <v>0</v>
      </c>
      <c r="O70" s="578">
        <f>0+táj2!O70</f>
        <v>0</v>
      </c>
      <c r="P70" s="578">
        <f>0+táj2!P70</f>
        <v>0</v>
      </c>
      <c r="Q70" s="578">
        <f t="shared" si="7"/>
        <v>1500000</v>
      </c>
    </row>
    <row r="71" spans="1:17" ht="14.1" customHeight="1" x14ac:dyDescent="0.2">
      <c r="A71" s="45"/>
      <c r="B71" s="45"/>
      <c r="C71" s="95"/>
      <c r="D71" s="90" t="s">
        <v>275</v>
      </c>
      <c r="E71" s="48">
        <v>2</v>
      </c>
      <c r="F71" s="48">
        <v>131306</v>
      </c>
      <c r="G71" s="578">
        <f>0+táj2!G71</f>
        <v>0</v>
      </c>
      <c r="H71" s="578">
        <f>0+táj2!H71</f>
        <v>0</v>
      </c>
      <c r="I71" s="578">
        <f>0+táj2!I71</f>
        <v>0</v>
      </c>
      <c r="J71" s="578">
        <f>0+táj2!J71</f>
        <v>0</v>
      </c>
      <c r="K71" s="578">
        <f>1000000+táj2!K71</f>
        <v>1000000</v>
      </c>
      <c r="L71" s="578">
        <f>0+táj2!L71</f>
        <v>0</v>
      </c>
      <c r="M71" s="578">
        <f>0+táj2!M71</f>
        <v>0</v>
      </c>
      <c r="N71" s="578">
        <f>0+táj2!N71</f>
        <v>0</v>
      </c>
      <c r="O71" s="578">
        <f>0+táj2!O71</f>
        <v>0</v>
      </c>
      <c r="P71" s="578">
        <f>0+táj2!P71</f>
        <v>0</v>
      </c>
      <c r="Q71" s="578">
        <f t="shared" si="7"/>
        <v>1000000</v>
      </c>
    </row>
    <row r="72" spans="1:17" ht="14.1" customHeight="1" x14ac:dyDescent="0.2">
      <c r="A72" s="45"/>
      <c r="B72" s="45"/>
      <c r="C72" s="95"/>
      <c r="D72" s="90" t="s">
        <v>749</v>
      </c>
      <c r="E72" s="48">
        <v>2</v>
      </c>
      <c r="F72" s="48">
        <v>131341</v>
      </c>
      <c r="G72" s="578">
        <f>0+táj2!G72</f>
        <v>0</v>
      </c>
      <c r="H72" s="578">
        <f>0+táj2!H72</f>
        <v>0</v>
      </c>
      <c r="I72" s="578">
        <f>0+táj2!I72</f>
        <v>0</v>
      </c>
      <c r="J72" s="578">
        <f>0+táj2!J72</f>
        <v>0</v>
      </c>
      <c r="K72" s="578">
        <f>14000000+táj2!K72</f>
        <v>14000000</v>
      </c>
      <c r="L72" s="578">
        <f>0+táj2!L72</f>
        <v>0</v>
      </c>
      <c r="M72" s="578">
        <f>0+táj2!M72</f>
        <v>0</v>
      </c>
      <c r="N72" s="578">
        <f>0+táj2!N72</f>
        <v>0</v>
      </c>
      <c r="O72" s="578">
        <f>0+táj2!O72</f>
        <v>0</v>
      </c>
      <c r="P72" s="578">
        <f>0+táj2!P72</f>
        <v>0</v>
      </c>
      <c r="Q72" s="578">
        <f t="shared" si="7"/>
        <v>14000000</v>
      </c>
    </row>
    <row r="73" spans="1:17" ht="14.1" customHeight="1" x14ac:dyDescent="0.2">
      <c r="A73" s="45"/>
      <c r="B73" s="45"/>
      <c r="C73" s="95"/>
      <c r="D73" s="100" t="s">
        <v>750</v>
      </c>
      <c r="E73" s="48">
        <v>2</v>
      </c>
      <c r="F73" s="48">
        <v>221910</v>
      </c>
      <c r="G73" s="578">
        <f>0+táj2!G73</f>
        <v>0</v>
      </c>
      <c r="H73" s="578">
        <f>0+táj2!H73</f>
        <v>0</v>
      </c>
      <c r="I73" s="578">
        <f>0+táj2!I73</f>
        <v>0</v>
      </c>
      <c r="J73" s="578">
        <f>0+táj2!J73</f>
        <v>0</v>
      </c>
      <c r="K73" s="578">
        <f>50000+táj2!K73</f>
        <v>50000</v>
      </c>
      <c r="L73" s="578">
        <f>0+táj2!L73</f>
        <v>0</v>
      </c>
      <c r="M73" s="578">
        <f>0+táj2!M73</f>
        <v>0</v>
      </c>
      <c r="N73" s="578">
        <f>0+táj2!N73</f>
        <v>0</v>
      </c>
      <c r="O73" s="578">
        <f>0+táj2!O73</f>
        <v>0</v>
      </c>
      <c r="P73" s="578">
        <f>0+táj2!P73</f>
        <v>0</v>
      </c>
      <c r="Q73" s="578">
        <f t="shared" si="7"/>
        <v>50000</v>
      </c>
    </row>
    <row r="74" spans="1:17" ht="14.1" customHeight="1" x14ac:dyDescent="0.2">
      <c r="A74" s="45"/>
      <c r="B74" s="45"/>
      <c r="C74" s="95"/>
      <c r="D74" s="100" t="s">
        <v>632</v>
      </c>
      <c r="E74" s="48">
        <v>2</v>
      </c>
      <c r="F74" s="48">
        <v>131332</v>
      </c>
      <c r="G74" s="578">
        <f>0+táj2!G74</f>
        <v>0</v>
      </c>
      <c r="H74" s="578">
        <f>0+táj2!H74</f>
        <v>0</v>
      </c>
      <c r="I74" s="578">
        <f>0+táj2!I74</f>
        <v>0</v>
      </c>
      <c r="J74" s="578">
        <f>0+táj2!J74</f>
        <v>0</v>
      </c>
      <c r="K74" s="578">
        <f>2000000+táj2!K74</f>
        <v>2000000</v>
      </c>
      <c r="L74" s="578">
        <f>0+táj2!L74</f>
        <v>0</v>
      </c>
      <c r="M74" s="578">
        <f>0+táj2!M74</f>
        <v>0</v>
      </c>
      <c r="N74" s="578">
        <f>0+táj2!N74</f>
        <v>0</v>
      </c>
      <c r="O74" s="578">
        <f>0+táj2!O74</f>
        <v>0</v>
      </c>
      <c r="P74" s="578">
        <f>0+táj2!P74</f>
        <v>0</v>
      </c>
      <c r="Q74" s="578">
        <f t="shared" si="7"/>
        <v>2000000</v>
      </c>
    </row>
    <row r="75" spans="1:17" ht="14.1" customHeight="1" x14ac:dyDescent="0.2">
      <c r="A75" s="45"/>
      <c r="B75" s="45"/>
      <c r="C75" s="56"/>
      <c r="D75" s="259" t="s">
        <v>751</v>
      </c>
      <c r="E75" s="48">
        <v>2</v>
      </c>
      <c r="F75" s="48">
        <v>131366</v>
      </c>
      <c r="G75" s="578">
        <f>0+táj2!G75</f>
        <v>0</v>
      </c>
      <c r="H75" s="578">
        <f>0+táj2!H75</f>
        <v>0</v>
      </c>
      <c r="I75" s="578">
        <f>500000+táj2!I75</f>
        <v>500000</v>
      </c>
      <c r="J75" s="578">
        <f>0+táj2!J75</f>
        <v>0</v>
      </c>
      <c r="K75" s="578">
        <f>0+táj2!K75</f>
        <v>0</v>
      </c>
      <c r="L75" s="578">
        <f>0+táj2!L75</f>
        <v>0</v>
      </c>
      <c r="M75" s="578">
        <f>0+táj2!M75</f>
        <v>0</v>
      </c>
      <c r="N75" s="578">
        <f>0+táj2!N75</f>
        <v>0</v>
      </c>
      <c r="O75" s="578">
        <f>0+táj2!O75</f>
        <v>0</v>
      </c>
      <c r="P75" s="578">
        <f>0+táj2!P75</f>
        <v>0</v>
      </c>
      <c r="Q75" s="578">
        <f t="shared" si="7"/>
        <v>500000</v>
      </c>
    </row>
    <row r="76" spans="1:17" ht="14.1" customHeight="1" x14ac:dyDescent="0.2">
      <c r="A76" s="45"/>
      <c r="B76" s="45"/>
      <c r="C76" s="56"/>
      <c r="D76" s="259" t="s">
        <v>752</v>
      </c>
      <c r="E76" s="48">
        <v>2</v>
      </c>
      <c r="F76" s="48">
        <v>131314</v>
      </c>
      <c r="G76" s="578">
        <f>0+táj2!G76</f>
        <v>0</v>
      </c>
      <c r="H76" s="578">
        <f>0+táj2!H76</f>
        <v>0</v>
      </c>
      <c r="I76" s="578">
        <f>0+táj2!I76</f>
        <v>0</v>
      </c>
      <c r="J76" s="578">
        <f>0+táj2!J76</f>
        <v>0</v>
      </c>
      <c r="K76" s="578">
        <f>2500000+táj2!K76</f>
        <v>2500000</v>
      </c>
      <c r="L76" s="578">
        <f>0+táj2!L76</f>
        <v>0</v>
      </c>
      <c r="M76" s="578">
        <f>0+táj2!M76</f>
        <v>0</v>
      </c>
      <c r="N76" s="578">
        <f>0+táj2!N76</f>
        <v>0</v>
      </c>
      <c r="O76" s="578">
        <f>0+táj2!O76</f>
        <v>0</v>
      </c>
      <c r="P76" s="578">
        <f>0+táj2!P76</f>
        <v>0</v>
      </c>
      <c r="Q76" s="578">
        <f t="shared" si="7"/>
        <v>2500000</v>
      </c>
    </row>
    <row r="77" spans="1:17" ht="14.1" customHeight="1" x14ac:dyDescent="0.2">
      <c r="A77" s="45"/>
      <c r="B77" s="45"/>
      <c r="C77" s="95"/>
      <c r="D77" s="100" t="s">
        <v>649</v>
      </c>
      <c r="E77" s="48">
        <v>2</v>
      </c>
      <c r="F77" s="48">
        <v>131361</v>
      </c>
      <c r="G77" s="578">
        <f>0+táj2!G77</f>
        <v>0</v>
      </c>
      <c r="H77" s="578">
        <f>0+táj2!H77</f>
        <v>0</v>
      </c>
      <c r="I77" s="578">
        <f>0+táj2!I77</f>
        <v>0</v>
      </c>
      <c r="J77" s="578">
        <f>0+táj2!J77</f>
        <v>0</v>
      </c>
      <c r="K77" s="578">
        <f>500000+táj2!K77</f>
        <v>500000</v>
      </c>
      <c r="L77" s="578">
        <f>0+táj2!L77</f>
        <v>0</v>
      </c>
      <c r="M77" s="578">
        <f>0+táj2!M77</f>
        <v>0</v>
      </c>
      <c r="N77" s="578">
        <f>0+táj2!N77</f>
        <v>0</v>
      </c>
      <c r="O77" s="578">
        <f>0+táj2!O77</f>
        <v>0</v>
      </c>
      <c r="P77" s="578">
        <f>0+táj2!P77</f>
        <v>0</v>
      </c>
      <c r="Q77" s="578">
        <f t="shared" si="7"/>
        <v>500000</v>
      </c>
    </row>
    <row r="78" spans="1:17" ht="14.1" customHeight="1" x14ac:dyDescent="0.2">
      <c r="A78" s="45"/>
      <c r="B78" s="45"/>
      <c r="C78" s="95"/>
      <c r="D78" s="90" t="s">
        <v>584</v>
      </c>
      <c r="E78" s="48">
        <v>2</v>
      </c>
      <c r="F78" s="48">
        <v>131409</v>
      </c>
      <c r="G78" s="578">
        <f>0+táj2!G78</f>
        <v>0</v>
      </c>
      <c r="H78" s="578">
        <f>0+táj2!H78</f>
        <v>0</v>
      </c>
      <c r="I78" s="578">
        <f>0+táj2!I78</f>
        <v>0</v>
      </c>
      <c r="J78" s="578">
        <f>0+táj2!J78</f>
        <v>0</v>
      </c>
      <c r="K78" s="578">
        <f>4500000+táj2!K78</f>
        <v>4500000</v>
      </c>
      <c r="L78" s="578">
        <f>0+táj2!L78</f>
        <v>0</v>
      </c>
      <c r="M78" s="578">
        <f>0+táj2!M78</f>
        <v>0</v>
      </c>
      <c r="N78" s="578">
        <f>0+táj2!N78</f>
        <v>0</v>
      </c>
      <c r="O78" s="578">
        <f>0+táj2!O78</f>
        <v>0</v>
      </c>
      <c r="P78" s="578">
        <f>0+táj2!P78</f>
        <v>0</v>
      </c>
      <c r="Q78" s="578">
        <f t="shared" si="7"/>
        <v>4500000</v>
      </c>
    </row>
    <row r="79" spans="1:17" ht="14.1" customHeight="1" x14ac:dyDescent="0.2">
      <c r="A79" s="45"/>
      <c r="B79" s="45"/>
      <c r="C79" s="56"/>
      <c r="D79" s="259" t="s">
        <v>753</v>
      </c>
      <c r="E79" s="48">
        <v>2</v>
      </c>
      <c r="F79" s="48">
        <v>131367</v>
      </c>
      <c r="G79" s="578">
        <f>0+táj2!G79</f>
        <v>0</v>
      </c>
      <c r="H79" s="578">
        <f>0+táj2!H79</f>
        <v>0</v>
      </c>
      <c r="I79" s="578">
        <f>0+táj2!I79</f>
        <v>0</v>
      </c>
      <c r="J79" s="578">
        <f>0+táj2!J79</f>
        <v>0</v>
      </c>
      <c r="K79" s="578">
        <f>2000000+táj2!K79</f>
        <v>2000000</v>
      </c>
      <c r="L79" s="578">
        <f>0+táj2!L79</f>
        <v>0</v>
      </c>
      <c r="M79" s="578">
        <f>0+táj2!M79</f>
        <v>0</v>
      </c>
      <c r="N79" s="578">
        <f>0+táj2!N79</f>
        <v>0</v>
      </c>
      <c r="O79" s="578">
        <f>0+táj2!O79</f>
        <v>0</v>
      </c>
      <c r="P79" s="578">
        <f>0+táj2!P79</f>
        <v>0</v>
      </c>
      <c r="Q79" s="578">
        <f t="shared" si="7"/>
        <v>2000000</v>
      </c>
    </row>
    <row r="80" spans="1:17" ht="14.1" customHeight="1" x14ac:dyDescent="0.2">
      <c r="A80" s="45"/>
      <c r="B80" s="45"/>
      <c r="C80" s="95"/>
      <c r="D80" s="90" t="s">
        <v>585</v>
      </c>
      <c r="E80" s="48">
        <v>2</v>
      </c>
      <c r="F80" s="48">
        <v>131352</v>
      </c>
      <c r="G80" s="578">
        <f>0+táj2!G80</f>
        <v>0</v>
      </c>
      <c r="H80" s="578">
        <f>0+táj2!H80</f>
        <v>0</v>
      </c>
      <c r="I80" s="578">
        <f>0+táj2!I80</f>
        <v>0</v>
      </c>
      <c r="J80" s="578">
        <f>0+táj2!J80</f>
        <v>0</v>
      </c>
      <c r="K80" s="578">
        <f>0+táj2!K80</f>
        <v>0</v>
      </c>
      <c r="L80" s="578">
        <f>0+táj2!L80</f>
        <v>0</v>
      </c>
      <c r="M80" s="578">
        <f>0+táj2!M80</f>
        <v>0</v>
      </c>
      <c r="N80" s="578">
        <f>0+táj2!N80</f>
        <v>0</v>
      </c>
      <c r="O80" s="578">
        <f>0+táj2!O80</f>
        <v>0</v>
      </c>
      <c r="P80" s="578">
        <f>0+táj2!P80</f>
        <v>0</v>
      </c>
      <c r="Q80" s="578">
        <f t="shared" si="7"/>
        <v>0</v>
      </c>
    </row>
    <row r="81" spans="1:17" ht="14.1" customHeight="1" x14ac:dyDescent="0.2">
      <c r="A81" s="45"/>
      <c r="B81" s="45"/>
      <c r="C81" s="95"/>
      <c r="D81" s="90" t="s">
        <v>586</v>
      </c>
      <c r="E81" s="48">
        <v>2</v>
      </c>
      <c r="F81" s="48">
        <v>131353</v>
      </c>
      <c r="G81" s="578">
        <f>0+táj2!G81</f>
        <v>0</v>
      </c>
      <c r="H81" s="578">
        <f>0+táj2!H81</f>
        <v>0</v>
      </c>
      <c r="I81" s="578">
        <f>0+táj2!I81</f>
        <v>0</v>
      </c>
      <c r="J81" s="578">
        <f>0+táj2!J81</f>
        <v>0</v>
      </c>
      <c r="K81" s="578">
        <f>100000+táj2!K81</f>
        <v>100000</v>
      </c>
      <c r="L81" s="578">
        <f>0+táj2!L81</f>
        <v>0</v>
      </c>
      <c r="M81" s="578">
        <f>0+táj2!M81</f>
        <v>0</v>
      </c>
      <c r="N81" s="578">
        <f>0+táj2!N81</f>
        <v>0</v>
      </c>
      <c r="O81" s="578">
        <f>0+táj2!O81</f>
        <v>0</v>
      </c>
      <c r="P81" s="578">
        <f>0+táj2!P81</f>
        <v>0</v>
      </c>
      <c r="Q81" s="578">
        <f t="shared" si="7"/>
        <v>100000</v>
      </c>
    </row>
    <row r="82" spans="1:17" ht="14.1" customHeight="1" x14ac:dyDescent="0.2">
      <c r="A82" s="45"/>
      <c r="B82" s="45"/>
      <c r="C82" s="95"/>
      <c r="D82" s="90" t="s">
        <v>754</v>
      </c>
      <c r="E82" s="48">
        <v>2</v>
      </c>
      <c r="F82" s="48">
        <v>131329</v>
      </c>
      <c r="G82" s="578">
        <f>0+táj2!G82</f>
        <v>0</v>
      </c>
      <c r="H82" s="578">
        <f>0+táj2!H82</f>
        <v>0</v>
      </c>
      <c r="I82" s="578">
        <f>4711000+táj2!I82</f>
        <v>4711000</v>
      </c>
      <c r="J82" s="578">
        <f>0+táj2!J82</f>
        <v>0</v>
      </c>
      <c r="K82" s="578">
        <f>0+táj2!K82</f>
        <v>0</v>
      </c>
      <c r="L82" s="578">
        <f>0+táj2!L82</f>
        <v>0</v>
      </c>
      <c r="M82" s="578">
        <f>0+táj2!M82</f>
        <v>0</v>
      </c>
      <c r="N82" s="578">
        <f>0+táj2!N82</f>
        <v>0</v>
      </c>
      <c r="O82" s="578">
        <f>0+táj2!O82</f>
        <v>0</v>
      </c>
      <c r="P82" s="578">
        <f>0+táj2!P82</f>
        <v>0</v>
      </c>
      <c r="Q82" s="578">
        <f t="shared" si="7"/>
        <v>4711000</v>
      </c>
    </row>
    <row r="83" spans="1:17" ht="14.1" customHeight="1" x14ac:dyDescent="0.2">
      <c r="A83" s="45"/>
      <c r="B83" s="45"/>
      <c r="C83" s="95"/>
      <c r="D83" s="91" t="s">
        <v>504</v>
      </c>
      <c r="E83" s="48">
        <v>2</v>
      </c>
      <c r="F83" s="48">
        <v>131321</v>
      </c>
      <c r="G83" s="578">
        <f>0+táj2!G83</f>
        <v>0</v>
      </c>
      <c r="H83" s="578">
        <f>0+táj2!H83</f>
        <v>0</v>
      </c>
      <c r="I83" s="578">
        <f>0+táj2!I83</f>
        <v>0</v>
      </c>
      <c r="J83" s="578">
        <f>0+táj2!J83</f>
        <v>0</v>
      </c>
      <c r="K83" s="578">
        <f>135000000+táj2!K83</f>
        <v>135000000</v>
      </c>
      <c r="L83" s="578">
        <f>0+táj2!L83</f>
        <v>0</v>
      </c>
      <c r="M83" s="578">
        <f>0+táj2!M83</f>
        <v>0</v>
      </c>
      <c r="N83" s="578">
        <f>0+táj2!N83</f>
        <v>0</v>
      </c>
      <c r="O83" s="578">
        <f>0+táj2!O83</f>
        <v>0</v>
      </c>
      <c r="P83" s="578">
        <f>0+táj2!P83</f>
        <v>0</v>
      </c>
      <c r="Q83" s="578">
        <f t="shared" si="7"/>
        <v>135000000</v>
      </c>
    </row>
    <row r="84" spans="1:17" ht="26.25" customHeight="1" x14ac:dyDescent="0.2">
      <c r="A84" s="45"/>
      <c r="B84" s="45"/>
      <c r="C84" s="95"/>
      <c r="D84" s="91" t="s">
        <v>276</v>
      </c>
      <c r="E84" s="48">
        <v>2</v>
      </c>
      <c r="F84" s="48">
        <v>131313</v>
      </c>
      <c r="G84" s="578">
        <f>0+táj2!G84</f>
        <v>0</v>
      </c>
      <c r="H84" s="578">
        <f>0+táj2!H84</f>
        <v>0</v>
      </c>
      <c r="I84" s="578">
        <f>0+táj2!I84</f>
        <v>0</v>
      </c>
      <c r="J84" s="578">
        <f>0+táj2!J84</f>
        <v>0</v>
      </c>
      <c r="K84" s="578">
        <f>30000000+táj2!K84</f>
        <v>30000000</v>
      </c>
      <c r="L84" s="578">
        <f>0+táj2!L84</f>
        <v>0</v>
      </c>
      <c r="M84" s="578">
        <f>0+táj2!M84</f>
        <v>0</v>
      </c>
      <c r="N84" s="578">
        <f>0+táj2!N84</f>
        <v>0</v>
      </c>
      <c r="O84" s="578">
        <f>0+táj2!O84</f>
        <v>0</v>
      </c>
      <c r="P84" s="578">
        <f>0+táj2!P84</f>
        <v>0</v>
      </c>
      <c r="Q84" s="578">
        <f t="shared" si="7"/>
        <v>30000000</v>
      </c>
    </row>
    <row r="85" spans="1:17" ht="14.1" customHeight="1" x14ac:dyDescent="0.2">
      <c r="A85" s="45"/>
      <c r="B85" s="45"/>
      <c r="C85" s="95"/>
      <c r="D85" s="96" t="s">
        <v>277</v>
      </c>
      <c r="E85" s="48">
        <v>2</v>
      </c>
      <c r="F85" s="48">
        <v>131501</v>
      </c>
      <c r="G85" s="578">
        <f>0+táj2!G85</f>
        <v>0</v>
      </c>
      <c r="H85" s="578">
        <f>0+táj2!H85</f>
        <v>0</v>
      </c>
      <c r="I85" s="578">
        <f>100000+táj2!I85</f>
        <v>100000</v>
      </c>
      <c r="J85" s="578">
        <f>0+táj2!J85</f>
        <v>0</v>
      </c>
      <c r="K85" s="578">
        <f>0+táj2!K85</f>
        <v>0</v>
      </c>
      <c r="L85" s="578">
        <f>0+táj2!L85</f>
        <v>0</v>
      </c>
      <c r="M85" s="578">
        <f>0+táj2!M85</f>
        <v>0</v>
      </c>
      <c r="N85" s="578">
        <f>0+táj2!N85</f>
        <v>0</v>
      </c>
      <c r="O85" s="578">
        <f>0+táj2!O85</f>
        <v>0</v>
      </c>
      <c r="P85" s="578">
        <f>0+táj2!P85</f>
        <v>0</v>
      </c>
      <c r="Q85" s="578">
        <f t="shared" si="7"/>
        <v>100000</v>
      </c>
    </row>
    <row r="86" spans="1:17" ht="14.1" customHeight="1" x14ac:dyDescent="0.2">
      <c r="A86" s="45"/>
      <c r="B86" s="45"/>
      <c r="C86" s="95"/>
      <c r="D86" s="70" t="s">
        <v>568</v>
      </c>
      <c r="E86" s="48">
        <v>2</v>
      </c>
      <c r="F86" s="48">
        <v>131310</v>
      </c>
      <c r="G86" s="578">
        <f>0+táj2!G86</f>
        <v>0</v>
      </c>
      <c r="H86" s="578">
        <f>0+táj2!H86</f>
        <v>0</v>
      </c>
      <c r="I86" s="578">
        <f>0+táj2!I86</f>
        <v>0</v>
      </c>
      <c r="J86" s="578">
        <f>0+táj2!J86</f>
        <v>0</v>
      </c>
      <c r="K86" s="578">
        <f>300000+táj2!K86</f>
        <v>300000</v>
      </c>
      <c r="L86" s="578">
        <f>0+táj2!L86</f>
        <v>0</v>
      </c>
      <c r="M86" s="578">
        <f>0+táj2!M86</f>
        <v>0</v>
      </c>
      <c r="N86" s="578">
        <f>0+táj2!N86</f>
        <v>0</v>
      </c>
      <c r="O86" s="578">
        <f>0+táj2!O86</f>
        <v>0</v>
      </c>
      <c r="P86" s="578">
        <f>0+táj2!P86</f>
        <v>0</v>
      </c>
      <c r="Q86" s="578">
        <f t="shared" si="7"/>
        <v>300000</v>
      </c>
    </row>
    <row r="87" spans="1:17" ht="14.1" customHeight="1" x14ac:dyDescent="0.2">
      <c r="A87" s="45"/>
      <c r="B87" s="45"/>
      <c r="C87" s="95"/>
      <c r="D87" s="144" t="s">
        <v>569</v>
      </c>
      <c r="E87" s="106">
        <v>2</v>
      </c>
      <c r="F87" s="106">
        <v>131410</v>
      </c>
      <c r="G87" s="578">
        <f>0+táj2!G87</f>
        <v>0</v>
      </c>
      <c r="H87" s="578">
        <f>0+táj2!H87</f>
        <v>0</v>
      </c>
      <c r="I87" s="578">
        <f>0+táj2!I87</f>
        <v>0</v>
      </c>
      <c r="J87" s="578">
        <f>0+táj2!J87</f>
        <v>0</v>
      </c>
      <c r="K87" s="578">
        <f>500000+táj2!K87</f>
        <v>500000</v>
      </c>
      <c r="L87" s="578">
        <f>0+táj2!L87</f>
        <v>0</v>
      </c>
      <c r="M87" s="578">
        <f>0+táj2!M87</f>
        <v>0</v>
      </c>
      <c r="N87" s="578">
        <f>0+táj2!N87</f>
        <v>0</v>
      </c>
      <c r="O87" s="578">
        <f>0+táj2!O87</f>
        <v>0</v>
      </c>
      <c r="P87" s="578">
        <f>0+táj2!P87</f>
        <v>0</v>
      </c>
      <c r="Q87" s="579">
        <f t="shared" si="7"/>
        <v>500000</v>
      </c>
    </row>
    <row r="88" spans="1:17" ht="14.1" customHeight="1" x14ac:dyDescent="0.2">
      <c r="A88" s="107"/>
      <c r="B88" s="107"/>
      <c r="C88" s="145"/>
      <c r="D88" s="144" t="s">
        <v>633</v>
      </c>
      <c r="E88" s="106">
        <v>2</v>
      </c>
      <c r="F88" s="106">
        <v>221944</v>
      </c>
      <c r="G88" s="578">
        <f>0+táj2!G88</f>
        <v>0</v>
      </c>
      <c r="H88" s="578">
        <f>0+táj2!H88</f>
        <v>0</v>
      </c>
      <c r="I88" s="578">
        <f>0+táj2!I88</f>
        <v>0</v>
      </c>
      <c r="J88" s="578">
        <f>0+táj2!J88</f>
        <v>0</v>
      </c>
      <c r="K88" s="578">
        <f>500000+táj2!K88</f>
        <v>500000</v>
      </c>
      <c r="L88" s="578">
        <f>0+táj2!L88</f>
        <v>0</v>
      </c>
      <c r="M88" s="578">
        <f>0+táj2!M88</f>
        <v>0</v>
      </c>
      <c r="N88" s="578">
        <f>0+táj2!N88</f>
        <v>0</v>
      </c>
      <c r="O88" s="578">
        <f>0+táj2!O88</f>
        <v>0</v>
      </c>
      <c r="P88" s="578">
        <f>0+táj2!P88</f>
        <v>0</v>
      </c>
      <c r="Q88" s="579">
        <f t="shared" si="7"/>
        <v>500000</v>
      </c>
    </row>
    <row r="89" spans="1:17" ht="14.1" customHeight="1" x14ac:dyDescent="0.2">
      <c r="A89" s="107"/>
      <c r="B89" s="107"/>
      <c r="C89" s="145"/>
      <c r="D89" s="144" t="s">
        <v>588</v>
      </c>
      <c r="E89" s="106">
        <v>2</v>
      </c>
      <c r="F89" s="106">
        <v>131307</v>
      </c>
      <c r="G89" s="578">
        <f>0+táj2!G89</f>
        <v>0</v>
      </c>
      <c r="H89" s="578">
        <f>0+táj2!H89</f>
        <v>0</v>
      </c>
      <c r="I89" s="578">
        <f>0+táj2!I89</f>
        <v>0</v>
      </c>
      <c r="J89" s="578">
        <f>0+táj2!J89</f>
        <v>0</v>
      </c>
      <c r="K89" s="578">
        <f>1400000+táj2!K89</f>
        <v>1400000</v>
      </c>
      <c r="L89" s="578">
        <f>0+táj2!L89</f>
        <v>0</v>
      </c>
      <c r="M89" s="578">
        <f>0+táj2!M89</f>
        <v>0</v>
      </c>
      <c r="N89" s="578">
        <f>0+táj2!N89</f>
        <v>0</v>
      </c>
      <c r="O89" s="578">
        <f>0+táj2!O89</f>
        <v>0</v>
      </c>
      <c r="P89" s="578">
        <f>0+táj2!P89</f>
        <v>0</v>
      </c>
      <c r="Q89" s="579">
        <f t="shared" si="7"/>
        <v>1400000</v>
      </c>
    </row>
    <row r="90" spans="1:17" ht="14.1" customHeight="1" x14ac:dyDescent="0.2">
      <c r="A90" s="107"/>
      <c r="B90" s="107"/>
      <c r="C90" s="145"/>
      <c r="D90" s="144" t="s">
        <v>1016</v>
      </c>
      <c r="E90" s="106">
        <v>2</v>
      </c>
      <c r="F90" s="106">
        <v>131357</v>
      </c>
      <c r="G90" s="578">
        <f>0+táj2!G90</f>
        <v>0</v>
      </c>
      <c r="H90" s="578">
        <f>0+táj2!H90</f>
        <v>0</v>
      </c>
      <c r="I90" s="578">
        <f>0+táj2!I90</f>
        <v>0</v>
      </c>
      <c r="J90" s="578">
        <f>0+táj2!J90</f>
        <v>0</v>
      </c>
      <c r="K90" s="578">
        <f>500000+táj2!K90</f>
        <v>500000</v>
      </c>
      <c r="L90" s="578">
        <f>0+táj2!L90</f>
        <v>0</v>
      </c>
      <c r="M90" s="578">
        <f>0+táj2!M90</f>
        <v>0</v>
      </c>
      <c r="N90" s="578">
        <f>0+táj2!N90</f>
        <v>0</v>
      </c>
      <c r="O90" s="578">
        <f>0+táj2!O90</f>
        <v>0</v>
      </c>
      <c r="P90" s="578">
        <f>0+táj2!P90</f>
        <v>0</v>
      </c>
      <c r="Q90" s="579">
        <f t="shared" si="7"/>
        <v>500000</v>
      </c>
    </row>
    <row r="91" spans="1:17" ht="14.1" customHeight="1" x14ac:dyDescent="0.2">
      <c r="A91" s="107"/>
      <c r="B91" s="107"/>
      <c r="C91" s="145"/>
      <c r="D91" s="144" t="s">
        <v>589</v>
      </c>
      <c r="E91" s="106">
        <v>2</v>
      </c>
      <c r="F91" s="106">
        <v>131323</v>
      </c>
      <c r="G91" s="578">
        <f>0+táj2!G91</f>
        <v>0</v>
      </c>
      <c r="H91" s="578">
        <f>0+táj2!H91</f>
        <v>0</v>
      </c>
      <c r="I91" s="578">
        <f>0+táj2!I91</f>
        <v>0</v>
      </c>
      <c r="J91" s="578">
        <f>0+táj2!J91</f>
        <v>0</v>
      </c>
      <c r="K91" s="578">
        <f>1500000+táj2!K91</f>
        <v>1500000</v>
      </c>
      <c r="L91" s="578">
        <f>0+táj2!L91</f>
        <v>0</v>
      </c>
      <c r="M91" s="578">
        <f>0+táj2!M91</f>
        <v>0</v>
      </c>
      <c r="N91" s="578">
        <f>0+táj2!N91</f>
        <v>0</v>
      </c>
      <c r="O91" s="578">
        <f>0+táj2!O91</f>
        <v>0</v>
      </c>
      <c r="P91" s="578">
        <f>0+táj2!P91</f>
        <v>0</v>
      </c>
      <c r="Q91" s="579">
        <f t="shared" si="7"/>
        <v>1500000</v>
      </c>
    </row>
    <row r="92" spans="1:17" ht="14.1" customHeight="1" x14ac:dyDescent="0.2">
      <c r="A92" s="107"/>
      <c r="B92" s="107"/>
      <c r="C92" s="145"/>
      <c r="D92" s="144" t="s">
        <v>755</v>
      </c>
      <c r="E92" s="106">
        <v>2</v>
      </c>
      <c r="F92" s="106">
        <v>131315</v>
      </c>
      <c r="G92" s="578">
        <f>0+táj2!G92</f>
        <v>0</v>
      </c>
      <c r="H92" s="578">
        <f>0+táj2!H92</f>
        <v>0</v>
      </c>
      <c r="I92" s="578">
        <f>0+táj2!I92</f>
        <v>0</v>
      </c>
      <c r="J92" s="578">
        <f>0+táj2!J92</f>
        <v>0</v>
      </c>
      <c r="K92" s="578">
        <f>2000000+táj2!K92</f>
        <v>2000000</v>
      </c>
      <c r="L92" s="578">
        <f>0+táj2!L92</f>
        <v>0</v>
      </c>
      <c r="M92" s="578">
        <f>0+táj2!M92</f>
        <v>0</v>
      </c>
      <c r="N92" s="578">
        <f>0+táj2!N92</f>
        <v>0</v>
      </c>
      <c r="O92" s="578">
        <f>0+táj2!O92</f>
        <v>0</v>
      </c>
      <c r="P92" s="578">
        <f>0+táj2!P92</f>
        <v>0</v>
      </c>
      <c r="Q92" s="579">
        <f t="shared" si="7"/>
        <v>2000000</v>
      </c>
    </row>
    <row r="93" spans="1:17" ht="25.5" customHeight="1" x14ac:dyDescent="0.2">
      <c r="A93" s="107"/>
      <c r="B93" s="107"/>
      <c r="C93" s="145"/>
      <c r="D93" s="146" t="s">
        <v>278</v>
      </c>
      <c r="E93" s="106">
        <v>2</v>
      </c>
      <c r="F93" s="106">
        <v>131348</v>
      </c>
      <c r="G93" s="578">
        <f>0+táj2!G93</f>
        <v>0</v>
      </c>
      <c r="H93" s="578">
        <f>0+táj2!H93</f>
        <v>0</v>
      </c>
      <c r="I93" s="578">
        <f>0+táj2!I93</f>
        <v>0</v>
      </c>
      <c r="J93" s="578">
        <f>0+táj2!J93</f>
        <v>0</v>
      </c>
      <c r="K93" s="578">
        <f>6000000+táj2!K93</f>
        <v>6000000</v>
      </c>
      <c r="L93" s="578">
        <f>0+táj2!L93</f>
        <v>0</v>
      </c>
      <c r="M93" s="578">
        <f>0+táj2!M93</f>
        <v>0</v>
      </c>
      <c r="N93" s="578">
        <f>0+táj2!N93</f>
        <v>0</v>
      </c>
      <c r="O93" s="578">
        <f>0+táj2!O93</f>
        <v>0</v>
      </c>
      <c r="P93" s="578">
        <f>0+táj2!P93</f>
        <v>0</v>
      </c>
      <c r="Q93" s="579">
        <f t="shared" si="7"/>
        <v>6000000</v>
      </c>
    </row>
    <row r="94" spans="1:17" ht="14.1" customHeight="1" x14ac:dyDescent="0.2">
      <c r="A94" s="107"/>
      <c r="B94" s="107"/>
      <c r="C94" s="145"/>
      <c r="D94" s="105" t="s">
        <v>648</v>
      </c>
      <c r="E94" s="106">
        <v>2</v>
      </c>
      <c r="F94" s="106">
        <v>131213</v>
      </c>
      <c r="G94" s="578">
        <f>0+táj2!G94</f>
        <v>0</v>
      </c>
      <c r="H94" s="578">
        <f>0+táj2!H94</f>
        <v>0</v>
      </c>
      <c r="I94" s="578">
        <f>0+táj2!I94</f>
        <v>0</v>
      </c>
      <c r="J94" s="578">
        <f>0+táj2!J94</f>
        <v>0</v>
      </c>
      <c r="K94" s="578">
        <f>3500000+táj2!K94</f>
        <v>3500000</v>
      </c>
      <c r="L94" s="578">
        <f>0+táj2!L94</f>
        <v>0</v>
      </c>
      <c r="M94" s="578">
        <f>0+táj2!M94</f>
        <v>0</v>
      </c>
      <c r="N94" s="578">
        <f>0+táj2!N94</f>
        <v>0</v>
      </c>
      <c r="O94" s="578">
        <f>0+táj2!O94</f>
        <v>0</v>
      </c>
      <c r="P94" s="578">
        <f>0+táj2!P94</f>
        <v>0</v>
      </c>
      <c r="Q94" s="579">
        <f t="shared" si="7"/>
        <v>3500000</v>
      </c>
    </row>
    <row r="95" spans="1:17" ht="16.149999999999999" customHeight="1" x14ac:dyDescent="0.2">
      <c r="A95" s="107"/>
      <c r="B95" s="107"/>
      <c r="C95" s="145"/>
      <c r="D95" s="105" t="s">
        <v>756</v>
      </c>
      <c r="E95" s="106">
        <v>2</v>
      </c>
      <c r="F95" s="106">
        <v>131363</v>
      </c>
      <c r="G95" s="578">
        <f>0+táj2!G95</f>
        <v>0</v>
      </c>
      <c r="H95" s="578">
        <f>0+táj2!H95</f>
        <v>0</v>
      </c>
      <c r="I95" s="578">
        <f>0+táj2!I95</f>
        <v>0</v>
      </c>
      <c r="J95" s="578">
        <f>0+táj2!J95</f>
        <v>0</v>
      </c>
      <c r="K95" s="578">
        <f>3500000+táj2!K95</f>
        <v>3500000</v>
      </c>
      <c r="L95" s="578">
        <f>0+táj2!L95</f>
        <v>0</v>
      </c>
      <c r="M95" s="578">
        <f>0+táj2!M95</f>
        <v>0</v>
      </c>
      <c r="N95" s="578">
        <f>0+táj2!N95</f>
        <v>0</v>
      </c>
      <c r="O95" s="578">
        <f>0+táj2!O95</f>
        <v>0</v>
      </c>
      <c r="P95" s="578">
        <f>0+táj2!P95</f>
        <v>0</v>
      </c>
      <c r="Q95" s="579">
        <f t="shared" si="7"/>
        <v>3500000</v>
      </c>
    </row>
    <row r="96" spans="1:17" ht="16.149999999999999" customHeight="1" x14ac:dyDescent="0.2">
      <c r="A96" s="45"/>
      <c r="B96" s="45"/>
      <c r="C96" s="56"/>
      <c r="D96" s="148" t="s">
        <v>703</v>
      </c>
      <c r="E96" s="202">
        <v>2</v>
      </c>
      <c r="F96" s="202">
        <v>131365</v>
      </c>
      <c r="G96" s="578">
        <f>72494+táj2!G96</f>
        <v>72494</v>
      </c>
      <c r="H96" s="578">
        <f>171000+táj2!H96</f>
        <v>171000</v>
      </c>
      <c r="I96" s="578">
        <f>1160+táj2!I96</f>
        <v>1160</v>
      </c>
      <c r="J96" s="578">
        <f>0+táj2!J96</f>
        <v>0</v>
      </c>
      <c r="K96" s="578">
        <f>0+táj2!K96</f>
        <v>0</v>
      </c>
      <c r="L96" s="578">
        <f>0+táj2!L96</f>
        <v>0</v>
      </c>
      <c r="M96" s="578">
        <f>0+táj2!M96</f>
        <v>0</v>
      </c>
      <c r="N96" s="578">
        <f>0+táj2!N96</f>
        <v>0</v>
      </c>
      <c r="O96" s="578">
        <f>0+táj2!O96</f>
        <v>0</v>
      </c>
      <c r="P96" s="578">
        <f>0+táj2!P96</f>
        <v>0</v>
      </c>
      <c r="Q96" s="579">
        <f t="shared" si="7"/>
        <v>244654</v>
      </c>
    </row>
    <row r="97" spans="1:17" ht="26.25" customHeight="1" x14ac:dyDescent="0.2">
      <c r="A97" s="107"/>
      <c r="B97" s="107"/>
      <c r="C97" s="145"/>
      <c r="D97" s="105" t="s">
        <v>279</v>
      </c>
      <c r="E97" s="106">
        <v>2</v>
      </c>
      <c r="F97" s="106">
        <v>131345</v>
      </c>
      <c r="G97" s="578">
        <f>0+táj2!G97</f>
        <v>0</v>
      </c>
      <c r="H97" s="578">
        <f>0+táj2!H97</f>
        <v>0</v>
      </c>
      <c r="I97" s="578">
        <f>0+táj2!I97</f>
        <v>0</v>
      </c>
      <c r="J97" s="578">
        <f>0+táj2!J97</f>
        <v>0</v>
      </c>
      <c r="K97" s="578">
        <f>500000+táj2!K97</f>
        <v>500000</v>
      </c>
      <c r="L97" s="578">
        <f>0+táj2!L97</f>
        <v>0</v>
      </c>
      <c r="M97" s="578">
        <f>0+táj2!M97</f>
        <v>0</v>
      </c>
      <c r="N97" s="578">
        <f>0+táj2!N97</f>
        <v>0</v>
      </c>
      <c r="O97" s="578">
        <f>0+táj2!O97</f>
        <v>0</v>
      </c>
      <c r="P97" s="578">
        <f>0+táj2!P97</f>
        <v>0</v>
      </c>
      <c r="Q97" s="579">
        <f t="shared" si="7"/>
        <v>500000</v>
      </c>
    </row>
    <row r="98" spans="1:17" ht="14.45" customHeight="1" x14ac:dyDescent="0.2">
      <c r="A98" s="107"/>
      <c r="B98" s="107"/>
      <c r="C98" s="145"/>
      <c r="D98" s="111" t="s">
        <v>280</v>
      </c>
      <c r="E98" s="112"/>
      <c r="F98" s="133"/>
      <c r="G98" s="578"/>
      <c r="H98" s="579"/>
      <c r="I98" s="579"/>
      <c r="J98" s="579"/>
      <c r="K98" s="579"/>
      <c r="L98" s="579"/>
      <c r="M98" s="579"/>
      <c r="N98" s="579"/>
      <c r="O98" s="579"/>
      <c r="P98" s="579"/>
      <c r="Q98" s="579"/>
    </row>
    <row r="99" spans="1:17" ht="25.9" customHeight="1" x14ac:dyDescent="0.2">
      <c r="A99" s="107"/>
      <c r="B99" s="107"/>
      <c r="C99" s="108"/>
      <c r="D99" s="149" t="s">
        <v>281</v>
      </c>
      <c r="E99" s="133">
        <v>2</v>
      </c>
      <c r="F99" s="106">
        <v>131401</v>
      </c>
      <c r="G99" s="578">
        <f>0+táj2!G99</f>
        <v>0</v>
      </c>
      <c r="H99" s="578">
        <f>0+táj2!H99</f>
        <v>0</v>
      </c>
      <c r="I99" s="578">
        <f>0+táj2!I99</f>
        <v>0</v>
      </c>
      <c r="J99" s="578">
        <f>0+táj2!J99</f>
        <v>0</v>
      </c>
      <c r="K99" s="578">
        <f>1000000+táj2!K99</f>
        <v>1000000</v>
      </c>
      <c r="L99" s="578">
        <f>0+táj2!L99</f>
        <v>0</v>
      </c>
      <c r="M99" s="578">
        <f>0+táj2!M99</f>
        <v>0</v>
      </c>
      <c r="N99" s="578">
        <f>0+táj2!N99</f>
        <v>0</v>
      </c>
      <c r="O99" s="578">
        <f>0+táj2!O99</f>
        <v>0</v>
      </c>
      <c r="P99" s="578">
        <f>0+táj2!P99</f>
        <v>0</v>
      </c>
      <c r="Q99" s="579">
        <f t="shared" ref="Q99:Q107" si="8">SUM(G99:P99)</f>
        <v>1000000</v>
      </c>
    </row>
    <row r="100" spans="1:17" ht="14.1" customHeight="1" x14ac:dyDescent="0.2">
      <c r="A100" s="107"/>
      <c r="B100" s="107"/>
      <c r="C100" s="145"/>
      <c r="D100" s="150" t="s">
        <v>282</v>
      </c>
      <c r="E100" s="133">
        <v>2</v>
      </c>
      <c r="F100" s="106">
        <v>131402</v>
      </c>
      <c r="G100" s="578">
        <f>0+táj2!G100</f>
        <v>0</v>
      </c>
      <c r="H100" s="578">
        <f>0+táj2!H100</f>
        <v>0</v>
      </c>
      <c r="I100" s="578">
        <f>0+táj2!I100</f>
        <v>0</v>
      </c>
      <c r="J100" s="578">
        <f>0+táj2!J100</f>
        <v>0</v>
      </c>
      <c r="K100" s="578">
        <f>5000000+táj2!K100</f>
        <v>5000000</v>
      </c>
      <c r="L100" s="578">
        <f>0+táj2!L100</f>
        <v>0</v>
      </c>
      <c r="M100" s="578">
        <f>0+táj2!M100</f>
        <v>0</v>
      </c>
      <c r="N100" s="578">
        <f>0+táj2!N100</f>
        <v>0</v>
      </c>
      <c r="O100" s="578">
        <f>0+táj2!O100</f>
        <v>0</v>
      </c>
      <c r="P100" s="578">
        <f>0+táj2!P100</f>
        <v>0</v>
      </c>
      <c r="Q100" s="579">
        <f t="shared" si="8"/>
        <v>5000000</v>
      </c>
    </row>
    <row r="101" spans="1:17" ht="14.1" customHeight="1" x14ac:dyDescent="0.2">
      <c r="A101" s="107"/>
      <c r="B101" s="107"/>
      <c r="C101" s="145"/>
      <c r="D101" s="111" t="s">
        <v>757</v>
      </c>
      <c r="E101" s="133">
        <v>2</v>
      </c>
      <c r="F101" s="106">
        <v>131403</v>
      </c>
      <c r="G101" s="578">
        <f>0+táj2!G101</f>
        <v>0</v>
      </c>
      <c r="H101" s="578">
        <f>0+táj2!H101</f>
        <v>0</v>
      </c>
      <c r="I101" s="578">
        <f>0+táj2!I101</f>
        <v>0</v>
      </c>
      <c r="J101" s="578">
        <f>0+táj2!J101</f>
        <v>0</v>
      </c>
      <c r="K101" s="578">
        <f>7000000+táj2!K101</f>
        <v>7000000</v>
      </c>
      <c r="L101" s="578">
        <f>0+táj2!L101</f>
        <v>0</v>
      </c>
      <c r="M101" s="578">
        <f>0+táj2!M101</f>
        <v>0</v>
      </c>
      <c r="N101" s="578">
        <f>0+táj2!N101</f>
        <v>0</v>
      </c>
      <c r="O101" s="578">
        <f>0+táj2!O101</f>
        <v>0</v>
      </c>
      <c r="P101" s="578">
        <f>0+táj2!P101</f>
        <v>0</v>
      </c>
      <c r="Q101" s="579">
        <f t="shared" si="8"/>
        <v>7000000</v>
      </c>
    </row>
    <row r="102" spans="1:17" ht="14.1" customHeight="1" x14ac:dyDescent="0.2">
      <c r="A102" s="107"/>
      <c r="B102" s="107"/>
      <c r="C102" s="145"/>
      <c r="D102" s="111" t="s">
        <v>283</v>
      </c>
      <c r="E102" s="133">
        <v>2</v>
      </c>
      <c r="F102" s="106">
        <v>131404</v>
      </c>
      <c r="G102" s="578">
        <f>0+táj2!G102</f>
        <v>0</v>
      </c>
      <c r="H102" s="578">
        <f>0+táj2!H102</f>
        <v>0</v>
      </c>
      <c r="I102" s="578">
        <f>0+táj2!I102</f>
        <v>0</v>
      </c>
      <c r="J102" s="578">
        <f>0+táj2!J102</f>
        <v>0</v>
      </c>
      <c r="K102" s="578">
        <f>4000000+táj2!K102</f>
        <v>4000000</v>
      </c>
      <c r="L102" s="578">
        <f>0+táj2!L102</f>
        <v>0</v>
      </c>
      <c r="M102" s="578">
        <f>0+táj2!M102</f>
        <v>0</v>
      </c>
      <c r="N102" s="578">
        <f>0+táj2!N102</f>
        <v>0</v>
      </c>
      <c r="O102" s="578">
        <f>0+táj2!O102</f>
        <v>0</v>
      </c>
      <c r="P102" s="578">
        <f>0+táj2!P102</f>
        <v>0</v>
      </c>
      <c r="Q102" s="579">
        <f t="shared" si="8"/>
        <v>4000000</v>
      </c>
    </row>
    <row r="103" spans="1:17" ht="14.1" customHeight="1" x14ac:dyDescent="0.2">
      <c r="A103" s="107"/>
      <c r="B103" s="107"/>
      <c r="C103" s="145"/>
      <c r="D103" s="111" t="s">
        <v>758</v>
      </c>
      <c r="E103" s="133">
        <v>2</v>
      </c>
      <c r="F103" s="106">
        <v>131330</v>
      </c>
      <c r="G103" s="578">
        <f>0+táj2!G103</f>
        <v>0</v>
      </c>
      <c r="H103" s="578">
        <f>0+táj2!H103</f>
        <v>0</v>
      </c>
      <c r="I103" s="578">
        <f>0+táj2!I103</f>
        <v>0</v>
      </c>
      <c r="J103" s="578">
        <f>0+táj2!J103</f>
        <v>0</v>
      </c>
      <c r="K103" s="578">
        <f>3000000+táj2!K103</f>
        <v>3000000</v>
      </c>
      <c r="L103" s="578">
        <f>0+táj2!L103</f>
        <v>0</v>
      </c>
      <c r="M103" s="578">
        <f>0+táj2!M103</f>
        <v>0</v>
      </c>
      <c r="N103" s="578">
        <f>0+táj2!N103</f>
        <v>0</v>
      </c>
      <c r="O103" s="578">
        <f>0+táj2!O103</f>
        <v>0</v>
      </c>
      <c r="P103" s="578">
        <f>0+táj2!P103</f>
        <v>0</v>
      </c>
      <c r="Q103" s="579">
        <f t="shared" si="8"/>
        <v>3000000</v>
      </c>
    </row>
    <row r="104" spans="1:17" ht="14.1" customHeight="1" x14ac:dyDescent="0.2">
      <c r="A104" s="107"/>
      <c r="B104" s="107"/>
      <c r="C104" s="108"/>
      <c r="D104" s="111" t="s">
        <v>284</v>
      </c>
      <c r="E104" s="133">
        <v>2</v>
      </c>
      <c r="F104" s="106">
        <v>131507</v>
      </c>
      <c r="G104" s="578">
        <f>0+táj2!G104</f>
        <v>0</v>
      </c>
      <c r="H104" s="578">
        <f>0+táj2!H104</f>
        <v>0</v>
      </c>
      <c r="I104" s="578">
        <f>0+táj2!I104</f>
        <v>0</v>
      </c>
      <c r="J104" s="578">
        <f>0+táj2!J104</f>
        <v>0</v>
      </c>
      <c r="K104" s="578">
        <f>3000000+táj2!K104</f>
        <v>3000000</v>
      </c>
      <c r="L104" s="578">
        <f>0+táj2!L104</f>
        <v>0</v>
      </c>
      <c r="M104" s="578">
        <f>0+táj2!M104</f>
        <v>0</v>
      </c>
      <c r="N104" s="578">
        <f>0+táj2!N104</f>
        <v>0</v>
      </c>
      <c r="O104" s="578">
        <f>0+táj2!O104</f>
        <v>0</v>
      </c>
      <c r="P104" s="578">
        <f>0+táj2!P104</f>
        <v>0</v>
      </c>
      <c r="Q104" s="579">
        <f t="shared" si="8"/>
        <v>3000000</v>
      </c>
    </row>
    <row r="105" spans="1:17" ht="14.1" customHeight="1" x14ac:dyDescent="0.2">
      <c r="A105" s="107"/>
      <c r="B105" s="107"/>
      <c r="C105" s="145"/>
      <c r="D105" s="106" t="s">
        <v>285</v>
      </c>
      <c r="E105" s="133">
        <v>2</v>
      </c>
      <c r="F105" s="106">
        <v>171943</v>
      </c>
      <c r="G105" s="578">
        <f>0+táj2!G105</f>
        <v>0</v>
      </c>
      <c r="H105" s="578">
        <f>0+táj2!H105</f>
        <v>0</v>
      </c>
      <c r="I105" s="578">
        <f>0+táj2!I105</f>
        <v>0</v>
      </c>
      <c r="J105" s="578">
        <f>0+táj2!J105</f>
        <v>0</v>
      </c>
      <c r="K105" s="578">
        <f>500000+táj2!K105</f>
        <v>500000</v>
      </c>
      <c r="L105" s="578">
        <f>0+táj2!L105</f>
        <v>0</v>
      </c>
      <c r="M105" s="578">
        <f>0+táj2!M105</f>
        <v>0</v>
      </c>
      <c r="N105" s="578">
        <f>0+táj2!N105</f>
        <v>0</v>
      </c>
      <c r="O105" s="578">
        <f>0+táj2!O105</f>
        <v>0</v>
      </c>
      <c r="P105" s="578">
        <f>0+táj2!P105</f>
        <v>0</v>
      </c>
      <c r="Q105" s="579">
        <f t="shared" si="8"/>
        <v>500000</v>
      </c>
    </row>
    <row r="106" spans="1:17" ht="14.1" customHeight="1" x14ac:dyDescent="0.2">
      <c r="A106" s="107"/>
      <c r="B106" s="107"/>
      <c r="C106" s="145"/>
      <c r="D106" s="148" t="s">
        <v>286</v>
      </c>
      <c r="E106" s="117"/>
      <c r="F106" s="119"/>
      <c r="G106" s="578"/>
      <c r="H106" s="579"/>
      <c r="I106" s="579"/>
      <c r="J106" s="579"/>
      <c r="K106" s="579"/>
      <c r="L106" s="579"/>
      <c r="M106" s="579"/>
      <c r="N106" s="579"/>
      <c r="O106" s="579"/>
      <c r="P106" s="579"/>
      <c r="Q106" s="579"/>
    </row>
    <row r="107" spans="1:17" ht="15" customHeight="1" x14ac:dyDescent="0.2">
      <c r="A107" s="107"/>
      <c r="B107" s="107"/>
      <c r="C107" s="145"/>
      <c r="D107" s="148" t="s">
        <v>287</v>
      </c>
      <c r="E107" s="151">
        <v>2</v>
      </c>
      <c r="F107" s="127">
        <v>131502</v>
      </c>
      <c r="G107" s="578">
        <f>0+táj2!G107</f>
        <v>0</v>
      </c>
      <c r="H107" s="578">
        <f>0+táj2!H107</f>
        <v>0</v>
      </c>
      <c r="I107" s="578">
        <f>0+táj2!I107</f>
        <v>0</v>
      </c>
      <c r="J107" s="578">
        <f>500000+táj2!J107</f>
        <v>500000</v>
      </c>
      <c r="K107" s="578">
        <f>0+táj2!K107</f>
        <v>0</v>
      </c>
      <c r="L107" s="578">
        <f>0+táj2!L107</f>
        <v>0</v>
      </c>
      <c r="M107" s="578">
        <f>0+táj2!M107</f>
        <v>0</v>
      </c>
      <c r="N107" s="578">
        <f>0+táj2!N107</f>
        <v>0</v>
      </c>
      <c r="O107" s="578">
        <f>0+táj2!O107</f>
        <v>0</v>
      </c>
      <c r="P107" s="578">
        <f>0+táj2!P107</f>
        <v>0</v>
      </c>
      <c r="Q107" s="579">
        <f t="shared" si="8"/>
        <v>500000</v>
      </c>
    </row>
    <row r="108" spans="1:17" ht="24" customHeight="1" x14ac:dyDescent="0.2">
      <c r="A108" s="107"/>
      <c r="B108" s="107"/>
      <c r="C108" s="145"/>
      <c r="D108" s="152" t="s">
        <v>507</v>
      </c>
      <c r="E108" s="153"/>
      <c r="F108" s="127"/>
      <c r="G108" s="578"/>
      <c r="H108" s="579"/>
      <c r="I108" s="579"/>
      <c r="J108" s="579"/>
      <c r="K108" s="579"/>
      <c r="L108" s="579"/>
      <c r="M108" s="579"/>
      <c r="N108" s="579"/>
      <c r="O108" s="579"/>
      <c r="P108" s="579"/>
      <c r="Q108" s="579"/>
    </row>
    <row r="109" spans="1:17" ht="24.75" customHeight="1" x14ac:dyDescent="0.2">
      <c r="A109" s="107"/>
      <c r="B109" s="107"/>
      <c r="C109" s="145"/>
      <c r="D109" s="148" t="s">
        <v>759</v>
      </c>
      <c r="E109" s="151">
        <v>1</v>
      </c>
      <c r="F109" s="127">
        <v>131513</v>
      </c>
      <c r="G109" s="578">
        <f>0+táj2!G109</f>
        <v>0</v>
      </c>
      <c r="H109" s="578">
        <f>0+táj2!H109</f>
        <v>0</v>
      </c>
      <c r="I109" s="578">
        <f>0+táj2!I109</f>
        <v>0</v>
      </c>
      <c r="J109" s="578">
        <f>0+táj2!J109</f>
        <v>0</v>
      </c>
      <c r="K109" s="578">
        <f>150000000+táj2!K109</f>
        <v>150000000</v>
      </c>
      <c r="L109" s="578">
        <f>0+táj2!L109</f>
        <v>0</v>
      </c>
      <c r="M109" s="578">
        <f>0+táj2!M109</f>
        <v>0</v>
      </c>
      <c r="N109" s="578">
        <f>0+táj2!N109</f>
        <v>0</v>
      </c>
      <c r="O109" s="578">
        <f>0+táj2!O109</f>
        <v>0</v>
      </c>
      <c r="P109" s="578">
        <f>0+táj2!P109</f>
        <v>0</v>
      </c>
      <c r="Q109" s="579">
        <f>SUM(G109:P109)</f>
        <v>150000000</v>
      </c>
    </row>
    <row r="110" spans="1:17" ht="14.1" customHeight="1" x14ac:dyDescent="0.2">
      <c r="A110" s="107"/>
      <c r="B110" s="107"/>
      <c r="C110" s="145" t="s">
        <v>84</v>
      </c>
      <c r="D110" s="113" t="s">
        <v>288</v>
      </c>
      <c r="E110" s="114"/>
      <c r="F110" s="154"/>
      <c r="G110" s="578"/>
      <c r="H110" s="579"/>
      <c r="I110" s="579"/>
      <c r="J110" s="579"/>
      <c r="K110" s="579"/>
      <c r="L110" s="579"/>
      <c r="M110" s="579"/>
      <c r="N110" s="579"/>
      <c r="O110" s="579"/>
      <c r="P110" s="579"/>
      <c r="Q110" s="579"/>
    </row>
    <row r="111" spans="1:17" ht="14.1" customHeight="1" x14ac:dyDescent="0.2">
      <c r="A111" s="107"/>
      <c r="B111" s="107"/>
      <c r="C111" s="145"/>
      <c r="D111" s="115" t="s">
        <v>289</v>
      </c>
      <c r="E111" s="112"/>
      <c r="F111" s="133"/>
      <c r="G111" s="578"/>
      <c r="H111" s="579"/>
      <c r="I111" s="579"/>
      <c r="J111" s="579"/>
      <c r="K111" s="579"/>
      <c r="L111" s="579"/>
      <c r="M111" s="579"/>
      <c r="N111" s="579"/>
      <c r="O111" s="579"/>
      <c r="P111" s="579"/>
      <c r="Q111" s="579"/>
    </row>
    <row r="112" spans="1:17" ht="14.1" customHeight="1" x14ac:dyDescent="0.2">
      <c r="A112" s="107"/>
      <c r="B112" s="107"/>
      <c r="C112" s="145"/>
      <c r="D112" s="115" t="s">
        <v>290</v>
      </c>
      <c r="E112" s="133">
        <v>1</v>
      </c>
      <c r="F112" s="106">
        <v>131703</v>
      </c>
      <c r="G112" s="578">
        <f>0+táj2!G112</f>
        <v>0</v>
      </c>
      <c r="H112" s="578">
        <f>0+táj2!H112</f>
        <v>0</v>
      </c>
      <c r="I112" s="578">
        <f>10962000+táj2!I112</f>
        <v>10962000</v>
      </c>
      <c r="J112" s="578">
        <f>0+táj2!J112</f>
        <v>0</v>
      </c>
      <c r="K112" s="578">
        <f>0+táj2!K112</f>
        <v>0</v>
      </c>
      <c r="L112" s="578">
        <f>0+táj2!L112</f>
        <v>0</v>
      </c>
      <c r="M112" s="578">
        <f>0+táj2!M112</f>
        <v>0</v>
      </c>
      <c r="N112" s="578">
        <f>0+táj2!N112</f>
        <v>0</v>
      </c>
      <c r="O112" s="578">
        <f>0+táj2!O112</f>
        <v>0</v>
      </c>
      <c r="P112" s="578">
        <f>0+táj2!P112</f>
        <v>0</v>
      </c>
      <c r="Q112" s="579">
        <f>SUM(G112:P112)</f>
        <v>10962000</v>
      </c>
    </row>
    <row r="113" spans="1:17" ht="14.45" customHeight="1" x14ac:dyDescent="0.2">
      <c r="A113" s="107"/>
      <c r="B113" s="107"/>
      <c r="C113" s="145"/>
      <c r="D113" s="155" t="s">
        <v>761</v>
      </c>
      <c r="E113" s="133">
        <v>1</v>
      </c>
      <c r="F113" s="106">
        <v>121319</v>
      </c>
      <c r="G113" s="578">
        <f>0+táj2!G113</f>
        <v>0</v>
      </c>
      <c r="H113" s="578">
        <f>0+táj2!H113</f>
        <v>0</v>
      </c>
      <c r="I113" s="578">
        <f>0+táj2!I113</f>
        <v>0</v>
      </c>
      <c r="J113" s="578">
        <f>0+táj2!J113</f>
        <v>0</v>
      </c>
      <c r="K113" s="578">
        <f>10584000+táj2!K113</f>
        <v>10584000</v>
      </c>
      <c r="L113" s="578">
        <f>0+táj2!L113</f>
        <v>0</v>
      </c>
      <c r="M113" s="578">
        <f>0+táj2!M113</f>
        <v>0</v>
      </c>
      <c r="N113" s="578">
        <f>0+táj2!N113</f>
        <v>0</v>
      </c>
      <c r="O113" s="578">
        <f>0+táj2!O113</f>
        <v>0</v>
      </c>
      <c r="P113" s="578">
        <f>0+táj2!P113</f>
        <v>0</v>
      </c>
      <c r="Q113" s="579">
        <f t="shared" ref="Q113:Q115" si="9">SUM(G113:P113)</f>
        <v>10584000</v>
      </c>
    </row>
    <row r="114" spans="1:17" ht="42" customHeight="1" x14ac:dyDescent="0.2">
      <c r="A114" s="107"/>
      <c r="B114" s="107"/>
      <c r="C114" s="145"/>
      <c r="D114" s="156" t="s">
        <v>291</v>
      </c>
      <c r="E114" s="116"/>
      <c r="F114" s="106"/>
      <c r="G114" s="578"/>
      <c r="H114" s="579"/>
      <c r="I114" s="579"/>
      <c r="J114" s="579"/>
      <c r="K114" s="579"/>
      <c r="L114" s="579"/>
      <c r="M114" s="579"/>
      <c r="N114" s="579"/>
      <c r="O114" s="579"/>
      <c r="P114" s="579"/>
      <c r="Q114" s="579"/>
    </row>
    <row r="115" spans="1:17" ht="32.25" customHeight="1" x14ac:dyDescent="0.2">
      <c r="A115" s="107"/>
      <c r="B115" s="107"/>
      <c r="C115" s="145"/>
      <c r="D115" s="156" t="s">
        <v>292</v>
      </c>
      <c r="E115" s="106">
        <v>2</v>
      </c>
      <c r="F115" s="106">
        <v>131506</v>
      </c>
      <c r="G115" s="578">
        <f>1677000+táj2!G115</f>
        <v>1677000</v>
      </c>
      <c r="H115" s="578">
        <f>547792+táj2!H115</f>
        <v>547792</v>
      </c>
      <c r="I115" s="578">
        <f>1180000+táj2!I115</f>
        <v>1180000</v>
      </c>
      <c r="J115" s="578">
        <f>0+táj2!J115</f>
        <v>0</v>
      </c>
      <c r="K115" s="578">
        <f>0+táj2!K115</f>
        <v>0</v>
      </c>
      <c r="L115" s="578">
        <f>0+táj2!L115</f>
        <v>0</v>
      </c>
      <c r="M115" s="578">
        <f>0+táj2!M115</f>
        <v>0</v>
      </c>
      <c r="N115" s="578">
        <f>0+táj2!N115</f>
        <v>0</v>
      </c>
      <c r="O115" s="578">
        <f>0+táj2!O115</f>
        <v>0</v>
      </c>
      <c r="P115" s="578">
        <f>0+táj2!P115</f>
        <v>0</v>
      </c>
      <c r="Q115" s="579">
        <f t="shared" si="9"/>
        <v>3404792</v>
      </c>
    </row>
    <row r="116" spans="1:17" ht="15" customHeight="1" x14ac:dyDescent="0.2">
      <c r="A116" s="107"/>
      <c r="B116" s="107"/>
      <c r="C116" s="145"/>
      <c r="D116" s="111" t="s">
        <v>293</v>
      </c>
      <c r="E116" s="116"/>
      <c r="F116" s="106"/>
      <c r="G116" s="578"/>
      <c r="H116" s="579"/>
      <c r="I116" s="579"/>
      <c r="J116" s="579"/>
      <c r="K116" s="579"/>
      <c r="L116" s="579"/>
      <c r="M116" s="579"/>
      <c r="N116" s="579"/>
      <c r="O116" s="579"/>
      <c r="P116" s="579"/>
      <c r="Q116" s="581"/>
    </row>
    <row r="117" spans="1:17" ht="15" customHeight="1" x14ac:dyDescent="0.2">
      <c r="A117" s="107"/>
      <c r="B117" s="107"/>
      <c r="C117" s="145"/>
      <c r="D117" s="111" t="s">
        <v>506</v>
      </c>
      <c r="E117" s="106">
        <v>2</v>
      </c>
      <c r="F117" s="106">
        <v>131707</v>
      </c>
      <c r="G117" s="578">
        <f>0+táj2!G117</f>
        <v>0</v>
      </c>
      <c r="H117" s="578">
        <f>0+táj2!H117</f>
        <v>0</v>
      </c>
      <c r="I117" s="578">
        <f>0+táj2!I117</f>
        <v>0</v>
      </c>
      <c r="J117" s="578">
        <f>0+táj2!J117</f>
        <v>0</v>
      </c>
      <c r="K117" s="578">
        <f>11500000+táj2!K117</f>
        <v>11500000</v>
      </c>
      <c r="L117" s="578">
        <f>0+táj2!L117</f>
        <v>0</v>
      </c>
      <c r="M117" s="578">
        <f>0+táj2!M117</f>
        <v>0</v>
      </c>
      <c r="N117" s="578">
        <f>0+táj2!N117</f>
        <v>0</v>
      </c>
      <c r="O117" s="578">
        <f>0+táj2!O117</f>
        <v>0</v>
      </c>
      <c r="P117" s="578">
        <f>0+táj2!P117</f>
        <v>0</v>
      </c>
      <c r="Q117" s="579">
        <f>SUM(G117:P117)</f>
        <v>11500000</v>
      </c>
    </row>
    <row r="118" spans="1:17" ht="15" customHeight="1" x14ac:dyDescent="0.2">
      <c r="A118" s="207"/>
      <c r="B118" s="207"/>
      <c r="C118" s="249"/>
      <c r="D118" s="90" t="s">
        <v>762</v>
      </c>
      <c r="E118" s="116"/>
      <c r="F118" s="202"/>
      <c r="G118" s="578"/>
      <c r="H118" s="580"/>
      <c r="I118" s="580"/>
      <c r="J118" s="580"/>
      <c r="K118" s="580"/>
      <c r="L118" s="580"/>
      <c r="M118" s="580"/>
      <c r="N118" s="580"/>
      <c r="O118" s="580"/>
      <c r="P118" s="580"/>
      <c r="Q118" s="580"/>
    </row>
    <row r="119" spans="1:17" ht="15" customHeight="1" x14ac:dyDescent="0.2">
      <c r="A119" s="107"/>
      <c r="B119" s="107"/>
      <c r="C119" s="145"/>
      <c r="D119" s="111" t="s">
        <v>294</v>
      </c>
      <c r="E119" s="106">
        <v>2</v>
      </c>
      <c r="F119" s="106">
        <v>131713</v>
      </c>
      <c r="G119" s="578">
        <f>0+táj2!G119</f>
        <v>0</v>
      </c>
      <c r="H119" s="578">
        <f>0+táj2!H119</f>
        <v>0</v>
      </c>
      <c r="I119" s="578">
        <f>0+táj2!I119</f>
        <v>0</v>
      </c>
      <c r="J119" s="578">
        <f>0+táj2!J119</f>
        <v>0</v>
      </c>
      <c r="K119" s="578">
        <f>3000000+táj2!K119</f>
        <v>3000000</v>
      </c>
      <c r="L119" s="578">
        <f>0+táj2!L119</f>
        <v>0</v>
      </c>
      <c r="M119" s="578">
        <f>0+táj2!M119</f>
        <v>0</v>
      </c>
      <c r="N119" s="578">
        <f>0+táj2!N119</f>
        <v>0</v>
      </c>
      <c r="O119" s="578">
        <f>0+táj2!O119</f>
        <v>0</v>
      </c>
      <c r="P119" s="578">
        <f>0+táj2!P119</f>
        <v>0</v>
      </c>
      <c r="Q119" s="579">
        <f>SUM(G119:P119)</f>
        <v>3000000</v>
      </c>
    </row>
    <row r="120" spans="1:17" ht="16.5" customHeight="1" x14ac:dyDescent="0.2">
      <c r="A120" s="107"/>
      <c r="B120" s="107"/>
      <c r="C120" s="145"/>
      <c r="D120" s="149" t="s">
        <v>248</v>
      </c>
      <c r="E120" s="117"/>
      <c r="F120" s="119"/>
      <c r="G120" s="578"/>
      <c r="H120" s="579"/>
      <c r="I120" s="579"/>
      <c r="J120" s="579"/>
      <c r="K120" s="579"/>
      <c r="L120" s="579"/>
      <c r="M120" s="579"/>
      <c r="N120" s="579"/>
      <c r="O120" s="579"/>
      <c r="P120" s="579"/>
      <c r="Q120" s="579"/>
    </row>
    <row r="121" spans="1:17" ht="15" customHeight="1" x14ac:dyDescent="0.2">
      <c r="A121" s="107"/>
      <c r="B121" s="107"/>
      <c r="C121" s="145"/>
      <c r="D121" s="111" t="s">
        <v>295</v>
      </c>
      <c r="E121" s="133">
        <v>2</v>
      </c>
      <c r="F121" s="106">
        <v>131706</v>
      </c>
      <c r="G121" s="578">
        <f>800000+táj2!G121</f>
        <v>800000</v>
      </c>
      <c r="H121" s="578">
        <f>200000+táj2!H121</f>
        <v>200000</v>
      </c>
      <c r="I121" s="578">
        <f>250000+táj2!I121</f>
        <v>250000</v>
      </c>
      <c r="J121" s="578">
        <f>0+táj2!J121</f>
        <v>0</v>
      </c>
      <c r="K121" s="578">
        <f>1750000+táj2!K121</f>
        <v>1750000</v>
      </c>
      <c r="L121" s="578">
        <f>0+táj2!L121</f>
        <v>0</v>
      </c>
      <c r="M121" s="578">
        <f>0+táj2!M121</f>
        <v>0</v>
      </c>
      <c r="N121" s="578">
        <f>0+táj2!N121</f>
        <v>0</v>
      </c>
      <c r="O121" s="578">
        <f>0+táj2!O121</f>
        <v>0</v>
      </c>
      <c r="P121" s="578">
        <f>0+táj2!P121</f>
        <v>0</v>
      </c>
      <c r="Q121" s="579">
        <f>SUM(G121:P121)</f>
        <v>3000000</v>
      </c>
    </row>
    <row r="122" spans="1:17" ht="15" customHeight="1" x14ac:dyDescent="0.2">
      <c r="A122" s="107"/>
      <c r="B122" s="107"/>
      <c r="C122" s="145"/>
      <c r="D122" s="111" t="s">
        <v>578</v>
      </c>
      <c r="E122" s="133">
        <v>2</v>
      </c>
      <c r="F122" s="106">
        <v>131712</v>
      </c>
      <c r="G122" s="578">
        <f>0+táj2!G122</f>
        <v>0</v>
      </c>
      <c r="H122" s="578">
        <f>0+táj2!H122</f>
        <v>0</v>
      </c>
      <c r="I122" s="578">
        <f>2430000+táj2!I122</f>
        <v>2430000</v>
      </c>
      <c r="J122" s="578">
        <f>0+táj2!J122</f>
        <v>0</v>
      </c>
      <c r="K122" s="578">
        <f>0+táj2!K122</f>
        <v>0</v>
      </c>
      <c r="L122" s="578">
        <f>0+táj2!L122</f>
        <v>0</v>
      </c>
      <c r="M122" s="578">
        <f>0+táj2!M122</f>
        <v>0</v>
      </c>
      <c r="N122" s="578">
        <f>0+táj2!N122</f>
        <v>0</v>
      </c>
      <c r="O122" s="578">
        <f>0+táj2!O122</f>
        <v>0</v>
      </c>
      <c r="P122" s="578">
        <f>0+táj2!P122</f>
        <v>0</v>
      </c>
      <c r="Q122" s="579">
        <f>SUM(G122:P122)</f>
        <v>2430000</v>
      </c>
    </row>
    <row r="123" spans="1:17" ht="15" customHeight="1" x14ac:dyDescent="0.2">
      <c r="A123" s="107"/>
      <c r="B123" s="107"/>
      <c r="C123" s="145"/>
      <c r="D123" s="149" t="s">
        <v>296</v>
      </c>
      <c r="E123" s="133">
        <v>2</v>
      </c>
      <c r="F123" s="106">
        <v>131714</v>
      </c>
      <c r="G123" s="578">
        <f>0+táj2!G123</f>
        <v>0</v>
      </c>
      <c r="H123" s="578">
        <f>0+táj2!H123</f>
        <v>0</v>
      </c>
      <c r="I123" s="578">
        <f>0+táj2!I123</f>
        <v>0</v>
      </c>
      <c r="J123" s="578">
        <f>0+táj2!J123</f>
        <v>0</v>
      </c>
      <c r="K123" s="578">
        <f>410000+táj2!K123</f>
        <v>410000</v>
      </c>
      <c r="L123" s="578">
        <f>0+táj2!L123</f>
        <v>0</v>
      </c>
      <c r="M123" s="578">
        <f>0+táj2!M123</f>
        <v>0</v>
      </c>
      <c r="N123" s="578">
        <f>0+táj2!N123</f>
        <v>0</v>
      </c>
      <c r="O123" s="578">
        <f>0+táj2!O123</f>
        <v>0</v>
      </c>
      <c r="P123" s="578">
        <f>0+táj2!P123</f>
        <v>0</v>
      </c>
      <c r="Q123" s="579">
        <f>SUM(G123:P123)</f>
        <v>410000</v>
      </c>
    </row>
    <row r="124" spans="1:17" ht="15" customHeight="1" x14ac:dyDescent="0.2">
      <c r="A124" s="107"/>
      <c r="B124" s="107"/>
      <c r="C124" s="145"/>
      <c r="D124" s="111" t="s">
        <v>280</v>
      </c>
      <c r="E124" s="112"/>
      <c r="F124" s="106"/>
      <c r="G124" s="578"/>
      <c r="H124" s="579"/>
      <c r="I124" s="579"/>
      <c r="J124" s="579"/>
      <c r="K124" s="579"/>
      <c r="L124" s="579"/>
      <c r="M124" s="579"/>
      <c r="N124" s="579"/>
      <c r="O124" s="579"/>
      <c r="P124" s="579"/>
      <c r="Q124" s="579"/>
    </row>
    <row r="125" spans="1:17" ht="15" customHeight="1" x14ac:dyDescent="0.2">
      <c r="A125" s="107"/>
      <c r="B125" s="107"/>
      <c r="C125" s="145"/>
      <c r="D125" s="111" t="s">
        <v>297</v>
      </c>
      <c r="E125" s="133">
        <v>2</v>
      </c>
      <c r="F125" s="106">
        <v>128901</v>
      </c>
      <c r="G125" s="578">
        <f>0+táj2!G125</f>
        <v>0</v>
      </c>
      <c r="H125" s="578">
        <f>0+táj2!H125</f>
        <v>0</v>
      </c>
      <c r="I125" s="578">
        <f>0+táj2!I125</f>
        <v>0</v>
      </c>
      <c r="J125" s="578">
        <f>0+táj2!J125</f>
        <v>0</v>
      </c>
      <c r="K125" s="578">
        <f>1060000+táj2!K125</f>
        <v>1060000</v>
      </c>
      <c r="L125" s="578">
        <f>0+táj2!L125</f>
        <v>0</v>
      </c>
      <c r="M125" s="578">
        <f>0+táj2!M125</f>
        <v>0</v>
      </c>
      <c r="N125" s="578">
        <f>0+táj2!N125</f>
        <v>0</v>
      </c>
      <c r="O125" s="578">
        <f>0+táj2!O125</f>
        <v>0</v>
      </c>
      <c r="P125" s="578">
        <f>0+táj2!P125</f>
        <v>0</v>
      </c>
      <c r="Q125" s="579">
        <f>SUM(G125:P125)</f>
        <v>1060000</v>
      </c>
    </row>
    <row r="126" spans="1:17" ht="15" customHeight="1" x14ac:dyDescent="0.2">
      <c r="A126" s="107"/>
      <c r="B126" s="107"/>
      <c r="C126" s="145"/>
      <c r="D126" s="111" t="s">
        <v>460</v>
      </c>
      <c r="E126" s="116"/>
      <c r="F126" s="106"/>
      <c r="G126" s="578"/>
      <c r="H126" s="579"/>
      <c r="I126" s="579"/>
      <c r="J126" s="579"/>
      <c r="K126" s="579"/>
      <c r="L126" s="579"/>
      <c r="M126" s="579"/>
      <c r="N126" s="579"/>
      <c r="O126" s="579"/>
      <c r="P126" s="579"/>
      <c r="Q126" s="579"/>
    </row>
    <row r="127" spans="1:17" ht="15" customHeight="1" x14ac:dyDescent="0.2">
      <c r="A127" s="107"/>
      <c r="B127" s="107"/>
      <c r="C127" s="145"/>
      <c r="D127" s="111" t="s">
        <v>763</v>
      </c>
      <c r="E127" s="106">
        <v>2</v>
      </c>
      <c r="F127" s="106">
        <v>191401</v>
      </c>
      <c r="G127" s="578">
        <f>0+táj2!G127</f>
        <v>0</v>
      </c>
      <c r="H127" s="578">
        <f>0+táj2!H127</f>
        <v>0</v>
      </c>
      <c r="I127" s="578">
        <f>0+táj2!I127</f>
        <v>0</v>
      </c>
      <c r="J127" s="578">
        <f>0+táj2!J127</f>
        <v>0</v>
      </c>
      <c r="K127" s="578">
        <f>6000000+táj2!K127</f>
        <v>6000000</v>
      </c>
      <c r="L127" s="578">
        <f>0+táj2!L127</f>
        <v>0</v>
      </c>
      <c r="M127" s="578">
        <f>0+táj2!M127</f>
        <v>0</v>
      </c>
      <c r="N127" s="578">
        <f>0+táj2!N127</f>
        <v>0</v>
      </c>
      <c r="O127" s="578">
        <f>0+táj2!O127</f>
        <v>0</v>
      </c>
      <c r="P127" s="578">
        <f>0+táj2!P127</f>
        <v>0</v>
      </c>
      <c r="Q127" s="579">
        <f>SUM(G127:P127)</f>
        <v>6000000</v>
      </c>
    </row>
    <row r="128" spans="1:17" ht="15" customHeight="1" x14ac:dyDescent="0.2">
      <c r="A128" s="107"/>
      <c r="B128" s="107"/>
      <c r="C128" s="145" t="s">
        <v>85</v>
      </c>
      <c r="D128" s="113" t="s">
        <v>841</v>
      </c>
      <c r="E128" s="116"/>
      <c r="F128" s="106"/>
      <c r="G128" s="578"/>
      <c r="H128" s="579"/>
      <c r="I128" s="579"/>
      <c r="J128" s="579"/>
      <c r="K128" s="579"/>
      <c r="L128" s="579"/>
      <c r="M128" s="579"/>
      <c r="N128" s="579"/>
      <c r="O128" s="579"/>
      <c r="P128" s="579"/>
      <c r="Q128" s="579"/>
    </row>
    <row r="129" spans="1:17" ht="15" customHeight="1" x14ac:dyDescent="0.2">
      <c r="A129" s="107"/>
      <c r="B129" s="107"/>
      <c r="C129" s="145"/>
      <c r="D129" s="155" t="s">
        <v>298</v>
      </c>
      <c r="E129" s="112"/>
      <c r="F129" s="133"/>
      <c r="G129" s="578">
        <f>0+táj2!G129</f>
        <v>0</v>
      </c>
      <c r="H129" s="578">
        <f>0+táj2!H129</f>
        <v>0</v>
      </c>
      <c r="I129" s="578">
        <f>0+táj2!I129</f>
        <v>0</v>
      </c>
      <c r="J129" s="578">
        <f>0+táj2!J129</f>
        <v>0</v>
      </c>
      <c r="K129" s="578">
        <f>0+táj2!K129</f>
        <v>0</v>
      </c>
      <c r="L129" s="578">
        <f>0+táj2!L129</f>
        <v>0</v>
      </c>
      <c r="M129" s="578">
        <f>0+táj2!M129</f>
        <v>0</v>
      </c>
      <c r="N129" s="578">
        <f>0+táj2!N129</f>
        <v>0</v>
      </c>
      <c r="O129" s="578">
        <f>0+táj2!O129</f>
        <v>0</v>
      </c>
      <c r="P129" s="578">
        <f>0+táj2!P129</f>
        <v>0</v>
      </c>
      <c r="Q129" s="579"/>
    </row>
    <row r="130" spans="1:17" ht="15" customHeight="1" x14ac:dyDescent="0.2">
      <c r="A130" s="107"/>
      <c r="B130" s="107"/>
      <c r="C130" s="145"/>
      <c r="D130" s="111" t="s">
        <v>634</v>
      </c>
      <c r="E130" s="106">
        <v>2</v>
      </c>
      <c r="F130" s="106">
        <v>131803</v>
      </c>
      <c r="G130" s="578">
        <f>0+táj2!G130</f>
        <v>0</v>
      </c>
      <c r="H130" s="578">
        <f>0+táj2!H130</f>
        <v>0</v>
      </c>
      <c r="I130" s="578">
        <f>0+táj2!I130</f>
        <v>0</v>
      </c>
      <c r="J130" s="578">
        <f>0+táj2!J130</f>
        <v>0</v>
      </c>
      <c r="K130" s="578">
        <f>95000000+táj2!K130</f>
        <v>95000000</v>
      </c>
      <c r="L130" s="578">
        <f>0+táj2!L130</f>
        <v>0</v>
      </c>
      <c r="M130" s="578">
        <f>0+táj2!M130</f>
        <v>0</v>
      </c>
      <c r="N130" s="578">
        <f>0+táj2!N130</f>
        <v>0</v>
      </c>
      <c r="O130" s="578">
        <f>0+táj2!O130</f>
        <v>0</v>
      </c>
      <c r="P130" s="578">
        <f>0+táj2!P130</f>
        <v>0</v>
      </c>
      <c r="Q130" s="579">
        <f>SUM(G130:P130)</f>
        <v>95000000</v>
      </c>
    </row>
    <row r="131" spans="1:17" ht="15" customHeight="1" x14ac:dyDescent="0.2">
      <c r="A131" s="107"/>
      <c r="B131" s="107"/>
      <c r="C131" s="145"/>
      <c r="D131" s="111" t="s">
        <v>299</v>
      </c>
      <c r="E131" s="106">
        <v>2</v>
      </c>
      <c r="F131" s="106">
        <v>131804</v>
      </c>
      <c r="G131" s="578">
        <f>0+táj2!G131</f>
        <v>0</v>
      </c>
      <c r="H131" s="578">
        <f>0+táj2!H131</f>
        <v>0</v>
      </c>
      <c r="I131" s="578">
        <f>0+táj2!I131</f>
        <v>0</v>
      </c>
      <c r="J131" s="578">
        <f>0+táj2!J131</f>
        <v>0</v>
      </c>
      <c r="K131" s="578">
        <f>203500000+táj2!K131</f>
        <v>203500000</v>
      </c>
      <c r="L131" s="578">
        <f>0+táj2!L131</f>
        <v>0</v>
      </c>
      <c r="M131" s="578">
        <f>0+táj2!M131</f>
        <v>0</v>
      </c>
      <c r="N131" s="578">
        <f>0+táj2!N131</f>
        <v>0</v>
      </c>
      <c r="O131" s="578">
        <f>0+táj2!O131</f>
        <v>0</v>
      </c>
      <c r="P131" s="578">
        <f>0+táj2!P131</f>
        <v>0</v>
      </c>
      <c r="Q131" s="579">
        <f>SUM(G131:P131)</f>
        <v>203500000</v>
      </c>
    </row>
    <row r="132" spans="1:17" ht="15" customHeight="1" x14ac:dyDescent="0.2">
      <c r="A132" s="107"/>
      <c r="B132" s="107"/>
      <c r="C132" s="145"/>
      <c r="D132" s="111" t="s">
        <v>300</v>
      </c>
      <c r="E132" s="106">
        <v>2</v>
      </c>
      <c r="F132" s="106">
        <v>131805</v>
      </c>
      <c r="G132" s="578">
        <f>0+táj2!G132</f>
        <v>0</v>
      </c>
      <c r="H132" s="578">
        <f>0+táj2!H132</f>
        <v>0</v>
      </c>
      <c r="I132" s="578">
        <f>0+táj2!I132</f>
        <v>0</v>
      </c>
      <c r="J132" s="578">
        <f>0+táj2!J132</f>
        <v>0</v>
      </c>
      <c r="K132" s="578">
        <f>10000000+táj2!K132</f>
        <v>10000000</v>
      </c>
      <c r="L132" s="578">
        <f>0+táj2!L132</f>
        <v>0</v>
      </c>
      <c r="M132" s="578">
        <f>0+táj2!M132</f>
        <v>0</v>
      </c>
      <c r="N132" s="578">
        <f>0+táj2!N132</f>
        <v>0</v>
      </c>
      <c r="O132" s="578">
        <f>0+táj2!O132</f>
        <v>0</v>
      </c>
      <c r="P132" s="578">
        <f>0+táj2!P132</f>
        <v>0</v>
      </c>
      <c r="Q132" s="579">
        <f>SUM(G132:P132)</f>
        <v>10000000</v>
      </c>
    </row>
    <row r="133" spans="1:17" ht="15" customHeight="1" x14ac:dyDescent="0.2">
      <c r="A133" s="107"/>
      <c r="B133" s="107"/>
      <c r="C133" s="145"/>
      <c r="D133" s="155" t="s">
        <v>301</v>
      </c>
      <c r="E133" s="112"/>
      <c r="F133" s="133"/>
      <c r="G133" s="578"/>
      <c r="H133" s="579"/>
      <c r="I133" s="579"/>
      <c r="J133" s="579"/>
      <c r="K133" s="579"/>
      <c r="L133" s="579"/>
      <c r="M133" s="579"/>
      <c r="N133" s="579"/>
      <c r="O133" s="579"/>
      <c r="P133" s="579"/>
      <c r="Q133" s="579"/>
    </row>
    <row r="134" spans="1:17" ht="15" customHeight="1" x14ac:dyDescent="0.2">
      <c r="A134" s="107"/>
      <c r="B134" s="107"/>
      <c r="C134" s="145"/>
      <c r="D134" s="111" t="s">
        <v>302</v>
      </c>
      <c r="E134" s="133">
        <v>1</v>
      </c>
      <c r="F134" s="106">
        <v>131808</v>
      </c>
      <c r="G134" s="578">
        <f>160000+táj2!G134</f>
        <v>160000</v>
      </c>
      <c r="H134" s="578">
        <f>100000+táj2!H134</f>
        <v>100000</v>
      </c>
      <c r="I134" s="578">
        <f>1000000+táj2!I134</f>
        <v>1000000</v>
      </c>
      <c r="J134" s="578">
        <f>0+táj2!J134</f>
        <v>0</v>
      </c>
      <c r="K134" s="578">
        <f>240000+táj2!K134</f>
        <v>240000</v>
      </c>
      <c r="L134" s="578">
        <f>0+táj2!L134</f>
        <v>0</v>
      </c>
      <c r="M134" s="578">
        <f>0+táj2!M134</f>
        <v>0</v>
      </c>
      <c r="N134" s="578">
        <f>0+táj2!N134</f>
        <v>0</v>
      </c>
      <c r="O134" s="578">
        <f>0+táj2!O134</f>
        <v>0</v>
      </c>
      <c r="P134" s="578">
        <f>0+táj2!P134</f>
        <v>0</v>
      </c>
      <c r="Q134" s="579">
        <f>SUM(G134:P134)</f>
        <v>1500000</v>
      </c>
    </row>
    <row r="135" spans="1:17" ht="15" customHeight="1" x14ac:dyDescent="0.2">
      <c r="A135" s="107"/>
      <c r="B135" s="107"/>
      <c r="C135" s="145"/>
      <c r="D135" s="111" t="s">
        <v>303</v>
      </c>
      <c r="E135" s="106">
        <v>1</v>
      </c>
      <c r="F135" s="106">
        <v>131807</v>
      </c>
      <c r="G135" s="578">
        <f>100000+táj2!G135</f>
        <v>100000</v>
      </c>
      <c r="H135" s="578">
        <f>50000+táj2!H135</f>
        <v>50000</v>
      </c>
      <c r="I135" s="578">
        <f>650000+táj2!I135</f>
        <v>650000</v>
      </c>
      <c r="J135" s="578">
        <f>0+táj2!J135</f>
        <v>0</v>
      </c>
      <c r="K135" s="578">
        <f>200000+táj2!K135</f>
        <v>200000</v>
      </c>
      <c r="L135" s="578">
        <f>0+táj2!L135</f>
        <v>0</v>
      </c>
      <c r="M135" s="578">
        <f>0+táj2!M135</f>
        <v>0</v>
      </c>
      <c r="N135" s="578">
        <f>0+táj2!N135</f>
        <v>0</v>
      </c>
      <c r="O135" s="578">
        <f>0+táj2!O135</f>
        <v>0</v>
      </c>
      <c r="P135" s="578">
        <f>0+táj2!P135</f>
        <v>0</v>
      </c>
      <c r="Q135" s="579">
        <f>SUM(G135:P135)</f>
        <v>1000000</v>
      </c>
    </row>
    <row r="136" spans="1:17" ht="15" customHeight="1" x14ac:dyDescent="0.2">
      <c r="A136" s="107"/>
      <c r="B136" s="107"/>
      <c r="C136" s="145"/>
      <c r="D136" s="111" t="s">
        <v>765</v>
      </c>
      <c r="E136" s="133">
        <v>1</v>
      </c>
      <c r="F136" s="106">
        <v>131809</v>
      </c>
      <c r="G136" s="578">
        <f>0+táj2!G136</f>
        <v>0</v>
      </c>
      <c r="H136" s="578">
        <f>0+táj2!H136</f>
        <v>0</v>
      </c>
      <c r="I136" s="578">
        <f>0+táj2!I136</f>
        <v>0</v>
      </c>
      <c r="J136" s="578">
        <f>0+táj2!J136</f>
        <v>0</v>
      </c>
      <c r="K136" s="578">
        <f>400000+táj2!K136</f>
        <v>400000</v>
      </c>
      <c r="L136" s="578">
        <f>0+táj2!L136</f>
        <v>0</v>
      </c>
      <c r="M136" s="578">
        <f>0+táj2!M136</f>
        <v>0</v>
      </c>
      <c r="N136" s="578">
        <f>0+táj2!N136</f>
        <v>0</v>
      </c>
      <c r="O136" s="578">
        <f>0+táj2!O136</f>
        <v>0</v>
      </c>
      <c r="P136" s="578">
        <f>0+táj2!P136</f>
        <v>0</v>
      </c>
      <c r="Q136" s="579">
        <f>SUM(G136:P136)</f>
        <v>400000</v>
      </c>
    </row>
    <row r="137" spans="1:17" ht="15" customHeight="1" x14ac:dyDescent="0.2">
      <c r="A137" s="107"/>
      <c r="B137" s="107"/>
      <c r="C137" s="145"/>
      <c r="D137" s="111" t="s">
        <v>534</v>
      </c>
      <c r="E137" s="133">
        <v>2</v>
      </c>
      <c r="F137" s="106">
        <v>131866</v>
      </c>
      <c r="G137" s="578">
        <f>0+táj2!G137</f>
        <v>0</v>
      </c>
      <c r="H137" s="578">
        <f>0+táj2!H137</f>
        <v>0</v>
      </c>
      <c r="I137" s="578">
        <f>0+táj2!I137</f>
        <v>0</v>
      </c>
      <c r="J137" s="578">
        <f>0+táj2!J137</f>
        <v>0</v>
      </c>
      <c r="K137" s="578">
        <f>2000000+táj2!K137</f>
        <v>2000000</v>
      </c>
      <c r="L137" s="578">
        <f>0+táj2!L137</f>
        <v>0</v>
      </c>
      <c r="M137" s="578">
        <f>0+táj2!M137</f>
        <v>0</v>
      </c>
      <c r="N137" s="578">
        <f>0+táj2!N137</f>
        <v>0</v>
      </c>
      <c r="O137" s="578">
        <f>0+táj2!O137</f>
        <v>0</v>
      </c>
      <c r="P137" s="578">
        <f>0+táj2!P137</f>
        <v>0</v>
      </c>
      <c r="Q137" s="579">
        <f>SUM(G137:P137)</f>
        <v>2000000</v>
      </c>
    </row>
    <row r="138" spans="1:17" ht="15" customHeight="1" x14ac:dyDescent="0.2">
      <c r="A138" s="107"/>
      <c r="B138" s="107"/>
      <c r="C138" s="145"/>
      <c r="D138" s="155" t="s">
        <v>304</v>
      </c>
      <c r="E138" s="112"/>
      <c r="F138" s="133"/>
      <c r="G138" s="578"/>
      <c r="H138" s="579"/>
      <c r="I138" s="579"/>
      <c r="J138" s="579"/>
      <c r="K138" s="579"/>
      <c r="L138" s="579"/>
      <c r="M138" s="579"/>
      <c r="N138" s="579"/>
      <c r="O138" s="579"/>
      <c r="P138" s="579"/>
      <c r="Q138" s="579"/>
    </row>
    <row r="139" spans="1:17" ht="15" customHeight="1" x14ac:dyDescent="0.2">
      <c r="A139" s="107"/>
      <c r="B139" s="107"/>
      <c r="C139" s="145"/>
      <c r="D139" s="111" t="s">
        <v>305</v>
      </c>
      <c r="E139" s="106">
        <v>1</v>
      </c>
      <c r="F139" s="106">
        <v>131811</v>
      </c>
      <c r="G139" s="578">
        <f>0+táj2!G139</f>
        <v>0</v>
      </c>
      <c r="H139" s="578">
        <f>0+táj2!H139</f>
        <v>0</v>
      </c>
      <c r="I139" s="578">
        <f>0+táj2!I139</f>
        <v>0</v>
      </c>
      <c r="J139" s="578">
        <f>0+táj2!J139</f>
        <v>0</v>
      </c>
      <c r="K139" s="578">
        <f>7450000+táj2!K139</f>
        <v>7450000</v>
      </c>
      <c r="L139" s="578">
        <f>0+táj2!L139</f>
        <v>0</v>
      </c>
      <c r="M139" s="578">
        <f>0+táj2!M139</f>
        <v>0</v>
      </c>
      <c r="N139" s="578">
        <f>0+táj2!N139</f>
        <v>0</v>
      </c>
      <c r="O139" s="578">
        <f>0+táj2!O139</f>
        <v>0</v>
      </c>
      <c r="P139" s="578">
        <f>0+táj2!P139</f>
        <v>0</v>
      </c>
      <c r="Q139" s="579">
        <f t="shared" ref="Q139:Q171" si="10">SUM(G139:P139)</f>
        <v>7450000</v>
      </c>
    </row>
    <row r="140" spans="1:17" ht="15" customHeight="1" x14ac:dyDescent="0.2">
      <c r="A140" s="107"/>
      <c r="B140" s="107"/>
      <c r="C140" s="145"/>
      <c r="D140" s="111" t="s">
        <v>306</v>
      </c>
      <c r="E140" s="106">
        <v>1</v>
      </c>
      <c r="F140" s="106">
        <v>131812</v>
      </c>
      <c r="G140" s="578">
        <f>0+táj2!G140</f>
        <v>0</v>
      </c>
      <c r="H140" s="578">
        <f>0+táj2!H140</f>
        <v>0</v>
      </c>
      <c r="I140" s="578">
        <f>0+táj2!I140</f>
        <v>0</v>
      </c>
      <c r="J140" s="578">
        <f>0+táj2!J140</f>
        <v>0</v>
      </c>
      <c r="K140" s="578">
        <f>5000000+táj2!K140</f>
        <v>5000000</v>
      </c>
      <c r="L140" s="578">
        <f>0+táj2!L140</f>
        <v>0</v>
      </c>
      <c r="M140" s="578">
        <f>0+táj2!M140</f>
        <v>0</v>
      </c>
      <c r="N140" s="578">
        <f>0+táj2!N140</f>
        <v>0</v>
      </c>
      <c r="O140" s="578">
        <f>0+táj2!O140</f>
        <v>0</v>
      </c>
      <c r="P140" s="578">
        <f>0+táj2!P140</f>
        <v>0</v>
      </c>
      <c r="Q140" s="579">
        <f t="shared" si="10"/>
        <v>5000000</v>
      </c>
    </row>
    <row r="141" spans="1:17" ht="15" customHeight="1" x14ac:dyDescent="0.2">
      <c r="A141" s="107"/>
      <c r="B141" s="107"/>
      <c r="C141" s="145"/>
      <c r="D141" s="111" t="s">
        <v>307</v>
      </c>
      <c r="E141" s="106">
        <v>1</v>
      </c>
      <c r="F141" s="106">
        <v>131813</v>
      </c>
      <c r="G141" s="578">
        <f>0+táj2!G141</f>
        <v>0</v>
      </c>
      <c r="H141" s="578">
        <f>0+táj2!H141</f>
        <v>0</v>
      </c>
      <c r="I141" s="578">
        <f>0+táj2!I141</f>
        <v>0</v>
      </c>
      <c r="J141" s="578">
        <f>0+táj2!J141</f>
        <v>0</v>
      </c>
      <c r="K141" s="578">
        <f>1900000+táj2!K141</f>
        <v>1900000</v>
      </c>
      <c r="L141" s="578">
        <f>0+táj2!L141</f>
        <v>0</v>
      </c>
      <c r="M141" s="578">
        <f>0+táj2!M141</f>
        <v>0</v>
      </c>
      <c r="N141" s="578">
        <f>0+táj2!N141</f>
        <v>0</v>
      </c>
      <c r="O141" s="578">
        <f>0+táj2!O141</f>
        <v>0</v>
      </c>
      <c r="P141" s="578">
        <f>0+táj2!P141</f>
        <v>0</v>
      </c>
      <c r="Q141" s="579">
        <f t="shared" si="10"/>
        <v>1900000</v>
      </c>
    </row>
    <row r="142" spans="1:17" ht="15" customHeight="1" x14ac:dyDescent="0.2">
      <c r="A142" s="107"/>
      <c r="B142" s="107"/>
      <c r="C142" s="145"/>
      <c r="D142" s="111" t="s">
        <v>308</v>
      </c>
      <c r="E142" s="106">
        <v>1</v>
      </c>
      <c r="F142" s="106">
        <v>131816</v>
      </c>
      <c r="G142" s="578">
        <f>0+táj2!G142</f>
        <v>0</v>
      </c>
      <c r="H142" s="578">
        <f>0+táj2!H142</f>
        <v>0</v>
      </c>
      <c r="I142" s="578">
        <f>0+táj2!I142</f>
        <v>0</v>
      </c>
      <c r="J142" s="578">
        <f>0+táj2!J142</f>
        <v>0</v>
      </c>
      <c r="K142" s="578">
        <f>1800000+táj2!K142</f>
        <v>1800000</v>
      </c>
      <c r="L142" s="578">
        <f>0+táj2!L142</f>
        <v>0</v>
      </c>
      <c r="M142" s="578">
        <f>0+táj2!M142</f>
        <v>0</v>
      </c>
      <c r="N142" s="578">
        <f>0+táj2!N142</f>
        <v>0</v>
      </c>
      <c r="O142" s="578">
        <f>0+táj2!O142</f>
        <v>0</v>
      </c>
      <c r="P142" s="578">
        <f>0+táj2!P142</f>
        <v>0</v>
      </c>
      <c r="Q142" s="579">
        <f t="shared" si="10"/>
        <v>1800000</v>
      </c>
    </row>
    <row r="143" spans="1:17" ht="15" customHeight="1" x14ac:dyDescent="0.2">
      <c r="A143" s="107"/>
      <c r="B143" s="107"/>
      <c r="C143" s="145"/>
      <c r="D143" s="111" t="s">
        <v>309</v>
      </c>
      <c r="E143" s="106">
        <v>1</v>
      </c>
      <c r="F143" s="106">
        <v>131817</v>
      </c>
      <c r="G143" s="578">
        <f>0+táj2!G143</f>
        <v>0</v>
      </c>
      <c r="H143" s="578">
        <f>0+táj2!H143</f>
        <v>0</v>
      </c>
      <c r="I143" s="578">
        <f>0+táj2!I143</f>
        <v>0</v>
      </c>
      <c r="J143" s="578">
        <f>0+táj2!J143</f>
        <v>0</v>
      </c>
      <c r="K143" s="578">
        <f>500000+táj2!K143</f>
        <v>500000</v>
      </c>
      <c r="L143" s="578">
        <f>0+táj2!L143</f>
        <v>0</v>
      </c>
      <c r="M143" s="578">
        <f>0+táj2!M143</f>
        <v>0</v>
      </c>
      <c r="N143" s="578">
        <f>0+táj2!N143</f>
        <v>0</v>
      </c>
      <c r="O143" s="578">
        <f>0+táj2!O143</f>
        <v>0</v>
      </c>
      <c r="P143" s="578">
        <f>0+táj2!P143</f>
        <v>0</v>
      </c>
      <c r="Q143" s="579">
        <f t="shared" si="10"/>
        <v>500000</v>
      </c>
    </row>
    <row r="144" spans="1:17" ht="15" customHeight="1" x14ac:dyDescent="0.2">
      <c r="A144" s="107"/>
      <c r="B144" s="107"/>
      <c r="C144" s="145"/>
      <c r="D144" s="111" t="s">
        <v>310</v>
      </c>
      <c r="E144" s="106">
        <v>1</v>
      </c>
      <c r="F144" s="106">
        <v>131818</v>
      </c>
      <c r="G144" s="578">
        <f>0+táj2!G144</f>
        <v>0</v>
      </c>
      <c r="H144" s="578">
        <f>0+táj2!H144</f>
        <v>0</v>
      </c>
      <c r="I144" s="578">
        <f>0+táj2!I144</f>
        <v>0</v>
      </c>
      <c r="J144" s="578">
        <f>0+táj2!J144</f>
        <v>0</v>
      </c>
      <c r="K144" s="578">
        <f>150000+táj2!K144</f>
        <v>150000</v>
      </c>
      <c r="L144" s="578">
        <f>0+táj2!L144</f>
        <v>0</v>
      </c>
      <c r="M144" s="578">
        <f>0+táj2!M144</f>
        <v>0</v>
      </c>
      <c r="N144" s="578">
        <f>0+táj2!N144</f>
        <v>0</v>
      </c>
      <c r="O144" s="578">
        <f>0+táj2!O144</f>
        <v>0</v>
      </c>
      <c r="P144" s="578">
        <f>0+táj2!P144</f>
        <v>0</v>
      </c>
      <c r="Q144" s="579">
        <f t="shared" si="10"/>
        <v>150000</v>
      </c>
    </row>
    <row r="145" spans="1:17" ht="15" customHeight="1" x14ac:dyDescent="0.2">
      <c r="A145" s="107"/>
      <c r="B145" s="107"/>
      <c r="C145" s="145"/>
      <c r="D145" s="111" t="s">
        <v>311</v>
      </c>
      <c r="E145" s="106">
        <v>1</v>
      </c>
      <c r="F145" s="106">
        <v>131832</v>
      </c>
      <c r="G145" s="578">
        <f>0+táj2!G145</f>
        <v>0</v>
      </c>
      <c r="H145" s="578">
        <f>0+táj2!H145</f>
        <v>0</v>
      </c>
      <c r="I145" s="578">
        <f>0+táj2!I145</f>
        <v>0</v>
      </c>
      <c r="J145" s="578">
        <f>0+táj2!J145</f>
        <v>0</v>
      </c>
      <c r="K145" s="578">
        <f>50000+táj2!K145</f>
        <v>50000</v>
      </c>
      <c r="L145" s="578">
        <f>0+táj2!L145</f>
        <v>0</v>
      </c>
      <c r="M145" s="578">
        <f>0+táj2!M145</f>
        <v>0</v>
      </c>
      <c r="N145" s="578">
        <f>0+táj2!N145</f>
        <v>0</v>
      </c>
      <c r="O145" s="578">
        <f>0+táj2!O145</f>
        <v>0</v>
      </c>
      <c r="P145" s="578">
        <f>0+táj2!P145</f>
        <v>0</v>
      </c>
      <c r="Q145" s="579">
        <f t="shared" si="10"/>
        <v>50000</v>
      </c>
    </row>
    <row r="146" spans="1:17" ht="15" customHeight="1" x14ac:dyDescent="0.2">
      <c r="A146" s="107"/>
      <c r="B146" s="107"/>
      <c r="C146" s="145"/>
      <c r="D146" s="111" t="s">
        <v>312</v>
      </c>
      <c r="E146" s="106">
        <v>1</v>
      </c>
      <c r="F146" s="106">
        <v>131820</v>
      </c>
      <c r="G146" s="578">
        <f>901574+táj2!G146</f>
        <v>901574</v>
      </c>
      <c r="H146" s="578">
        <f>513311+táj2!H146</f>
        <v>513311</v>
      </c>
      <c r="I146" s="578">
        <f>549946+táj2!I146</f>
        <v>549946</v>
      </c>
      <c r="J146" s="578">
        <f>0+táj2!J146</f>
        <v>0</v>
      </c>
      <c r="K146" s="578">
        <f>2202125+táj2!K146</f>
        <v>2202125</v>
      </c>
      <c r="L146" s="578">
        <f>0+táj2!L146</f>
        <v>0</v>
      </c>
      <c r="M146" s="578">
        <f>0+táj2!M146</f>
        <v>0</v>
      </c>
      <c r="N146" s="578">
        <f>0+táj2!N146</f>
        <v>0</v>
      </c>
      <c r="O146" s="578">
        <f>0+táj2!O146</f>
        <v>0</v>
      </c>
      <c r="P146" s="578">
        <f>0+táj2!P146</f>
        <v>0</v>
      </c>
      <c r="Q146" s="579">
        <f t="shared" si="10"/>
        <v>4166956</v>
      </c>
    </row>
    <row r="147" spans="1:17" ht="15" customHeight="1" x14ac:dyDescent="0.2">
      <c r="A147" s="107"/>
      <c r="B147" s="107"/>
      <c r="C147" s="145"/>
      <c r="D147" s="111" t="s">
        <v>587</v>
      </c>
      <c r="E147" s="106">
        <v>2</v>
      </c>
      <c r="F147" s="106">
        <v>131854</v>
      </c>
      <c r="G147" s="578">
        <f>0+táj2!G147</f>
        <v>0</v>
      </c>
      <c r="H147" s="578">
        <f>0+táj2!H147</f>
        <v>0</v>
      </c>
      <c r="I147" s="578">
        <f>0+táj2!I147</f>
        <v>0</v>
      </c>
      <c r="J147" s="578">
        <f>0+táj2!J147</f>
        <v>0</v>
      </c>
      <c r="K147" s="578">
        <f>100000+táj2!K147</f>
        <v>100000</v>
      </c>
      <c r="L147" s="578">
        <f>0+táj2!L147</f>
        <v>0</v>
      </c>
      <c r="M147" s="578">
        <f>0+táj2!M147</f>
        <v>0</v>
      </c>
      <c r="N147" s="578">
        <f>0+táj2!N147</f>
        <v>0</v>
      </c>
      <c r="O147" s="578">
        <f>0+táj2!O147</f>
        <v>0</v>
      </c>
      <c r="P147" s="578">
        <f>0+táj2!P147</f>
        <v>0</v>
      </c>
      <c r="Q147" s="579">
        <f t="shared" si="10"/>
        <v>100000</v>
      </c>
    </row>
    <row r="148" spans="1:17" ht="15" customHeight="1" x14ac:dyDescent="0.2">
      <c r="A148" s="107"/>
      <c r="B148" s="107"/>
      <c r="C148" s="145"/>
      <c r="D148" s="111" t="s">
        <v>658</v>
      </c>
      <c r="E148" s="106">
        <v>2</v>
      </c>
      <c r="F148" s="106">
        <v>131869</v>
      </c>
      <c r="G148" s="578">
        <f>0+táj2!G148</f>
        <v>0</v>
      </c>
      <c r="H148" s="578">
        <f>0+táj2!H148</f>
        <v>0</v>
      </c>
      <c r="I148" s="578">
        <f>0+táj2!I148</f>
        <v>0</v>
      </c>
      <c r="J148" s="578">
        <f>0+táj2!J148</f>
        <v>0</v>
      </c>
      <c r="K148" s="578">
        <f>2000000+táj2!K148</f>
        <v>2000000</v>
      </c>
      <c r="L148" s="578">
        <f>0+táj2!L148</f>
        <v>0</v>
      </c>
      <c r="M148" s="578">
        <f>0+táj2!M148</f>
        <v>0</v>
      </c>
      <c r="N148" s="578">
        <f>0+táj2!N148</f>
        <v>0</v>
      </c>
      <c r="O148" s="578">
        <f>0+táj2!O148</f>
        <v>0</v>
      </c>
      <c r="P148" s="578">
        <f>0+táj2!P148</f>
        <v>0</v>
      </c>
      <c r="Q148" s="579">
        <f t="shared" si="10"/>
        <v>2000000</v>
      </c>
    </row>
    <row r="149" spans="1:17" ht="15" customHeight="1" x14ac:dyDescent="0.2">
      <c r="A149" s="107"/>
      <c r="B149" s="107"/>
      <c r="C149" s="145"/>
      <c r="D149" s="111" t="s">
        <v>313</v>
      </c>
      <c r="E149" s="116"/>
      <c r="F149" s="106"/>
      <c r="G149" s="578"/>
      <c r="H149" s="579"/>
      <c r="I149" s="579"/>
      <c r="J149" s="579"/>
      <c r="K149" s="579"/>
      <c r="L149" s="579"/>
      <c r="M149" s="579"/>
      <c r="N149" s="579"/>
      <c r="O149" s="579"/>
      <c r="P149" s="579"/>
      <c r="Q149" s="579">
        <f t="shared" si="10"/>
        <v>0</v>
      </c>
    </row>
    <row r="150" spans="1:17" ht="15" customHeight="1" x14ac:dyDescent="0.2">
      <c r="A150" s="107"/>
      <c r="B150" s="107"/>
      <c r="C150" s="145"/>
      <c r="D150" s="111" t="s">
        <v>314</v>
      </c>
      <c r="E150" s="133">
        <v>2</v>
      </c>
      <c r="F150" s="106">
        <v>131821</v>
      </c>
      <c r="G150" s="578">
        <f>0+táj2!G150</f>
        <v>0</v>
      </c>
      <c r="H150" s="578">
        <f>0+táj2!H150</f>
        <v>0</v>
      </c>
      <c r="I150" s="578">
        <f>0+táj2!I150</f>
        <v>0</v>
      </c>
      <c r="J150" s="578">
        <f>0+táj2!J150</f>
        <v>0</v>
      </c>
      <c r="K150" s="578">
        <f>3000000+táj2!K150</f>
        <v>3000000</v>
      </c>
      <c r="L150" s="578">
        <f>0+táj2!L150</f>
        <v>0</v>
      </c>
      <c r="M150" s="578">
        <f>0+táj2!M150</f>
        <v>0</v>
      </c>
      <c r="N150" s="578">
        <f>0+táj2!N150</f>
        <v>0</v>
      </c>
      <c r="O150" s="578">
        <f>0+táj2!O150</f>
        <v>0</v>
      </c>
      <c r="P150" s="578">
        <f>0+táj2!P150</f>
        <v>0</v>
      </c>
      <c r="Q150" s="579">
        <f t="shared" si="10"/>
        <v>3000000</v>
      </c>
    </row>
    <row r="151" spans="1:17" ht="15" customHeight="1" x14ac:dyDescent="0.2">
      <c r="A151" s="107"/>
      <c r="B151" s="107"/>
      <c r="C151" s="145"/>
      <c r="D151" s="111" t="s">
        <v>315</v>
      </c>
      <c r="E151" s="133">
        <v>2</v>
      </c>
      <c r="F151" s="106">
        <v>131822</v>
      </c>
      <c r="G151" s="578">
        <f>0+táj2!G151</f>
        <v>0</v>
      </c>
      <c r="H151" s="578">
        <f>0+táj2!H151</f>
        <v>0</v>
      </c>
      <c r="I151" s="578">
        <f>0+táj2!I151</f>
        <v>0</v>
      </c>
      <c r="J151" s="578">
        <f>0+táj2!J151</f>
        <v>0</v>
      </c>
      <c r="K151" s="578">
        <f>500000+táj2!K151</f>
        <v>500000</v>
      </c>
      <c r="L151" s="578">
        <f>0+táj2!L151</f>
        <v>0</v>
      </c>
      <c r="M151" s="578">
        <f>0+táj2!M151</f>
        <v>0</v>
      </c>
      <c r="N151" s="578">
        <f>0+táj2!N151</f>
        <v>0</v>
      </c>
      <c r="O151" s="578">
        <f>0+táj2!O151</f>
        <v>0</v>
      </c>
      <c r="P151" s="578">
        <f>0+táj2!P151</f>
        <v>0</v>
      </c>
      <c r="Q151" s="579">
        <f t="shared" si="10"/>
        <v>500000</v>
      </c>
    </row>
    <row r="152" spans="1:17" ht="15" customHeight="1" x14ac:dyDescent="0.2">
      <c r="A152" s="107"/>
      <c r="B152" s="107"/>
      <c r="C152" s="145"/>
      <c r="D152" s="157" t="s">
        <v>316</v>
      </c>
      <c r="E152" s="158">
        <v>2</v>
      </c>
      <c r="F152" s="106">
        <v>131823</v>
      </c>
      <c r="G152" s="578">
        <f>0+táj2!G152</f>
        <v>0</v>
      </c>
      <c r="H152" s="578">
        <f>0+táj2!H152</f>
        <v>0</v>
      </c>
      <c r="I152" s="578">
        <f>0+táj2!I152</f>
        <v>0</v>
      </c>
      <c r="J152" s="578">
        <f>0+táj2!J152</f>
        <v>0</v>
      </c>
      <c r="K152" s="578">
        <f>15000000+táj2!K152</f>
        <v>15000000</v>
      </c>
      <c r="L152" s="578">
        <f>0+táj2!L152</f>
        <v>0</v>
      </c>
      <c r="M152" s="578">
        <f>0+táj2!M152</f>
        <v>0</v>
      </c>
      <c r="N152" s="578">
        <f>0+táj2!N152</f>
        <v>0</v>
      </c>
      <c r="O152" s="578">
        <f>0+táj2!O152</f>
        <v>0</v>
      </c>
      <c r="P152" s="578">
        <f>0+táj2!P152</f>
        <v>0</v>
      </c>
      <c r="Q152" s="579">
        <f t="shared" si="10"/>
        <v>15000000</v>
      </c>
    </row>
    <row r="153" spans="1:17" ht="15" customHeight="1" x14ac:dyDescent="0.2">
      <c r="A153" s="107"/>
      <c r="B153" s="107"/>
      <c r="C153" s="145"/>
      <c r="D153" s="157" t="s">
        <v>317</v>
      </c>
      <c r="E153" s="159">
        <v>2</v>
      </c>
      <c r="F153" s="106">
        <v>131824</v>
      </c>
      <c r="G153" s="578">
        <f>0+táj2!G153</f>
        <v>0</v>
      </c>
      <c r="H153" s="578">
        <f>0+táj2!H153</f>
        <v>0</v>
      </c>
      <c r="I153" s="578">
        <f>0+táj2!I153</f>
        <v>0</v>
      </c>
      <c r="J153" s="578">
        <f>0+táj2!J153</f>
        <v>0</v>
      </c>
      <c r="K153" s="578">
        <f>3000000+táj2!K153</f>
        <v>3000000</v>
      </c>
      <c r="L153" s="578">
        <f>0+táj2!L153</f>
        <v>0</v>
      </c>
      <c r="M153" s="578">
        <f>0+táj2!M153</f>
        <v>0</v>
      </c>
      <c r="N153" s="578">
        <f>0+táj2!N153</f>
        <v>0</v>
      </c>
      <c r="O153" s="578">
        <f>0+táj2!O153</f>
        <v>0</v>
      </c>
      <c r="P153" s="578">
        <f>0+táj2!P153</f>
        <v>0</v>
      </c>
      <c r="Q153" s="579">
        <f t="shared" si="10"/>
        <v>3000000</v>
      </c>
    </row>
    <row r="154" spans="1:17" ht="15" customHeight="1" x14ac:dyDescent="0.2">
      <c r="A154" s="107"/>
      <c r="B154" s="107"/>
      <c r="C154" s="145"/>
      <c r="D154" s="157" t="s">
        <v>318</v>
      </c>
      <c r="E154" s="159">
        <v>2</v>
      </c>
      <c r="F154" s="160">
        <v>131833</v>
      </c>
      <c r="G154" s="578">
        <f>0+táj2!G154</f>
        <v>0</v>
      </c>
      <c r="H154" s="578">
        <f>0+táj2!H154</f>
        <v>0</v>
      </c>
      <c r="I154" s="578">
        <f>0+táj2!I154</f>
        <v>0</v>
      </c>
      <c r="J154" s="578">
        <f>0+táj2!J154</f>
        <v>0</v>
      </c>
      <c r="K154" s="578">
        <f>2500000+táj2!K154</f>
        <v>2500000</v>
      </c>
      <c r="L154" s="578">
        <f>0+táj2!L154</f>
        <v>0</v>
      </c>
      <c r="M154" s="578">
        <f>0+táj2!M154</f>
        <v>0</v>
      </c>
      <c r="N154" s="578">
        <f>0+táj2!N154</f>
        <v>0</v>
      </c>
      <c r="O154" s="578">
        <f>0+táj2!O154</f>
        <v>0</v>
      </c>
      <c r="P154" s="578">
        <f>0+táj2!P154</f>
        <v>0</v>
      </c>
      <c r="Q154" s="579">
        <f t="shared" si="10"/>
        <v>2500000</v>
      </c>
    </row>
    <row r="155" spans="1:17" ht="15" customHeight="1" x14ac:dyDescent="0.2">
      <c r="A155" s="107"/>
      <c r="B155" s="107"/>
      <c r="C155" s="145"/>
      <c r="D155" s="157" t="s">
        <v>319</v>
      </c>
      <c r="E155" s="159">
        <v>2</v>
      </c>
      <c r="F155" s="160">
        <v>131834</v>
      </c>
      <c r="G155" s="578">
        <f>0+táj2!G155</f>
        <v>0</v>
      </c>
      <c r="H155" s="578">
        <f>0+táj2!H155</f>
        <v>0</v>
      </c>
      <c r="I155" s="578">
        <f>0+táj2!I155</f>
        <v>0</v>
      </c>
      <c r="J155" s="578">
        <f>0+táj2!J155</f>
        <v>0</v>
      </c>
      <c r="K155" s="578">
        <f>1000000+táj2!K155</f>
        <v>1000000</v>
      </c>
      <c r="L155" s="578">
        <f>0+táj2!L155</f>
        <v>0</v>
      </c>
      <c r="M155" s="578">
        <f>0+táj2!M155</f>
        <v>0</v>
      </c>
      <c r="N155" s="578">
        <f>0+táj2!N155</f>
        <v>0</v>
      </c>
      <c r="O155" s="578">
        <f>0+táj2!O155</f>
        <v>0</v>
      </c>
      <c r="P155" s="578">
        <f>0+táj2!P155</f>
        <v>0</v>
      </c>
      <c r="Q155" s="579">
        <f t="shared" si="10"/>
        <v>1000000</v>
      </c>
    </row>
    <row r="156" spans="1:17" ht="15" customHeight="1" x14ac:dyDescent="0.2">
      <c r="A156" s="107"/>
      <c r="B156" s="107"/>
      <c r="C156" s="145"/>
      <c r="D156" s="157" t="s">
        <v>320</v>
      </c>
      <c r="E156" s="159">
        <v>2</v>
      </c>
      <c r="F156" s="160">
        <v>131836</v>
      </c>
      <c r="G156" s="578">
        <f>0+táj2!G156</f>
        <v>0</v>
      </c>
      <c r="H156" s="578">
        <f>0+táj2!H156</f>
        <v>0</v>
      </c>
      <c r="I156" s="578">
        <f>0+táj2!I156</f>
        <v>0</v>
      </c>
      <c r="J156" s="578">
        <f>0+táj2!J156</f>
        <v>0</v>
      </c>
      <c r="K156" s="578">
        <f>9000000+táj2!K156</f>
        <v>9000000</v>
      </c>
      <c r="L156" s="578">
        <f>0+táj2!L156</f>
        <v>0</v>
      </c>
      <c r="M156" s="578">
        <f>0+táj2!M156</f>
        <v>0</v>
      </c>
      <c r="N156" s="578">
        <f>0+táj2!N156</f>
        <v>0</v>
      </c>
      <c r="O156" s="578">
        <f>0+táj2!O156</f>
        <v>0</v>
      </c>
      <c r="P156" s="578">
        <f>0+táj2!P156</f>
        <v>0</v>
      </c>
      <c r="Q156" s="579">
        <f t="shared" si="10"/>
        <v>9000000</v>
      </c>
    </row>
    <row r="157" spans="1:17" ht="15" customHeight="1" x14ac:dyDescent="0.2">
      <c r="A157" s="107"/>
      <c r="B157" s="107"/>
      <c r="C157" s="145"/>
      <c r="D157" s="157" t="s">
        <v>766</v>
      </c>
      <c r="E157" s="159">
        <v>2</v>
      </c>
      <c r="F157" s="160">
        <v>131837</v>
      </c>
      <c r="G157" s="578">
        <f>0+táj2!G157</f>
        <v>0</v>
      </c>
      <c r="H157" s="578">
        <f>0+táj2!H157</f>
        <v>0</v>
      </c>
      <c r="I157" s="578">
        <f>0+táj2!I157</f>
        <v>0</v>
      </c>
      <c r="J157" s="578">
        <f>0+táj2!J157</f>
        <v>0</v>
      </c>
      <c r="K157" s="578">
        <f>8000000+táj2!K157</f>
        <v>8000000</v>
      </c>
      <c r="L157" s="578">
        <f>0+táj2!L157</f>
        <v>0</v>
      </c>
      <c r="M157" s="578">
        <f>0+táj2!M157</f>
        <v>0</v>
      </c>
      <c r="N157" s="578">
        <f>0+táj2!N157</f>
        <v>0</v>
      </c>
      <c r="O157" s="578">
        <f>0+táj2!O157</f>
        <v>0</v>
      </c>
      <c r="P157" s="578">
        <f>0+táj2!P157</f>
        <v>0</v>
      </c>
      <c r="Q157" s="579">
        <f t="shared" si="10"/>
        <v>8000000</v>
      </c>
    </row>
    <row r="158" spans="1:17" ht="15" customHeight="1" x14ac:dyDescent="0.2">
      <c r="A158" s="107"/>
      <c r="B158" s="107"/>
      <c r="C158" s="145"/>
      <c r="D158" s="157" t="s">
        <v>579</v>
      </c>
      <c r="E158" s="159">
        <v>2</v>
      </c>
      <c r="F158" s="160">
        <v>131838</v>
      </c>
      <c r="G158" s="578">
        <f>0+táj2!G158</f>
        <v>0</v>
      </c>
      <c r="H158" s="578">
        <f>0+táj2!H158</f>
        <v>0</v>
      </c>
      <c r="I158" s="578">
        <f>0+táj2!I158</f>
        <v>0</v>
      </c>
      <c r="J158" s="578">
        <f>0+táj2!J158</f>
        <v>0</v>
      </c>
      <c r="K158" s="578">
        <f>25000000+táj2!K158</f>
        <v>25000000</v>
      </c>
      <c r="L158" s="578">
        <f>0+táj2!L158</f>
        <v>0</v>
      </c>
      <c r="M158" s="578">
        <f>0+táj2!M158</f>
        <v>0</v>
      </c>
      <c r="N158" s="578">
        <f>0+táj2!N158</f>
        <v>0</v>
      </c>
      <c r="O158" s="578">
        <f>0+táj2!O158</f>
        <v>0</v>
      </c>
      <c r="P158" s="578">
        <f>0+táj2!P158</f>
        <v>0</v>
      </c>
      <c r="Q158" s="579">
        <f t="shared" si="10"/>
        <v>25000000</v>
      </c>
    </row>
    <row r="159" spans="1:17" ht="15" customHeight="1" x14ac:dyDescent="0.2">
      <c r="A159" s="107"/>
      <c r="B159" s="107"/>
      <c r="C159" s="145"/>
      <c r="D159" s="157" t="s">
        <v>321</v>
      </c>
      <c r="E159" s="159">
        <v>2</v>
      </c>
      <c r="F159" s="160">
        <v>131840</v>
      </c>
      <c r="G159" s="578">
        <f>0+táj2!G159</f>
        <v>0</v>
      </c>
      <c r="H159" s="578">
        <f>0+táj2!H159</f>
        <v>0</v>
      </c>
      <c r="I159" s="578">
        <f>0+táj2!I159</f>
        <v>0</v>
      </c>
      <c r="J159" s="578">
        <f>0+táj2!J159</f>
        <v>0</v>
      </c>
      <c r="K159" s="578">
        <f>1000000+táj2!K159</f>
        <v>1000000</v>
      </c>
      <c r="L159" s="578">
        <f>0+táj2!L159</f>
        <v>0</v>
      </c>
      <c r="M159" s="578">
        <f>0+táj2!M159</f>
        <v>0</v>
      </c>
      <c r="N159" s="578">
        <f>0+táj2!N159</f>
        <v>0</v>
      </c>
      <c r="O159" s="578">
        <f>0+táj2!O159</f>
        <v>0</v>
      </c>
      <c r="P159" s="578">
        <f>0+táj2!P159</f>
        <v>0</v>
      </c>
      <c r="Q159" s="579">
        <f t="shared" si="10"/>
        <v>1000000</v>
      </c>
    </row>
    <row r="160" spans="1:17" ht="15" customHeight="1" x14ac:dyDescent="0.2">
      <c r="A160" s="107"/>
      <c r="B160" s="107"/>
      <c r="C160" s="107"/>
      <c r="D160" s="157" t="s">
        <v>561</v>
      </c>
      <c r="E160" s="159">
        <v>2</v>
      </c>
      <c r="F160" s="160">
        <v>131841</v>
      </c>
      <c r="G160" s="578">
        <f>0+táj2!G160</f>
        <v>0</v>
      </c>
      <c r="H160" s="578">
        <f>0+táj2!H160</f>
        <v>0</v>
      </c>
      <c r="I160" s="578">
        <f>0+táj2!I160</f>
        <v>0</v>
      </c>
      <c r="J160" s="578">
        <f>0+táj2!J160</f>
        <v>0</v>
      </c>
      <c r="K160" s="578">
        <f>1000000+táj2!K160</f>
        <v>1000000</v>
      </c>
      <c r="L160" s="578">
        <f>0+táj2!L160</f>
        <v>0</v>
      </c>
      <c r="M160" s="578">
        <f>0+táj2!M160</f>
        <v>0</v>
      </c>
      <c r="N160" s="578">
        <f>0+táj2!N160</f>
        <v>0</v>
      </c>
      <c r="O160" s="578">
        <f>0+táj2!O160</f>
        <v>0</v>
      </c>
      <c r="P160" s="578">
        <f>0+táj2!P160</f>
        <v>0</v>
      </c>
      <c r="Q160" s="579">
        <f t="shared" si="10"/>
        <v>1000000</v>
      </c>
    </row>
    <row r="161" spans="1:17" ht="15" customHeight="1" x14ac:dyDescent="0.2">
      <c r="A161" s="107"/>
      <c r="B161" s="107"/>
      <c r="C161" s="107"/>
      <c r="D161" s="157" t="s">
        <v>322</v>
      </c>
      <c r="E161" s="159">
        <v>2</v>
      </c>
      <c r="F161" s="160">
        <v>131843</v>
      </c>
      <c r="G161" s="578">
        <f>0+táj2!G161</f>
        <v>0</v>
      </c>
      <c r="H161" s="578">
        <f>0+táj2!H161</f>
        <v>0</v>
      </c>
      <c r="I161" s="578">
        <f>0+táj2!I161</f>
        <v>0</v>
      </c>
      <c r="J161" s="578">
        <f>0+táj2!J161</f>
        <v>0</v>
      </c>
      <c r="K161" s="578">
        <f>1000000+táj2!K161</f>
        <v>1000000</v>
      </c>
      <c r="L161" s="578">
        <f>0+táj2!L161</f>
        <v>0</v>
      </c>
      <c r="M161" s="578">
        <f>0+táj2!M161</f>
        <v>0</v>
      </c>
      <c r="N161" s="578">
        <f>0+táj2!N161</f>
        <v>0</v>
      </c>
      <c r="O161" s="578">
        <f>0+táj2!O161</f>
        <v>0</v>
      </c>
      <c r="P161" s="578">
        <f>0+táj2!P161</f>
        <v>0</v>
      </c>
      <c r="Q161" s="579">
        <f t="shared" si="10"/>
        <v>1000000</v>
      </c>
    </row>
    <row r="162" spans="1:17" ht="15" customHeight="1" x14ac:dyDescent="0.2">
      <c r="A162" s="107"/>
      <c r="B162" s="107"/>
      <c r="C162" s="107"/>
      <c r="D162" s="106" t="s">
        <v>323</v>
      </c>
      <c r="E162" s="159">
        <v>2</v>
      </c>
      <c r="F162" s="160">
        <v>131847</v>
      </c>
      <c r="G162" s="578">
        <f>0+táj2!G162</f>
        <v>0</v>
      </c>
      <c r="H162" s="578">
        <f>0+táj2!H162</f>
        <v>0</v>
      </c>
      <c r="I162" s="578">
        <f>0+táj2!I162</f>
        <v>0</v>
      </c>
      <c r="J162" s="578">
        <f>0+táj2!J162</f>
        <v>0</v>
      </c>
      <c r="K162" s="578">
        <f>3000000+táj2!K162</f>
        <v>3000000</v>
      </c>
      <c r="L162" s="578">
        <f>0+táj2!L162</f>
        <v>0</v>
      </c>
      <c r="M162" s="578">
        <f>0+táj2!M162</f>
        <v>0</v>
      </c>
      <c r="N162" s="578">
        <f>0+táj2!N162</f>
        <v>0</v>
      </c>
      <c r="O162" s="578">
        <f>0+táj2!O162</f>
        <v>0</v>
      </c>
      <c r="P162" s="578">
        <f>0+táj2!P162</f>
        <v>0</v>
      </c>
      <c r="Q162" s="579">
        <f t="shared" si="10"/>
        <v>3000000</v>
      </c>
    </row>
    <row r="163" spans="1:17" ht="15" customHeight="1" x14ac:dyDescent="0.2">
      <c r="A163" s="107"/>
      <c r="B163" s="107"/>
      <c r="C163" s="107"/>
      <c r="D163" s="161" t="s">
        <v>324</v>
      </c>
      <c r="E163" s="159">
        <v>2</v>
      </c>
      <c r="F163" s="160">
        <v>131848</v>
      </c>
      <c r="G163" s="578">
        <f>0+táj2!G163</f>
        <v>0</v>
      </c>
      <c r="H163" s="578">
        <f>0+táj2!H163</f>
        <v>0</v>
      </c>
      <c r="I163" s="578">
        <f>0+táj2!I163</f>
        <v>0</v>
      </c>
      <c r="J163" s="578">
        <f>0+táj2!J163</f>
        <v>0</v>
      </c>
      <c r="K163" s="578">
        <f>500000+táj2!K163</f>
        <v>500000</v>
      </c>
      <c r="L163" s="578">
        <f>0+táj2!L163</f>
        <v>0</v>
      </c>
      <c r="M163" s="578">
        <f>0+táj2!M163</f>
        <v>0</v>
      </c>
      <c r="N163" s="578">
        <f>0+táj2!N163</f>
        <v>0</v>
      </c>
      <c r="O163" s="578">
        <f>0+táj2!O163</f>
        <v>0</v>
      </c>
      <c r="P163" s="578">
        <f>0+táj2!P163</f>
        <v>0</v>
      </c>
      <c r="Q163" s="579">
        <f t="shared" si="10"/>
        <v>500000</v>
      </c>
    </row>
    <row r="164" spans="1:17" ht="15" customHeight="1" x14ac:dyDescent="0.2">
      <c r="A164" s="107"/>
      <c r="B164" s="107"/>
      <c r="C164" s="107"/>
      <c r="D164" s="162" t="s">
        <v>325</v>
      </c>
      <c r="E164" s="80">
        <v>2</v>
      </c>
      <c r="F164" s="81">
        <v>131851</v>
      </c>
      <c r="G164" s="578">
        <f>0+táj2!G164</f>
        <v>0</v>
      </c>
      <c r="H164" s="578">
        <f>0+táj2!H164</f>
        <v>0</v>
      </c>
      <c r="I164" s="578">
        <f>0+táj2!I164</f>
        <v>0</v>
      </c>
      <c r="J164" s="578">
        <f>0+táj2!J164</f>
        <v>0</v>
      </c>
      <c r="K164" s="578">
        <f>500000+táj2!K164</f>
        <v>500000</v>
      </c>
      <c r="L164" s="578">
        <f>0+táj2!L164</f>
        <v>0</v>
      </c>
      <c r="M164" s="578">
        <f>0+táj2!M164</f>
        <v>0</v>
      </c>
      <c r="N164" s="578">
        <f>0+táj2!N164</f>
        <v>0</v>
      </c>
      <c r="O164" s="578">
        <f>0+táj2!O164</f>
        <v>0</v>
      </c>
      <c r="P164" s="578">
        <f>0+táj2!P164</f>
        <v>0</v>
      </c>
      <c r="Q164" s="578">
        <f t="shared" si="10"/>
        <v>500000</v>
      </c>
    </row>
    <row r="165" spans="1:17" ht="15" customHeight="1" x14ac:dyDescent="0.2">
      <c r="A165" s="45"/>
      <c r="B165" s="45"/>
      <c r="C165" s="45"/>
      <c r="D165" s="48" t="s">
        <v>326</v>
      </c>
      <c r="E165" s="80">
        <v>2</v>
      </c>
      <c r="F165" s="81">
        <v>131852</v>
      </c>
      <c r="G165" s="578">
        <f>0+táj2!G165</f>
        <v>0</v>
      </c>
      <c r="H165" s="578">
        <f>0+táj2!H165</f>
        <v>0</v>
      </c>
      <c r="I165" s="578">
        <f>0+táj2!I165</f>
        <v>0</v>
      </c>
      <c r="J165" s="578">
        <f>0+táj2!J165</f>
        <v>0</v>
      </c>
      <c r="K165" s="578">
        <f>3000000+táj2!K165</f>
        <v>3000000</v>
      </c>
      <c r="L165" s="578">
        <f>0+táj2!L165</f>
        <v>0</v>
      </c>
      <c r="M165" s="578">
        <f>0+táj2!M165</f>
        <v>0</v>
      </c>
      <c r="N165" s="578">
        <f>0+táj2!N165</f>
        <v>0</v>
      </c>
      <c r="O165" s="578">
        <f>0+táj2!O165</f>
        <v>0</v>
      </c>
      <c r="P165" s="578">
        <f>0+táj2!P165</f>
        <v>0</v>
      </c>
      <c r="Q165" s="578">
        <f t="shared" si="10"/>
        <v>3000000</v>
      </c>
    </row>
    <row r="166" spans="1:17" ht="24" customHeight="1" x14ac:dyDescent="0.2">
      <c r="A166" s="45"/>
      <c r="B166" s="45"/>
      <c r="C166" s="45"/>
      <c r="D166" s="163" t="s">
        <v>327</v>
      </c>
      <c r="E166" s="99">
        <v>2</v>
      </c>
      <c r="F166" s="58">
        <v>131862</v>
      </c>
      <c r="G166" s="578">
        <f>0+táj2!G166</f>
        <v>0</v>
      </c>
      <c r="H166" s="578">
        <f>0+táj2!H166</f>
        <v>0</v>
      </c>
      <c r="I166" s="578">
        <f>0+táj2!I166</f>
        <v>0</v>
      </c>
      <c r="J166" s="578">
        <f>0+táj2!J166</f>
        <v>0</v>
      </c>
      <c r="K166" s="578">
        <f>4400000+táj2!K166</f>
        <v>4400000</v>
      </c>
      <c r="L166" s="578">
        <f>0+táj2!L166</f>
        <v>0</v>
      </c>
      <c r="M166" s="578">
        <f>0+táj2!M166</f>
        <v>0</v>
      </c>
      <c r="N166" s="578">
        <f>0+táj2!N166</f>
        <v>0</v>
      </c>
      <c r="O166" s="578">
        <f>0+táj2!O166</f>
        <v>0</v>
      </c>
      <c r="P166" s="578">
        <f>0+táj2!P166</f>
        <v>0</v>
      </c>
      <c r="Q166" s="578">
        <f t="shared" si="10"/>
        <v>4400000</v>
      </c>
    </row>
    <row r="167" spans="1:17" ht="15" customHeight="1" x14ac:dyDescent="0.2">
      <c r="A167" s="45"/>
      <c r="B167" s="45"/>
      <c r="C167" s="45"/>
      <c r="D167" s="110" t="s">
        <v>328</v>
      </c>
      <c r="E167" s="80">
        <v>2</v>
      </c>
      <c r="F167" s="81">
        <v>131859</v>
      </c>
      <c r="G167" s="578">
        <f>0+táj2!G167</f>
        <v>0</v>
      </c>
      <c r="H167" s="578">
        <f>0+táj2!H167</f>
        <v>0</v>
      </c>
      <c r="I167" s="578">
        <f>0+táj2!I167</f>
        <v>0</v>
      </c>
      <c r="J167" s="578">
        <f>0+táj2!J167</f>
        <v>0</v>
      </c>
      <c r="K167" s="578">
        <f>100000+táj2!K167</f>
        <v>100000</v>
      </c>
      <c r="L167" s="578">
        <f>0+táj2!L167</f>
        <v>0</v>
      </c>
      <c r="M167" s="578">
        <f>0+táj2!M167</f>
        <v>0</v>
      </c>
      <c r="N167" s="578">
        <f>0+táj2!N167</f>
        <v>0</v>
      </c>
      <c r="O167" s="578">
        <f>0+táj2!O167</f>
        <v>0</v>
      </c>
      <c r="P167" s="578">
        <f>0+táj2!P167</f>
        <v>0</v>
      </c>
      <c r="Q167" s="578">
        <f t="shared" si="10"/>
        <v>100000</v>
      </c>
    </row>
    <row r="168" spans="1:17" ht="15" customHeight="1" x14ac:dyDescent="0.2">
      <c r="A168" s="45"/>
      <c r="B168" s="45"/>
      <c r="C168" s="45"/>
      <c r="D168" s="164" t="s">
        <v>329</v>
      </c>
      <c r="E168" s="159">
        <v>2</v>
      </c>
      <c r="F168" s="160">
        <v>131860</v>
      </c>
      <c r="G168" s="578">
        <f>0+táj2!G168</f>
        <v>0</v>
      </c>
      <c r="H168" s="578">
        <f>0+táj2!H168</f>
        <v>0</v>
      </c>
      <c r="I168" s="578">
        <f>0+táj2!I168</f>
        <v>0</v>
      </c>
      <c r="J168" s="578">
        <f>0+táj2!J168</f>
        <v>0</v>
      </c>
      <c r="K168" s="578">
        <f>100000+táj2!K168</f>
        <v>100000</v>
      </c>
      <c r="L168" s="578">
        <f>0+táj2!L168</f>
        <v>0</v>
      </c>
      <c r="M168" s="578">
        <f>0+táj2!M168</f>
        <v>0</v>
      </c>
      <c r="N168" s="578">
        <f>0+táj2!N168</f>
        <v>0</v>
      </c>
      <c r="O168" s="578">
        <f>0+táj2!O168</f>
        <v>0</v>
      </c>
      <c r="P168" s="578">
        <f>0+táj2!P168</f>
        <v>0</v>
      </c>
      <c r="Q168" s="579">
        <f t="shared" si="10"/>
        <v>100000</v>
      </c>
    </row>
    <row r="169" spans="1:17" ht="15" customHeight="1" x14ac:dyDescent="0.2">
      <c r="A169" s="107"/>
      <c r="B169" s="107"/>
      <c r="C169" s="107"/>
      <c r="D169" s="164" t="s">
        <v>330</v>
      </c>
      <c r="E169" s="159">
        <v>2</v>
      </c>
      <c r="F169" s="160">
        <v>131861</v>
      </c>
      <c r="G169" s="578">
        <f>0+táj2!G169</f>
        <v>0</v>
      </c>
      <c r="H169" s="578">
        <f>0+táj2!H169</f>
        <v>0</v>
      </c>
      <c r="I169" s="578">
        <f>0+táj2!I169</f>
        <v>0</v>
      </c>
      <c r="J169" s="578">
        <f>0+táj2!J169</f>
        <v>0</v>
      </c>
      <c r="K169" s="578">
        <f>500000+táj2!K169</f>
        <v>500000</v>
      </c>
      <c r="L169" s="578">
        <f>0+táj2!L169</f>
        <v>0</v>
      </c>
      <c r="M169" s="578">
        <f>0+táj2!M169</f>
        <v>0</v>
      </c>
      <c r="N169" s="578">
        <f>0+táj2!N169</f>
        <v>0</v>
      </c>
      <c r="O169" s="578">
        <f>0+táj2!O169</f>
        <v>0</v>
      </c>
      <c r="P169" s="578">
        <f>0+táj2!P169</f>
        <v>0</v>
      </c>
      <c r="Q169" s="579">
        <f t="shared" si="10"/>
        <v>500000</v>
      </c>
    </row>
    <row r="170" spans="1:17" ht="43.5" customHeight="1" x14ac:dyDescent="0.2">
      <c r="A170" s="107"/>
      <c r="B170" s="107"/>
      <c r="C170" s="107"/>
      <c r="D170" s="263" t="s">
        <v>767</v>
      </c>
      <c r="E170" s="159">
        <v>2</v>
      </c>
      <c r="F170" s="160">
        <v>131826</v>
      </c>
      <c r="G170" s="578">
        <f>0+táj2!G170</f>
        <v>0</v>
      </c>
      <c r="H170" s="578">
        <f>0+táj2!H170</f>
        <v>0</v>
      </c>
      <c r="I170" s="578">
        <f>0+táj2!I170</f>
        <v>0</v>
      </c>
      <c r="J170" s="578">
        <f>0+táj2!J170</f>
        <v>0</v>
      </c>
      <c r="K170" s="578">
        <f>1000000+táj2!K170</f>
        <v>1000000</v>
      </c>
      <c r="L170" s="578">
        <f>0+táj2!L170</f>
        <v>0</v>
      </c>
      <c r="M170" s="578">
        <f>0+táj2!M170</f>
        <v>0</v>
      </c>
      <c r="N170" s="578">
        <f>0+táj2!N170</f>
        <v>0</v>
      </c>
      <c r="O170" s="578">
        <f>0+táj2!O170</f>
        <v>0</v>
      </c>
      <c r="P170" s="578">
        <f>0+táj2!P170</f>
        <v>0</v>
      </c>
      <c r="Q170" s="579">
        <f t="shared" si="10"/>
        <v>1000000</v>
      </c>
    </row>
    <row r="171" spans="1:17" ht="15" customHeight="1" x14ac:dyDescent="0.2">
      <c r="A171" s="107"/>
      <c r="B171" s="107"/>
      <c r="C171" s="107"/>
      <c r="D171" s="155" t="s">
        <v>331</v>
      </c>
      <c r="E171" s="133">
        <v>2</v>
      </c>
      <c r="F171" s="106">
        <v>131829</v>
      </c>
      <c r="G171" s="578">
        <f>1000000+táj2!G171</f>
        <v>1000000</v>
      </c>
      <c r="H171" s="578">
        <f>200000+táj2!H171</f>
        <v>200000</v>
      </c>
      <c r="I171" s="578">
        <f>400000+táj2!I171</f>
        <v>400000</v>
      </c>
      <c r="J171" s="578">
        <f>0+táj2!J171</f>
        <v>0</v>
      </c>
      <c r="K171" s="578">
        <f>1450000+táj2!K171</f>
        <v>1450000</v>
      </c>
      <c r="L171" s="578">
        <f>0+táj2!L171</f>
        <v>0</v>
      </c>
      <c r="M171" s="578">
        <f>0+táj2!M171</f>
        <v>0</v>
      </c>
      <c r="N171" s="578">
        <f>0+táj2!N171</f>
        <v>0</v>
      </c>
      <c r="O171" s="578">
        <f>0+táj2!O171</f>
        <v>0</v>
      </c>
      <c r="P171" s="578">
        <f>0+táj2!P171</f>
        <v>0</v>
      </c>
      <c r="Q171" s="579">
        <f t="shared" si="10"/>
        <v>3050000</v>
      </c>
    </row>
    <row r="172" spans="1:17" ht="15" customHeight="1" x14ac:dyDescent="0.2">
      <c r="A172" s="107"/>
      <c r="B172" s="107"/>
      <c r="C172" s="145"/>
      <c r="D172" s="155" t="s">
        <v>590</v>
      </c>
      <c r="E172" s="133">
        <v>2</v>
      </c>
      <c r="F172" s="106">
        <v>131825</v>
      </c>
      <c r="G172" s="578">
        <f>0+táj2!G172</f>
        <v>0</v>
      </c>
      <c r="H172" s="578">
        <f>0+táj2!H172</f>
        <v>0</v>
      </c>
      <c r="I172" s="578">
        <f>0+táj2!I172</f>
        <v>0</v>
      </c>
      <c r="J172" s="578">
        <f>0+táj2!J172</f>
        <v>0</v>
      </c>
      <c r="K172" s="578">
        <f>1000000+táj2!K172</f>
        <v>1000000</v>
      </c>
      <c r="L172" s="578">
        <f>0+táj2!L172</f>
        <v>0</v>
      </c>
      <c r="M172" s="578">
        <f>0+táj2!M172</f>
        <v>0</v>
      </c>
      <c r="N172" s="578">
        <f>0+táj2!N172</f>
        <v>0</v>
      </c>
      <c r="O172" s="578">
        <f>0+táj2!O172</f>
        <v>0</v>
      </c>
      <c r="P172" s="578">
        <f>0+táj2!P172</f>
        <v>0</v>
      </c>
      <c r="Q172" s="579">
        <f>SUM(G172:P172)</f>
        <v>1000000</v>
      </c>
    </row>
    <row r="173" spans="1:17" ht="15" customHeight="1" x14ac:dyDescent="0.2">
      <c r="A173" s="107"/>
      <c r="B173" s="107"/>
      <c r="C173" s="145"/>
      <c r="D173" s="111" t="s">
        <v>332</v>
      </c>
      <c r="E173" s="112"/>
      <c r="F173" s="106"/>
      <c r="G173" s="578"/>
      <c r="H173" s="579"/>
      <c r="I173" s="579"/>
      <c r="J173" s="579"/>
      <c r="K173" s="579"/>
      <c r="L173" s="579"/>
      <c r="M173" s="579"/>
      <c r="N173" s="579"/>
      <c r="O173" s="579"/>
      <c r="P173" s="579"/>
      <c r="Q173" s="579"/>
    </row>
    <row r="174" spans="1:17" ht="15" customHeight="1" x14ac:dyDescent="0.2">
      <c r="A174" s="107"/>
      <c r="B174" s="107"/>
      <c r="C174" s="145"/>
      <c r="D174" s="111" t="s">
        <v>333</v>
      </c>
      <c r="E174" s="133">
        <v>1</v>
      </c>
      <c r="F174" s="106">
        <v>131827</v>
      </c>
      <c r="G174" s="578">
        <f>0+táj2!G174</f>
        <v>0</v>
      </c>
      <c r="H174" s="578">
        <f>0+táj2!H174</f>
        <v>0</v>
      </c>
      <c r="I174" s="578">
        <f>11700000+táj2!I174</f>
        <v>11700000</v>
      </c>
      <c r="J174" s="578">
        <f>0+táj2!J174</f>
        <v>0</v>
      </c>
      <c r="K174" s="578">
        <f>32500000+táj2!K174</f>
        <v>32500000</v>
      </c>
      <c r="L174" s="578">
        <f>0+táj2!L174</f>
        <v>0</v>
      </c>
      <c r="M174" s="578">
        <f>0+táj2!M174</f>
        <v>0</v>
      </c>
      <c r="N174" s="578">
        <f>0+táj2!N174</f>
        <v>0</v>
      </c>
      <c r="O174" s="578">
        <f>0+táj2!O174</f>
        <v>0</v>
      </c>
      <c r="P174" s="578">
        <f>0+táj2!P174</f>
        <v>0</v>
      </c>
      <c r="Q174" s="579">
        <f>SUM(G174:P174)</f>
        <v>44200000</v>
      </c>
    </row>
    <row r="175" spans="1:17" ht="15" customHeight="1" x14ac:dyDescent="0.2">
      <c r="A175" s="107"/>
      <c r="B175" s="107"/>
      <c r="C175" s="145"/>
      <c r="D175" s="165" t="s">
        <v>334</v>
      </c>
      <c r="E175" s="106">
        <v>2</v>
      </c>
      <c r="F175" s="106">
        <v>131844</v>
      </c>
      <c r="G175" s="578">
        <f>0+táj2!G175</f>
        <v>0</v>
      </c>
      <c r="H175" s="578">
        <f>0+táj2!H175</f>
        <v>0</v>
      </c>
      <c r="I175" s="578">
        <f>0+táj2!I175</f>
        <v>0</v>
      </c>
      <c r="J175" s="578">
        <f>0+táj2!J175</f>
        <v>0</v>
      </c>
      <c r="K175" s="578">
        <f>19852000+táj2!K175</f>
        <v>19852000</v>
      </c>
      <c r="L175" s="578">
        <f>0+táj2!L175</f>
        <v>0</v>
      </c>
      <c r="M175" s="578">
        <f>0+táj2!M175</f>
        <v>0</v>
      </c>
      <c r="N175" s="578">
        <f>0+táj2!N175</f>
        <v>0</v>
      </c>
      <c r="O175" s="578">
        <f>0+táj2!O175</f>
        <v>0</v>
      </c>
      <c r="P175" s="578">
        <f>0+táj2!P175</f>
        <v>0</v>
      </c>
      <c r="Q175" s="579">
        <f>SUM(G175:P175)</f>
        <v>19852000</v>
      </c>
    </row>
    <row r="176" spans="1:17" ht="15" customHeight="1" x14ac:dyDescent="0.2">
      <c r="A176" s="107"/>
      <c r="B176" s="107"/>
      <c r="C176" s="145"/>
      <c r="D176" s="166" t="s">
        <v>539</v>
      </c>
      <c r="E176" s="167">
        <v>2</v>
      </c>
      <c r="F176" s="106">
        <v>221966</v>
      </c>
      <c r="G176" s="578">
        <f>0+táj2!G176</f>
        <v>0</v>
      </c>
      <c r="H176" s="578">
        <f>0+táj2!H176</f>
        <v>0</v>
      </c>
      <c r="I176" s="578">
        <f>0+táj2!I176</f>
        <v>0</v>
      </c>
      <c r="J176" s="578">
        <f>0+táj2!J176</f>
        <v>0</v>
      </c>
      <c r="K176" s="578">
        <f>112000000+táj2!K176</f>
        <v>112000000</v>
      </c>
      <c r="L176" s="578">
        <f>0+táj2!L176</f>
        <v>0</v>
      </c>
      <c r="M176" s="578">
        <f>0+táj2!M176</f>
        <v>0</v>
      </c>
      <c r="N176" s="578">
        <f>0+táj2!N176</f>
        <v>0</v>
      </c>
      <c r="O176" s="578">
        <f>0+táj2!O176</f>
        <v>0</v>
      </c>
      <c r="P176" s="578">
        <f>0+táj2!P176</f>
        <v>0</v>
      </c>
      <c r="Q176" s="582">
        <f>SUM(G176:P176)</f>
        <v>112000000</v>
      </c>
    </row>
    <row r="177" spans="1:17" ht="15" customHeight="1" x14ac:dyDescent="0.2">
      <c r="A177" s="107"/>
      <c r="B177" s="107"/>
      <c r="C177" s="145"/>
      <c r="D177" s="111" t="s">
        <v>536</v>
      </c>
      <c r="E177" s="106">
        <v>2</v>
      </c>
      <c r="F177" s="106">
        <v>191801</v>
      </c>
      <c r="G177" s="578">
        <f>0+táj2!G177</f>
        <v>0</v>
      </c>
      <c r="H177" s="578">
        <f>0+táj2!H177</f>
        <v>0</v>
      </c>
      <c r="I177" s="578">
        <f>0+táj2!I177</f>
        <v>0</v>
      </c>
      <c r="J177" s="578">
        <f>0+táj2!J177</f>
        <v>0</v>
      </c>
      <c r="K177" s="578">
        <f>440000000+táj2!K177</f>
        <v>440000000</v>
      </c>
      <c r="L177" s="578">
        <f>0+táj2!L177</f>
        <v>0</v>
      </c>
      <c r="M177" s="578">
        <f>0+táj2!M177</f>
        <v>0</v>
      </c>
      <c r="N177" s="578">
        <f>0+táj2!N177</f>
        <v>0</v>
      </c>
      <c r="O177" s="578">
        <f>0+táj2!O177</f>
        <v>0</v>
      </c>
      <c r="P177" s="578">
        <f>0+táj2!P177</f>
        <v>0</v>
      </c>
      <c r="Q177" s="579">
        <f>SUM(G177:P177)</f>
        <v>440000000</v>
      </c>
    </row>
    <row r="178" spans="1:17" ht="15" customHeight="1" x14ac:dyDescent="0.2">
      <c r="A178" s="169"/>
      <c r="B178" s="169"/>
      <c r="C178" s="170"/>
      <c r="D178" s="171" t="s">
        <v>748</v>
      </c>
      <c r="E178" s="172"/>
      <c r="F178" s="173"/>
      <c r="G178" s="583">
        <f t="shared" ref="G178:Q178" si="11">SUM(G49:G177)</f>
        <v>9776068</v>
      </c>
      <c r="H178" s="583">
        <f t="shared" si="11"/>
        <v>3780145</v>
      </c>
      <c r="I178" s="583">
        <f t="shared" si="11"/>
        <v>41252436</v>
      </c>
      <c r="J178" s="583">
        <f t="shared" si="11"/>
        <v>11000000</v>
      </c>
      <c r="K178" s="583">
        <f t="shared" si="11"/>
        <v>1526023125</v>
      </c>
      <c r="L178" s="583">
        <f t="shared" si="11"/>
        <v>0</v>
      </c>
      <c r="M178" s="583">
        <f t="shared" si="11"/>
        <v>0</v>
      </c>
      <c r="N178" s="583">
        <f t="shared" si="11"/>
        <v>0</v>
      </c>
      <c r="O178" s="583">
        <f t="shared" si="11"/>
        <v>0</v>
      </c>
      <c r="P178" s="583">
        <f t="shared" si="11"/>
        <v>0</v>
      </c>
      <c r="Q178" s="583">
        <f t="shared" si="11"/>
        <v>1591831774</v>
      </c>
    </row>
    <row r="179" spans="1:17" ht="15" customHeight="1" x14ac:dyDescent="0.2">
      <c r="A179" s="175"/>
      <c r="B179" s="175"/>
      <c r="C179" s="176"/>
      <c r="D179" s="113" t="s">
        <v>250</v>
      </c>
      <c r="E179" s="118"/>
      <c r="F179" s="177"/>
      <c r="G179" s="585"/>
      <c r="H179" s="585"/>
      <c r="I179" s="585"/>
      <c r="J179" s="585"/>
      <c r="K179" s="585"/>
      <c r="L179" s="585"/>
      <c r="M179" s="585"/>
      <c r="N179" s="585"/>
      <c r="O179" s="585"/>
      <c r="P179" s="585"/>
      <c r="Q179" s="584"/>
    </row>
    <row r="180" spans="1:17" ht="15" customHeight="1" x14ac:dyDescent="0.2">
      <c r="A180" s="175"/>
      <c r="B180" s="175"/>
      <c r="C180" s="466" t="s">
        <v>82</v>
      </c>
      <c r="D180" s="97" t="s">
        <v>263</v>
      </c>
      <c r="E180" s="179"/>
      <c r="F180" s="106"/>
      <c r="G180" s="585"/>
      <c r="H180" s="585"/>
      <c r="I180" s="585"/>
      <c r="J180" s="585"/>
      <c r="K180" s="585"/>
      <c r="L180" s="585"/>
      <c r="M180" s="585"/>
      <c r="N180" s="585"/>
      <c r="O180" s="585"/>
      <c r="P180" s="585"/>
      <c r="Q180" s="585"/>
    </row>
    <row r="181" spans="1:17" ht="15" customHeight="1" x14ac:dyDescent="0.2">
      <c r="A181" s="462"/>
      <c r="B181" s="462"/>
      <c r="C181" s="293" t="s">
        <v>905</v>
      </c>
      <c r="D181" s="411" t="s">
        <v>849</v>
      </c>
      <c r="E181" s="470">
        <v>2</v>
      </c>
      <c r="F181" s="439">
        <v>132972</v>
      </c>
      <c r="G181" s="585">
        <f>0+táj2!G181</f>
        <v>0</v>
      </c>
      <c r="H181" s="585">
        <f>0+táj2!H181</f>
        <v>0</v>
      </c>
      <c r="I181" s="585">
        <f>0+táj2!I181</f>
        <v>0</v>
      </c>
      <c r="J181" s="585">
        <f>0+táj2!J181</f>
        <v>0</v>
      </c>
      <c r="K181" s="585">
        <f>0+táj2!K181</f>
        <v>0</v>
      </c>
      <c r="L181" s="585">
        <f>1600000+táj2!L181</f>
        <v>1600000</v>
      </c>
      <c r="M181" s="585">
        <f>0+táj2!M181</f>
        <v>0</v>
      </c>
      <c r="N181" s="585">
        <f>0+táj2!N181</f>
        <v>0</v>
      </c>
      <c r="O181" s="585">
        <f>0+táj2!O181</f>
        <v>0</v>
      </c>
      <c r="P181" s="585">
        <f>0+táj2!P181</f>
        <v>0</v>
      </c>
      <c r="Q181" s="585">
        <f t="shared" ref="Q181:Q184" si="12">SUM(G181:P181)</f>
        <v>1600000</v>
      </c>
    </row>
    <row r="182" spans="1:17" ht="15" customHeight="1" x14ac:dyDescent="0.2">
      <c r="A182" s="51"/>
      <c r="B182" s="51"/>
      <c r="C182" s="321"/>
      <c r="D182" s="111" t="s">
        <v>746</v>
      </c>
      <c r="E182" s="322"/>
      <c r="F182" s="48"/>
      <c r="G182" s="585"/>
      <c r="H182" s="585"/>
      <c r="I182" s="585"/>
      <c r="J182" s="585"/>
      <c r="K182" s="585"/>
      <c r="L182" s="585"/>
      <c r="M182" s="585"/>
      <c r="N182" s="585"/>
      <c r="O182" s="585"/>
      <c r="P182" s="585"/>
      <c r="Q182" s="585"/>
    </row>
    <row r="183" spans="1:17" ht="15" customHeight="1" x14ac:dyDescent="0.2">
      <c r="A183" s="51"/>
      <c r="B183" s="51"/>
      <c r="C183" s="145" t="s">
        <v>661</v>
      </c>
      <c r="D183" s="510" t="s">
        <v>704</v>
      </c>
      <c r="E183" s="116">
        <v>2</v>
      </c>
      <c r="F183" s="106">
        <v>132971</v>
      </c>
      <c r="G183" s="585">
        <f>0+táj2!G183</f>
        <v>0</v>
      </c>
      <c r="H183" s="585">
        <f>0+táj2!H183</f>
        <v>0</v>
      </c>
      <c r="I183" s="585">
        <f>0+táj2!I183</f>
        <v>0</v>
      </c>
      <c r="J183" s="585">
        <f>0+táj2!J183</f>
        <v>0</v>
      </c>
      <c r="K183" s="585">
        <f>0+táj2!K183</f>
        <v>0</v>
      </c>
      <c r="L183" s="585">
        <f>1613000+táj2!L183</f>
        <v>1613000</v>
      </c>
      <c r="M183" s="585">
        <f>0+táj2!M183</f>
        <v>0</v>
      </c>
      <c r="N183" s="585">
        <f>0+táj2!N183</f>
        <v>0</v>
      </c>
      <c r="O183" s="585">
        <f>0+táj2!O183</f>
        <v>0</v>
      </c>
      <c r="P183" s="585">
        <f>0+táj2!P183</f>
        <v>0</v>
      </c>
      <c r="Q183" s="585">
        <f t="shared" si="12"/>
        <v>1613000</v>
      </c>
    </row>
    <row r="184" spans="1:17" ht="15" customHeight="1" x14ac:dyDescent="0.2">
      <c r="A184" s="462"/>
      <c r="B184" s="462"/>
      <c r="C184" s="145" t="s">
        <v>949</v>
      </c>
      <c r="D184" s="477" t="s">
        <v>604</v>
      </c>
      <c r="E184" s="201">
        <v>1</v>
      </c>
      <c r="F184" s="439">
        <v>134954</v>
      </c>
      <c r="G184" s="585">
        <f>0+táj2!G184</f>
        <v>0</v>
      </c>
      <c r="H184" s="585">
        <f>0+táj2!H184</f>
        <v>0</v>
      </c>
      <c r="I184" s="585">
        <f>0+táj2!I184</f>
        <v>0</v>
      </c>
      <c r="J184" s="585">
        <f>0+táj2!J184</f>
        <v>0</v>
      </c>
      <c r="K184" s="585">
        <f>0+táj2!K184</f>
        <v>0</v>
      </c>
      <c r="L184" s="585">
        <f>1311387+táj2!L184</f>
        <v>1311387</v>
      </c>
      <c r="M184" s="585">
        <f>0+táj2!M184</f>
        <v>0</v>
      </c>
      <c r="N184" s="585">
        <f>0+táj2!N184</f>
        <v>0</v>
      </c>
      <c r="O184" s="585">
        <f>0+táj2!O184</f>
        <v>0</v>
      </c>
      <c r="P184" s="585">
        <f>0+táj2!P184</f>
        <v>0</v>
      </c>
      <c r="Q184" s="585">
        <f t="shared" si="12"/>
        <v>1311387</v>
      </c>
    </row>
    <row r="185" spans="1:17" ht="18.75" customHeight="1" x14ac:dyDescent="0.2">
      <c r="A185" s="169"/>
      <c r="B185" s="169"/>
      <c r="C185" s="170"/>
      <c r="D185" s="171" t="s">
        <v>171</v>
      </c>
      <c r="E185" s="172"/>
      <c r="F185" s="173"/>
      <c r="G185" s="583">
        <f>SUM(G178:G184)</f>
        <v>9776068</v>
      </c>
      <c r="H185" s="583">
        <f t="shared" ref="H185:Q185" si="13">SUM(H178:H184)</f>
        <v>3780145</v>
      </c>
      <c r="I185" s="583">
        <f t="shared" si="13"/>
        <v>41252436</v>
      </c>
      <c r="J185" s="583">
        <f t="shared" si="13"/>
        <v>11000000</v>
      </c>
      <c r="K185" s="583">
        <f t="shared" si="13"/>
        <v>1526023125</v>
      </c>
      <c r="L185" s="583">
        <f t="shared" si="13"/>
        <v>4524387</v>
      </c>
      <c r="M185" s="583">
        <f t="shared" si="13"/>
        <v>0</v>
      </c>
      <c r="N185" s="583">
        <f t="shared" si="13"/>
        <v>0</v>
      </c>
      <c r="O185" s="583">
        <f t="shared" si="13"/>
        <v>0</v>
      </c>
      <c r="P185" s="583">
        <f t="shared" si="13"/>
        <v>0</v>
      </c>
      <c r="Q185" s="583">
        <f t="shared" si="13"/>
        <v>1596356161</v>
      </c>
    </row>
    <row r="186" spans="1:17" ht="12.95" customHeight="1" x14ac:dyDescent="0.2">
      <c r="A186" s="175">
        <v>1</v>
      </c>
      <c r="B186" s="175">
        <v>14</v>
      </c>
      <c r="C186" s="176"/>
      <c r="D186" s="181" t="s">
        <v>143</v>
      </c>
      <c r="E186" s="118"/>
      <c r="F186" s="177"/>
      <c r="G186" s="586"/>
      <c r="H186" s="573"/>
      <c r="I186" s="573"/>
      <c r="J186" s="573"/>
      <c r="K186" s="573"/>
      <c r="L186" s="573"/>
      <c r="M186" s="586"/>
      <c r="N186" s="586"/>
      <c r="O186" s="586"/>
      <c r="P186" s="586"/>
      <c r="Q186" s="586"/>
    </row>
    <row r="187" spans="1:17" ht="12.95" customHeight="1" x14ac:dyDescent="0.2">
      <c r="A187" s="175"/>
      <c r="B187" s="175"/>
      <c r="C187" s="176"/>
      <c r="D187" s="182" t="s">
        <v>172</v>
      </c>
      <c r="E187" s="118"/>
      <c r="F187" s="177"/>
      <c r="G187" s="586"/>
      <c r="H187" s="573"/>
      <c r="I187" s="573"/>
      <c r="J187" s="573"/>
      <c r="K187" s="573"/>
      <c r="L187" s="573"/>
      <c r="M187" s="586"/>
      <c r="N187" s="586"/>
      <c r="O187" s="586"/>
      <c r="P187" s="586"/>
      <c r="Q187" s="586"/>
    </row>
    <row r="188" spans="1:17" ht="12.95" customHeight="1" x14ac:dyDescent="0.2">
      <c r="A188" s="175"/>
      <c r="B188" s="175"/>
      <c r="C188" s="176"/>
      <c r="D188" s="111" t="s">
        <v>337</v>
      </c>
      <c r="E188" s="106">
        <v>1</v>
      </c>
      <c r="F188" s="106">
        <v>171918</v>
      </c>
      <c r="G188" s="579">
        <f>0+táj2!G188</f>
        <v>0</v>
      </c>
      <c r="H188" s="579">
        <f>0+táj2!H188</f>
        <v>0</v>
      </c>
      <c r="I188" s="579">
        <f>1000000+táj2!I188</f>
        <v>687936</v>
      </c>
      <c r="J188" s="579">
        <f>0+táj2!J188</f>
        <v>0</v>
      </c>
      <c r="K188" s="579">
        <f>0+táj2!K188</f>
        <v>0</v>
      </c>
      <c r="L188" s="579">
        <f>0+táj2!L188</f>
        <v>412064</v>
      </c>
      <c r="M188" s="579">
        <f>0+táj2!M188</f>
        <v>0</v>
      </c>
      <c r="N188" s="579">
        <f>0+táj2!N188</f>
        <v>0</v>
      </c>
      <c r="O188" s="579">
        <f>0+táj2!O188</f>
        <v>0</v>
      </c>
      <c r="P188" s="579">
        <f>0+táj2!P188</f>
        <v>0</v>
      </c>
      <c r="Q188" s="579">
        <f>SUM(G188:P188)</f>
        <v>1100000</v>
      </c>
    </row>
    <row r="189" spans="1:17" ht="24" customHeight="1" x14ac:dyDescent="0.2">
      <c r="A189" s="175"/>
      <c r="B189" s="175"/>
      <c r="C189" s="176"/>
      <c r="D189" s="149" t="s">
        <v>338</v>
      </c>
      <c r="E189" s="106">
        <v>1</v>
      </c>
      <c r="F189" s="106">
        <v>171922</v>
      </c>
      <c r="G189" s="579">
        <f>0+táj2!G189</f>
        <v>0</v>
      </c>
      <c r="H189" s="579">
        <f>0+táj2!H189</f>
        <v>0</v>
      </c>
      <c r="I189" s="579">
        <f>1500000+táj2!I189</f>
        <v>1500000</v>
      </c>
      <c r="J189" s="579">
        <f>0+táj2!J189</f>
        <v>0</v>
      </c>
      <c r="K189" s="579">
        <f>0+táj2!K189</f>
        <v>0</v>
      </c>
      <c r="L189" s="579">
        <f>0+táj2!L189</f>
        <v>0</v>
      </c>
      <c r="M189" s="579">
        <f>0+táj2!M189</f>
        <v>0</v>
      </c>
      <c r="N189" s="579">
        <f>0+táj2!N189</f>
        <v>0</v>
      </c>
      <c r="O189" s="579">
        <f>0+táj2!O189</f>
        <v>0</v>
      </c>
      <c r="P189" s="579">
        <f>0+táj2!P189</f>
        <v>0</v>
      </c>
      <c r="Q189" s="579">
        <f>SUM(G189:P189)</f>
        <v>1500000</v>
      </c>
    </row>
    <row r="190" spans="1:17" ht="12.95" customHeight="1" x14ac:dyDescent="0.2">
      <c r="A190" s="175"/>
      <c r="B190" s="175"/>
      <c r="C190" s="176"/>
      <c r="D190" s="111" t="s">
        <v>339</v>
      </c>
      <c r="E190" s="106">
        <v>1</v>
      </c>
      <c r="F190" s="106">
        <v>171926</v>
      </c>
      <c r="G190" s="579">
        <f>0+táj2!G190</f>
        <v>1000000</v>
      </c>
      <c r="H190" s="579">
        <f>0+táj2!H190</f>
        <v>125000</v>
      </c>
      <c r="I190" s="579">
        <f>1425000+táj2!I190</f>
        <v>300000</v>
      </c>
      <c r="J190" s="579">
        <f>0+táj2!J190</f>
        <v>0</v>
      </c>
      <c r="K190" s="579">
        <f>0+táj2!K190</f>
        <v>0</v>
      </c>
      <c r="L190" s="579">
        <f>0+táj2!L190</f>
        <v>0</v>
      </c>
      <c r="M190" s="579">
        <f>0+táj2!M190</f>
        <v>0</v>
      </c>
      <c r="N190" s="579">
        <f>0+táj2!N190</f>
        <v>0</v>
      </c>
      <c r="O190" s="579">
        <f>0+táj2!O190</f>
        <v>0</v>
      </c>
      <c r="P190" s="579">
        <f>0+táj2!P190</f>
        <v>0</v>
      </c>
      <c r="Q190" s="579">
        <f>SUM(G190:P190)</f>
        <v>1425000</v>
      </c>
    </row>
    <row r="191" spans="1:17" ht="12.95" customHeight="1" x14ac:dyDescent="0.2">
      <c r="A191" s="175"/>
      <c r="B191" s="175"/>
      <c r="C191" s="176"/>
      <c r="D191" s="111" t="s">
        <v>340</v>
      </c>
      <c r="E191" s="106">
        <v>1</v>
      </c>
      <c r="F191" s="106">
        <v>171967</v>
      </c>
      <c r="G191" s="579">
        <f>0+táj2!G191</f>
        <v>0</v>
      </c>
      <c r="H191" s="579">
        <f>0+táj2!H191</f>
        <v>0</v>
      </c>
      <c r="I191" s="579">
        <f>3800000+táj2!I191</f>
        <v>3800000</v>
      </c>
      <c r="J191" s="579">
        <f>0+táj2!J191</f>
        <v>0</v>
      </c>
      <c r="K191" s="579">
        <f>0+táj2!K191</f>
        <v>0</v>
      </c>
      <c r="L191" s="579">
        <f>0+táj2!L191</f>
        <v>0</v>
      </c>
      <c r="M191" s="579">
        <f>0+táj2!M191</f>
        <v>0</v>
      </c>
      <c r="N191" s="579">
        <f>0+táj2!N191</f>
        <v>0</v>
      </c>
      <c r="O191" s="579">
        <f>0+táj2!O191</f>
        <v>0</v>
      </c>
      <c r="P191" s="579">
        <f>0+táj2!P191</f>
        <v>0</v>
      </c>
      <c r="Q191" s="579">
        <f>SUM(G191:P191)</f>
        <v>3800000</v>
      </c>
    </row>
    <row r="192" spans="1:17" ht="18.75" customHeight="1" x14ac:dyDescent="0.2">
      <c r="A192" s="169"/>
      <c r="B192" s="169"/>
      <c r="C192" s="170"/>
      <c r="D192" s="171" t="s">
        <v>341</v>
      </c>
      <c r="E192" s="183"/>
      <c r="F192" s="184"/>
      <c r="G192" s="587">
        <f t="shared" ref="G192:Q192" si="14">SUM(G188:G191)</f>
        <v>1000000</v>
      </c>
      <c r="H192" s="587">
        <f t="shared" si="14"/>
        <v>125000</v>
      </c>
      <c r="I192" s="587">
        <f t="shared" si="14"/>
        <v>6287936</v>
      </c>
      <c r="J192" s="587">
        <f t="shared" si="14"/>
        <v>0</v>
      </c>
      <c r="K192" s="587">
        <f t="shared" si="14"/>
        <v>0</v>
      </c>
      <c r="L192" s="587">
        <f t="shared" si="14"/>
        <v>412064</v>
      </c>
      <c r="M192" s="587">
        <f t="shared" si="14"/>
        <v>0</v>
      </c>
      <c r="N192" s="587">
        <f t="shared" si="14"/>
        <v>0</v>
      </c>
      <c r="O192" s="587">
        <f t="shared" si="14"/>
        <v>0</v>
      </c>
      <c r="P192" s="587">
        <f t="shared" si="14"/>
        <v>0</v>
      </c>
      <c r="Q192" s="587">
        <f t="shared" si="14"/>
        <v>7825000</v>
      </c>
    </row>
    <row r="193" spans="1:17" ht="12.95" customHeight="1" x14ac:dyDescent="0.2">
      <c r="A193" s="175"/>
      <c r="B193" s="175"/>
      <c r="C193" s="176"/>
      <c r="D193" s="113" t="s">
        <v>342</v>
      </c>
      <c r="E193" s="116"/>
      <c r="F193" s="106"/>
      <c r="G193" s="573"/>
      <c r="H193" s="573"/>
      <c r="I193" s="573"/>
      <c r="J193" s="573"/>
      <c r="K193" s="573"/>
      <c r="L193" s="573"/>
      <c r="M193" s="573"/>
      <c r="N193" s="573"/>
      <c r="O193" s="573"/>
      <c r="P193" s="573"/>
      <c r="Q193" s="573"/>
    </row>
    <row r="194" spans="1:17" ht="12.95" customHeight="1" x14ac:dyDescent="0.2">
      <c r="A194" s="175"/>
      <c r="B194" s="175"/>
      <c r="C194" s="186"/>
      <c r="D194" s="90" t="s">
        <v>746</v>
      </c>
      <c r="E194" s="187"/>
      <c r="F194" s="48"/>
      <c r="G194" s="574"/>
      <c r="H194" s="574"/>
      <c r="I194" s="574"/>
      <c r="J194" s="574"/>
      <c r="K194" s="574"/>
      <c r="L194" s="574"/>
      <c r="M194" s="574"/>
      <c r="N194" s="574"/>
      <c r="O194" s="574"/>
      <c r="P194" s="574"/>
      <c r="Q194" s="574"/>
    </row>
    <row r="195" spans="1:17" ht="12.95" customHeight="1" x14ac:dyDescent="0.2">
      <c r="A195" s="51"/>
      <c r="B195" s="51"/>
      <c r="C195" s="188" t="s">
        <v>253</v>
      </c>
      <c r="D195" s="161" t="s">
        <v>343</v>
      </c>
      <c r="E195" s="187">
        <v>1</v>
      </c>
      <c r="F195" s="48">
        <v>162650</v>
      </c>
      <c r="G195" s="574">
        <f>0+táj2!G195</f>
        <v>0</v>
      </c>
      <c r="H195" s="574">
        <f>0+táj2!H195</f>
        <v>0</v>
      </c>
      <c r="I195" s="574">
        <f>0+táj2!I195</f>
        <v>0</v>
      </c>
      <c r="J195" s="574">
        <f>0+táj2!J195</f>
        <v>0</v>
      </c>
      <c r="K195" s="574">
        <f>0+táj2!K195</f>
        <v>0</v>
      </c>
      <c r="L195" s="574">
        <f>19927900+táj2!L195</f>
        <v>19927900</v>
      </c>
      <c r="M195" s="574">
        <f>0+táj2!M195</f>
        <v>0</v>
      </c>
      <c r="N195" s="574">
        <f>0+táj2!N195</f>
        <v>0</v>
      </c>
      <c r="O195" s="574">
        <f>0+táj2!O195</f>
        <v>0</v>
      </c>
      <c r="P195" s="574">
        <f>0+táj2!P195</f>
        <v>0</v>
      </c>
      <c r="Q195" s="574">
        <f>SUM(G195:P195)</f>
        <v>19927900</v>
      </c>
    </row>
    <row r="196" spans="1:17" ht="12.95" customHeight="1" x14ac:dyDescent="0.2">
      <c r="A196" s="51"/>
      <c r="B196" s="51"/>
      <c r="C196" s="188" t="s">
        <v>255</v>
      </c>
      <c r="D196" s="189" t="s">
        <v>612</v>
      </c>
      <c r="E196" s="187">
        <v>1</v>
      </c>
      <c r="F196" s="48">
        <v>164903</v>
      </c>
      <c r="G196" s="574">
        <f>0+táj2!G196</f>
        <v>0</v>
      </c>
      <c r="H196" s="574">
        <f>0+táj2!H196</f>
        <v>0</v>
      </c>
      <c r="I196" s="574">
        <f>0+táj2!I196</f>
        <v>0</v>
      </c>
      <c r="J196" s="574">
        <f>0+táj2!J196</f>
        <v>0</v>
      </c>
      <c r="K196" s="574">
        <f>0+táj2!K196</f>
        <v>0</v>
      </c>
      <c r="L196" s="574">
        <f>0+táj2!L196</f>
        <v>0</v>
      </c>
      <c r="M196" s="574">
        <f>0+táj2!M196</f>
        <v>0</v>
      </c>
      <c r="N196" s="574">
        <f>8000000+táj2!N196</f>
        <v>8000000</v>
      </c>
      <c r="O196" s="574">
        <f>0+táj2!O196</f>
        <v>0</v>
      </c>
      <c r="P196" s="574">
        <f>0+táj2!P196</f>
        <v>0</v>
      </c>
      <c r="Q196" s="574">
        <f>SUM(G196:P196)</f>
        <v>8000000</v>
      </c>
    </row>
    <row r="197" spans="1:17" ht="12.95" customHeight="1" x14ac:dyDescent="0.2">
      <c r="A197" s="136"/>
      <c r="B197" s="136"/>
      <c r="C197" s="137"/>
      <c r="D197" s="138" t="s">
        <v>174</v>
      </c>
      <c r="E197" s="190"/>
      <c r="F197" s="191"/>
      <c r="G197" s="588">
        <f t="shared" ref="G197:Q197" si="15">SUM(G192:G196)</f>
        <v>1000000</v>
      </c>
      <c r="H197" s="588">
        <f t="shared" si="15"/>
        <v>125000</v>
      </c>
      <c r="I197" s="588">
        <f t="shared" si="15"/>
        <v>6287936</v>
      </c>
      <c r="J197" s="588">
        <f t="shared" si="15"/>
        <v>0</v>
      </c>
      <c r="K197" s="588">
        <f t="shared" si="15"/>
        <v>0</v>
      </c>
      <c r="L197" s="588">
        <f t="shared" si="15"/>
        <v>20339964</v>
      </c>
      <c r="M197" s="588">
        <f t="shared" si="15"/>
        <v>0</v>
      </c>
      <c r="N197" s="588">
        <f t="shared" si="15"/>
        <v>8000000</v>
      </c>
      <c r="O197" s="588">
        <f t="shared" si="15"/>
        <v>0</v>
      </c>
      <c r="P197" s="588">
        <f t="shared" si="15"/>
        <v>0</v>
      </c>
      <c r="Q197" s="588">
        <f t="shared" si="15"/>
        <v>35752900</v>
      </c>
    </row>
    <row r="198" spans="1:17" ht="14.1" customHeight="1" x14ac:dyDescent="0.2">
      <c r="A198" s="45">
        <v>1</v>
      </c>
      <c r="B198" s="45">
        <v>15</v>
      </c>
      <c r="C198" s="95"/>
      <c r="D198" s="193" t="s">
        <v>344</v>
      </c>
      <c r="E198" s="94"/>
      <c r="F198" s="48"/>
      <c r="G198" s="578"/>
      <c r="H198" s="574"/>
      <c r="I198" s="574"/>
      <c r="J198" s="574"/>
      <c r="K198" s="574"/>
      <c r="L198" s="574"/>
      <c r="M198" s="578"/>
      <c r="N198" s="578"/>
      <c r="O198" s="578"/>
      <c r="P198" s="578"/>
      <c r="Q198" s="578"/>
    </row>
    <row r="199" spans="1:17" ht="14.1" customHeight="1" x14ac:dyDescent="0.2">
      <c r="A199" s="45"/>
      <c r="B199" s="45"/>
      <c r="C199" s="95"/>
      <c r="D199" s="100" t="s">
        <v>345</v>
      </c>
      <c r="E199" s="94"/>
      <c r="F199" s="48"/>
      <c r="G199" s="578"/>
      <c r="H199" s="574"/>
      <c r="I199" s="574"/>
      <c r="J199" s="574"/>
      <c r="K199" s="574"/>
      <c r="L199" s="574"/>
      <c r="M199" s="578"/>
      <c r="N199" s="578"/>
      <c r="O199" s="578"/>
      <c r="P199" s="578"/>
      <c r="Q199" s="578"/>
    </row>
    <row r="200" spans="1:17" ht="15" customHeight="1" x14ac:dyDescent="0.2">
      <c r="A200" s="45"/>
      <c r="B200" s="45"/>
      <c r="C200" s="95"/>
      <c r="D200" s="90" t="s">
        <v>346</v>
      </c>
      <c r="E200" s="48">
        <v>1</v>
      </c>
      <c r="F200" s="48">
        <v>151502</v>
      </c>
      <c r="G200" s="578">
        <f>0+táj2!G200</f>
        <v>0</v>
      </c>
      <c r="H200" s="578">
        <f>0+táj2!H200</f>
        <v>0</v>
      </c>
      <c r="I200" s="578">
        <f>12240503+táj2!I200</f>
        <v>12240503</v>
      </c>
      <c r="J200" s="578">
        <f>0+táj2!J200</f>
        <v>0</v>
      </c>
      <c r="K200" s="578">
        <f>0+táj2!K200</f>
        <v>0</v>
      </c>
      <c r="L200" s="578">
        <f>0+táj2!L200</f>
        <v>0</v>
      </c>
      <c r="M200" s="578">
        <f>0+táj2!M200</f>
        <v>0</v>
      </c>
      <c r="N200" s="578">
        <f>0+táj2!N200</f>
        <v>0</v>
      </c>
      <c r="O200" s="578">
        <f>0+táj2!O200</f>
        <v>0</v>
      </c>
      <c r="P200" s="578">
        <f>0+táj2!P200</f>
        <v>0</v>
      </c>
      <c r="Q200" s="578">
        <f t="shared" ref="Q200:Q217" si="16">SUM(G200:P200)</f>
        <v>12240503</v>
      </c>
    </row>
    <row r="201" spans="1:17" ht="26.25" customHeight="1" x14ac:dyDescent="0.2">
      <c r="A201" s="45"/>
      <c r="B201" s="45"/>
      <c r="C201" s="95"/>
      <c r="D201" s="91" t="s">
        <v>503</v>
      </c>
      <c r="E201" s="48">
        <v>1</v>
      </c>
      <c r="F201" s="48">
        <v>151530</v>
      </c>
      <c r="G201" s="578">
        <f>0+táj2!G201</f>
        <v>0</v>
      </c>
      <c r="H201" s="578">
        <f>0+táj2!H201</f>
        <v>0</v>
      </c>
      <c r="I201" s="578">
        <f>4779130+táj2!I201</f>
        <v>4779130</v>
      </c>
      <c r="J201" s="578">
        <f>0+táj2!J201</f>
        <v>0</v>
      </c>
      <c r="K201" s="578">
        <f>0+táj2!K201</f>
        <v>0</v>
      </c>
      <c r="L201" s="578">
        <f>0+táj2!L201</f>
        <v>0</v>
      </c>
      <c r="M201" s="578">
        <f>0+táj2!M201</f>
        <v>0</v>
      </c>
      <c r="N201" s="578">
        <f>0+táj2!N201</f>
        <v>0</v>
      </c>
      <c r="O201" s="578">
        <f>0+táj2!O201</f>
        <v>0</v>
      </c>
      <c r="P201" s="578">
        <f>0+táj2!P201</f>
        <v>0</v>
      </c>
      <c r="Q201" s="578">
        <f t="shared" si="16"/>
        <v>4779130</v>
      </c>
    </row>
    <row r="202" spans="1:17" ht="28.5" customHeight="1" x14ac:dyDescent="0.2">
      <c r="A202" s="45"/>
      <c r="B202" s="45"/>
      <c r="C202" s="95"/>
      <c r="D202" s="91" t="s">
        <v>981</v>
      </c>
      <c r="E202" s="48">
        <v>1</v>
      </c>
      <c r="F202" s="48">
        <v>151504</v>
      </c>
      <c r="G202" s="578">
        <f>0+táj2!G202</f>
        <v>0</v>
      </c>
      <c r="H202" s="578">
        <f>0+táj2!H202</f>
        <v>0</v>
      </c>
      <c r="I202" s="578">
        <f>486459490+táj2!I202</f>
        <v>486459490</v>
      </c>
      <c r="J202" s="578">
        <f>0+táj2!J202</f>
        <v>0</v>
      </c>
      <c r="K202" s="578">
        <f>0+táj2!K202</f>
        <v>0</v>
      </c>
      <c r="L202" s="578">
        <f>0+táj2!L202</f>
        <v>0</v>
      </c>
      <c r="M202" s="578">
        <f>0+táj2!M202</f>
        <v>0</v>
      </c>
      <c r="N202" s="578">
        <f>0+táj2!N202</f>
        <v>0</v>
      </c>
      <c r="O202" s="578">
        <f>0+táj2!O202</f>
        <v>0</v>
      </c>
      <c r="P202" s="578">
        <f>0+táj2!P202</f>
        <v>0</v>
      </c>
      <c r="Q202" s="578">
        <f t="shared" si="16"/>
        <v>486459490</v>
      </c>
    </row>
    <row r="203" spans="1:17" ht="14.1" customHeight="1" x14ac:dyDescent="0.2">
      <c r="A203" s="45"/>
      <c r="B203" s="45"/>
      <c r="C203" s="95"/>
      <c r="D203" s="93" t="s">
        <v>347</v>
      </c>
      <c r="E203" s="48">
        <v>1</v>
      </c>
      <c r="F203" s="48">
        <v>151501</v>
      </c>
      <c r="G203" s="578">
        <f>0+táj2!G203</f>
        <v>0</v>
      </c>
      <c r="H203" s="578">
        <f>0+táj2!H203</f>
        <v>0</v>
      </c>
      <c r="I203" s="578">
        <f>23082600+táj2!I203</f>
        <v>23082600</v>
      </c>
      <c r="J203" s="578">
        <f>0+táj2!J203</f>
        <v>0</v>
      </c>
      <c r="K203" s="578">
        <f>0+táj2!K203</f>
        <v>0</v>
      </c>
      <c r="L203" s="578">
        <f>0+táj2!L203</f>
        <v>0</v>
      </c>
      <c r="M203" s="578">
        <f>0+táj2!M203</f>
        <v>0</v>
      </c>
      <c r="N203" s="578">
        <f>0+táj2!N203</f>
        <v>0</v>
      </c>
      <c r="O203" s="578">
        <f>0+táj2!O203</f>
        <v>0</v>
      </c>
      <c r="P203" s="578">
        <f>0+táj2!P203</f>
        <v>0</v>
      </c>
      <c r="Q203" s="578">
        <f t="shared" si="16"/>
        <v>23082600</v>
      </c>
    </row>
    <row r="204" spans="1:17" ht="14.1" customHeight="1" x14ac:dyDescent="0.2">
      <c r="A204" s="45"/>
      <c r="B204" s="45"/>
      <c r="C204" s="95"/>
      <c r="D204" s="93" t="s">
        <v>348</v>
      </c>
      <c r="E204" s="48">
        <v>1</v>
      </c>
      <c r="F204" s="48">
        <v>151905</v>
      </c>
      <c r="G204" s="578">
        <f>5714+táj2!G204</f>
        <v>5714</v>
      </c>
      <c r="H204" s="578">
        <f>1982+táj2!H204</f>
        <v>1982</v>
      </c>
      <c r="I204" s="578">
        <f>3992304+táj2!I204</f>
        <v>3992304</v>
      </c>
      <c r="J204" s="578">
        <f>0+táj2!J204</f>
        <v>0</v>
      </c>
      <c r="K204" s="578">
        <f>0+táj2!K204</f>
        <v>0</v>
      </c>
      <c r="L204" s="578">
        <f>0+táj2!L204</f>
        <v>0</v>
      </c>
      <c r="M204" s="578">
        <f>0+táj2!M204</f>
        <v>0</v>
      </c>
      <c r="N204" s="578">
        <f>0+táj2!N204</f>
        <v>0</v>
      </c>
      <c r="O204" s="578">
        <f>0+táj2!O204</f>
        <v>0</v>
      </c>
      <c r="P204" s="578">
        <f>0+táj2!P204</f>
        <v>0</v>
      </c>
      <c r="Q204" s="578">
        <f t="shared" si="16"/>
        <v>4000000</v>
      </c>
    </row>
    <row r="205" spans="1:17" ht="14.1" customHeight="1" x14ac:dyDescent="0.2">
      <c r="A205" s="45"/>
      <c r="B205" s="45"/>
      <c r="C205" s="95"/>
      <c r="D205" s="93" t="s">
        <v>349</v>
      </c>
      <c r="E205" s="48">
        <v>1</v>
      </c>
      <c r="F205" s="48">
        <v>151920</v>
      </c>
      <c r="G205" s="578">
        <f>0+táj2!G205</f>
        <v>0</v>
      </c>
      <c r="H205" s="578">
        <f>0+táj2!H205</f>
        <v>0</v>
      </c>
      <c r="I205" s="578">
        <f>3800000+táj2!I205</f>
        <v>3800000</v>
      </c>
      <c r="J205" s="578">
        <f>0+táj2!J205</f>
        <v>0</v>
      </c>
      <c r="K205" s="578">
        <f>0+táj2!K205</f>
        <v>0</v>
      </c>
      <c r="L205" s="578">
        <f>0+táj2!L205</f>
        <v>0</v>
      </c>
      <c r="M205" s="578">
        <f>0+táj2!M205</f>
        <v>0</v>
      </c>
      <c r="N205" s="578">
        <f>0+táj2!N205</f>
        <v>0</v>
      </c>
      <c r="O205" s="578">
        <f>0+táj2!O205</f>
        <v>0</v>
      </c>
      <c r="P205" s="578">
        <f>0+táj2!P205</f>
        <v>0</v>
      </c>
      <c r="Q205" s="578">
        <f t="shared" si="16"/>
        <v>3800000</v>
      </c>
    </row>
    <row r="206" spans="1:17" ht="14.1" customHeight="1" x14ac:dyDescent="0.2">
      <c r="A206" s="45"/>
      <c r="B206" s="45"/>
      <c r="C206" s="95"/>
      <c r="D206" s="93" t="s">
        <v>350</v>
      </c>
      <c r="E206" s="48">
        <v>1</v>
      </c>
      <c r="F206" s="48">
        <v>151917</v>
      </c>
      <c r="G206" s="578">
        <f>0+táj2!G206</f>
        <v>0</v>
      </c>
      <c r="H206" s="578">
        <f>0+táj2!H206</f>
        <v>0</v>
      </c>
      <c r="I206" s="578">
        <f>5988300+táj2!I206</f>
        <v>5988300</v>
      </c>
      <c r="J206" s="578">
        <f>0+táj2!J206</f>
        <v>0</v>
      </c>
      <c r="K206" s="578">
        <f>0+táj2!K206</f>
        <v>0</v>
      </c>
      <c r="L206" s="578">
        <f>0+táj2!L206</f>
        <v>0</v>
      </c>
      <c r="M206" s="578">
        <f>0+táj2!M206</f>
        <v>0</v>
      </c>
      <c r="N206" s="578">
        <f>0+táj2!N206</f>
        <v>0</v>
      </c>
      <c r="O206" s="578">
        <f>0+táj2!O206</f>
        <v>0</v>
      </c>
      <c r="P206" s="578">
        <f>0+táj2!P206</f>
        <v>0</v>
      </c>
      <c r="Q206" s="578">
        <f t="shared" si="16"/>
        <v>5988300</v>
      </c>
    </row>
    <row r="207" spans="1:17" ht="15" customHeight="1" x14ac:dyDescent="0.2">
      <c r="A207" s="45"/>
      <c r="B207" s="45"/>
      <c r="C207" s="95"/>
      <c r="D207" s="93" t="s">
        <v>351</v>
      </c>
      <c r="E207" s="48">
        <v>2</v>
      </c>
      <c r="F207" s="48">
        <v>151503</v>
      </c>
      <c r="G207" s="578">
        <f>0+táj2!G207</f>
        <v>0</v>
      </c>
      <c r="H207" s="578">
        <f>0+táj2!H207</f>
        <v>0</v>
      </c>
      <c r="I207" s="578">
        <f>1900000+táj2!I207</f>
        <v>1900000</v>
      </c>
      <c r="J207" s="578">
        <f>0+táj2!J207</f>
        <v>0</v>
      </c>
      <c r="K207" s="578">
        <f>0+táj2!K207</f>
        <v>0</v>
      </c>
      <c r="L207" s="578">
        <f>0+táj2!L207</f>
        <v>0</v>
      </c>
      <c r="M207" s="578">
        <f>0+táj2!M207</f>
        <v>0</v>
      </c>
      <c r="N207" s="578">
        <f>0+táj2!N207</f>
        <v>0</v>
      </c>
      <c r="O207" s="578">
        <f>0+táj2!O207</f>
        <v>0</v>
      </c>
      <c r="P207" s="578">
        <f>0+táj2!P207</f>
        <v>0</v>
      </c>
      <c r="Q207" s="578">
        <f t="shared" si="16"/>
        <v>1900000</v>
      </c>
    </row>
    <row r="208" spans="1:17" ht="15" customHeight="1" x14ac:dyDescent="0.2">
      <c r="A208" s="45"/>
      <c r="B208" s="45"/>
      <c r="C208" s="95"/>
      <c r="D208" s="93" t="s">
        <v>352</v>
      </c>
      <c r="E208" s="48">
        <v>1</v>
      </c>
      <c r="F208" s="48">
        <v>151510</v>
      </c>
      <c r="G208" s="578">
        <f>0+táj2!G208</f>
        <v>0</v>
      </c>
      <c r="H208" s="578">
        <f>0+táj2!H208</f>
        <v>0</v>
      </c>
      <c r="I208" s="578">
        <f>38223522+táj2!I208</f>
        <v>38223522</v>
      </c>
      <c r="J208" s="578">
        <f>0+táj2!J208</f>
        <v>0</v>
      </c>
      <c r="K208" s="578">
        <f>0+táj2!K208</f>
        <v>0</v>
      </c>
      <c r="L208" s="578">
        <f>0+táj2!L208</f>
        <v>0</v>
      </c>
      <c r="M208" s="578">
        <f>0+táj2!M208</f>
        <v>0</v>
      </c>
      <c r="N208" s="578">
        <f>0+táj2!N208</f>
        <v>0</v>
      </c>
      <c r="O208" s="578">
        <f>0+táj2!O208</f>
        <v>0</v>
      </c>
      <c r="P208" s="578">
        <f>0+táj2!P208</f>
        <v>0</v>
      </c>
      <c r="Q208" s="578">
        <f t="shared" si="16"/>
        <v>38223522</v>
      </c>
    </row>
    <row r="209" spans="1:17 16343:16343" ht="15" customHeight="1" x14ac:dyDescent="0.2">
      <c r="A209" s="45"/>
      <c r="B209" s="45"/>
      <c r="C209" s="95"/>
      <c r="D209" s="74" t="s">
        <v>594</v>
      </c>
      <c r="E209" s="27">
        <v>1</v>
      </c>
      <c r="F209" s="48">
        <v>151521</v>
      </c>
      <c r="G209" s="578">
        <f>0+táj2!G209</f>
        <v>0</v>
      </c>
      <c r="H209" s="578">
        <f>0+táj2!H209</f>
        <v>0</v>
      </c>
      <c r="I209" s="578">
        <f>1000000+táj2!I209</f>
        <v>1000000</v>
      </c>
      <c r="J209" s="578">
        <f>0+táj2!J209</f>
        <v>0</v>
      </c>
      <c r="K209" s="578">
        <f>0+táj2!K209</f>
        <v>0</v>
      </c>
      <c r="L209" s="578">
        <f>0+táj2!L209</f>
        <v>0</v>
      </c>
      <c r="M209" s="578">
        <f>0+táj2!M209</f>
        <v>0</v>
      </c>
      <c r="N209" s="578">
        <f>0+táj2!N209</f>
        <v>0</v>
      </c>
      <c r="O209" s="578">
        <f>0+táj2!O209</f>
        <v>0</v>
      </c>
      <c r="P209" s="578">
        <f>0+táj2!P209</f>
        <v>0</v>
      </c>
      <c r="Q209" s="578">
        <f t="shared" si="16"/>
        <v>1000000</v>
      </c>
    </row>
    <row r="210" spans="1:17 16343:16343" ht="15" customHeight="1" x14ac:dyDescent="0.2">
      <c r="A210" s="45"/>
      <c r="B210" s="45"/>
      <c r="C210" s="95"/>
      <c r="D210" s="37" t="s">
        <v>353</v>
      </c>
      <c r="E210" s="27">
        <v>1</v>
      </c>
      <c r="F210" s="48">
        <v>151520</v>
      </c>
      <c r="G210" s="578">
        <f>0+táj2!G210</f>
        <v>0</v>
      </c>
      <c r="H210" s="578">
        <f>0+táj2!H210</f>
        <v>0</v>
      </c>
      <c r="I210" s="578">
        <f>2375000+táj2!I210</f>
        <v>2375000</v>
      </c>
      <c r="J210" s="578">
        <f>0+táj2!J210</f>
        <v>0</v>
      </c>
      <c r="K210" s="578">
        <f>0+táj2!K210</f>
        <v>0</v>
      </c>
      <c r="L210" s="578">
        <f>0+táj2!L210</f>
        <v>0</v>
      </c>
      <c r="M210" s="578">
        <f>0+táj2!M210</f>
        <v>0</v>
      </c>
      <c r="N210" s="578">
        <f>0+táj2!N210</f>
        <v>0</v>
      </c>
      <c r="O210" s="578">
        <f>0+táj2!O210</f>
        <v>0</v>
      </c>
      <c r="P210" s="578">
        <f>0+táj2!P210</f>
        <v>0</v>
      </c>
      <c r="Q210" s="578">
        <f t="shared" si="16"/>
        <v>2375000</v>
      </c>
    </row>
    <row r="211" spans="1:17 16343:16343" ht="15" customHeight="1" x14ac:dyDescent="0.2">
      <c r="A211" s="45"/>
      <c r="B211" s="45"/>
      <c r="C211" s="95"/>
      <c r="D211" s="194" t="s">
        <v>778</v>
      </c>
      <c r="E211" s="27">
        <v>1</v>
      </c>
      <c r="F211" s="106">
        <v>151928</v>
      </c>
      <c r="G211" s="578">
        <f>0+táj2!G211</f>
        <v>0</v>
      </c>
      <c r="H211" s="578">
        <f>0+táj2!H211</f>
        <v>0</v>
      </c>
      <c r="I211" s="578">
        <f>1900000+táj2!I211</f>
        <v>1900000</v>
      </c>
      <c r="J211" s="578">
        <f>0+táj2!J211</f>
        <v>0</v>
      </c>
      <c r="K211" s="578">
        <f>0+táj2!K211</f>
        <v>0</v>
      </c>
      <c r="L211" s="578">
        <f>0+táj2!L211</f>
        <v>0</v>
      </c>
      <c r="M211" s="578">
        <f>0+táj2!M211</f>
        <v>0</v>
      </c>
      <c r="N211" s="578">
        <f>0+táj2!N211</f>
        <v>0</v>
      </c>
      <c r="O211" s="578">
        <f>0+táj2!O211</f>
        <v>0</v>
      </c>
      <c r="P211" s="578">
        <f>0+táj2!P211</f>
        <v>0</v>
      </c>
      <c r="Q211" s="579">
        <f t="shared" si="16"/>
        <v>1900000</v>
      </c>
    </row>
    <row r="212" spans="1:17 16343:16343" ht="15" customHeight="1" x14ac:dyDescent="0.2">
      <c r="A212" s="107"/>
      <c r="B212" s="107"/>
      <c r="C212" s="145"/>
      <c r="D212" s="155" t="s">
        <v>354</v>
      </c>
      <c r="E212" s="106">
        <v>1</v>
      </c>
      <c r="F212" s="106">
        <v>151512</v>
      </c>
      <c r="G212" s="578">
        <f>0+táj2!G212</f>
        <v>0</v>
      </c>
      <c r="H212" s="578">
        <f>0+táj2!H212</f>
        <v>0</v>
      </c>
      <c r="I212" s="578">
        <f>1495300+táj2!I212</f>
        <v>1495300</v>
      </c>
      <c r="J212" s="578">
        <f>0+táj2!J212</f>
        <v>0</v>
      </c>
      <c r="K212" s="578">
        <f>0+táj2!K212</f>
        <v>0</v>
      </c>
      <c r="L212" s="578">
        <f>0+táj2!L212</f>
        <v>0</v>
      </c>
      <c r="M212" s="578">
        <f>0+táj2!M212</f>
        <v>0</v>
      </c>
      <c r="N212" s="578">
        <f>0+táj2!N212</f>
        <v>0</v>
      </c>
      <c r="O212" s="578">
        <f>0+táj2!O212</f>
        <v>0</v>
      </c>
      <c r="P212" s="578">
        <f>0+táj2!P212</f>
        <v>0</v>
      </c>
      <c r="Q212" s="579">
        <f t="shared" si="16"/>
        <v>1495300</v>
      </c>
    </row>
    <row r="213" spans="1:17 16343:16343" ht="15" customHeight="1" x14ac:dyDescent="0.2">
      <c r="A213" s="107"/>
      <c r="B213" s="107"/>
      <c r="C213" s="145"/>
      <c r="D213" s="155" t="s">
        <v>779</v>
      </c>
      <c r="E213" s="133">
        <v>1</v>
      </c>
      <c r="F213" s="106">
        <v>151513</v>
      </c>
      <c r="G213" s="578">
        <f>0+táj2!G213</f>
        <v>0</v>
      </c>
      <c r="H213" s="578">
        <f>0+táj2!H213</f>
        <v>0</v>
      </c>
      <c r="I213" s="578">
        <f>10800000+táj2!I213</f>
        <v>10800000</v>
      </c>
      <c r="J213" s="578">
        <f>0+táj2!J213</f>
        <v>0</v>
      </c>
      <c r="K213" s="578">
        <f>0+táj2!K213</f>
        <v>0</v>
      </c>
      <c r="L213" s="578">
        <f>0+táj2!L213</f>
        <v>0</v>
      </c>
      <c r="M213" s="578">
        <f>0+táj2!M213</f>
        <v>0</v>
      </c>
      <c r="N213" s="578">
        <f>0+táj2!N213</f>
        <v>0</v>
      </c>
      <c r="O213" s="578">
        <f>0+táj2!O213</f>
        <v>0</v>
      </c>
      <c r="P213" s="578">
        <f>0+táj2!P213</f>
        <v>0</v>
      </c>
      <c r="Q213" s="579">
        <f t="shared" si="16"/>
        <v>10800000</v>
      </c>
    </row>
    <row r="214" spans="1:17 16343:16343" ht="15" customHeight="1" x14ac:dyDescent="0.2">
      <c r="A214" s="107"/>
      <c r="B214" s="107"/>
      <c r="C214" s="145"/>
      <c r="D214" s="148" t="s">
        <v>592</v>
      </c>
      <c r="E214" s="133">
        <v>2</v>
      </c>
      <c r="F214" s="106">
        <v>151918</v>
      </c>
      <c r="G214" s="578">
        <f>0+táj2!G214</f>
        <v>0</v>
      </c>
      <c r="H214" s="578">
        <f>0+táj2!H214</f>
        <v>0</v>
      </c>
      <c r="I214" s="578">
        <f>1000000+táj2!I214</f>
        <v>1000000</v>
      </c>
      <c r="J214" s="578">
        <f>0+táj2!J214</f>
        <v>0</v>
      </c>
      <c r="K214" s="578">
        <f>0+táj2!K214</f>
        <v>0</v>
      </c>
      <c r="L214" s="578">
        <f>0+táj2!L214</f>
        <v>0</v>
      </c>
      <c r="M214" s="578">
        <f>0+táj2!M214</f>
        <v>0</v>
      </c>
      <c r="N214" s="578">
        <f>0+táj2!N214</f>
        <v>0</v>
      </c>
      <c r="O214" s="578">
        <f>0+táj2!O214</f>
        <v>0</v>
      </c>
      <c r="P214" s="578">
        <f>0+táj2!P214</f>
        <v>0</v>
      </c>
      <c r="Q214" s="579">
        <f t="shared" si="16"/>
        <v>1000000</v>
      </c>
    </row>
    <row r="215" spans="1:17 16343:16343" ht="15" customHeight="1" x14ac:dyDescent="0.2">
      <c r="A215" s="107"/>
      <c r="B215" s="107"/>
      <c r="C215" s="145"/>
      <c r="D215" s="148" t="s">
        <v>593</v>
      </c>
      <c r="E215" s="133">
        <v>2</v>
      </c>
      <c r="F215" s="106">
        <v>151524</v>
      </c>
      <c r="G215" s="578">
        <f>0+táj2!G215</f>
        <v>0</v>
      </c>
      <c r="H215" s="578">
        <f>0+táj2!H215</f>
        <v>0</v>
      </c>
      <c r="I215" s="578">
        <f>41641927+táj2!I215</f>
        <v>41641927</v>
      </c>
      <c r="J215" s="578">
        <f>0+táj2!J215</f>
        <v>0</v>
      </c>
      <c r="K215" s="578">
        <f>0+táj2!K215</f>
        <v>0</v>
      </c>
      <c r="L215" s="578">
        <f>0+táj2!L215</f>
        <v>0</v>
      </c>
      <c r="M215" s="578">
        <f>0+táj2!M215</f>
        <v>0</v>
      </c>
      <c r="N215" s="578">
        <f>0+táj2!N215</f>
        <v>0</v>
      </c>
      <c r="O215" s="578">
        <f>0+táj2!O215</f>
        <v>0</v>
      </c>
      <c r="P215" s="578">
        <f>0+táj2!P215</f>
        <v>0</v>
      </c>
      <c r="Q215" s="579">
        <f t="shared" si="16"/>
        <v>41641927</v>
      </c>
    </row>
    <row r="216" spans="1:17 16343:16343" ht="17.25" customHeight="1" x14ac:dyDescent="0.2">
      <c r="A216" s="107"/>
      <c r="B216" s="107"/>
      <c r="C216" s="145"/>
      <c r="D216" s="147" t="s">
        <v>595</v>
      </c>
      <c r="E216" s="112">
        <v>2</v>
      </c>
      <c r="F216" s="106">
        <v>151531</v>
      </c>
      <c r="G216" s="578">
        <f>0+táj2!G216</f>
        <v>0</v>
      </c>
      <c r="H216" s="578">
        <f>0+táj2!H216</f>
        <v>0</v>
      </c>
      <c r="I216" s="578">
        <f>1500000+táj2!I216</f>
        <v>1500000</v>
      </c>
      <c r="J216" s="578">
        <f>0+táj2!J216</f>
        <v>0</v>
      </c>
      <c r="K216" s="578">
        <f>0+táj2!K216</f>
        <v>0</v>
      </c>
      <c r="L216" s="578">
        <f>0+táj2!L216</f>
        <v>0</v>
      </c>
      <c r="M216" s="578">
        <f>0+táj2!M216</f>
        <v>0</v>
      </c>
      <c r="N216" s="578">
        <f>0+táj2!N216</f>
        <v>0</v>
      </c>
      <c r="O216" s="578">
        <f>0+táj2!O216</f>
        <v>0</v>
      </c>
      <c r="P216" s="578">
        <f>0+táj2!P216</f>
        <v>0</v>
      </c>
      <c r="Q216" s="579">
        <f t="shared" si="16"/>
        <v>1500000</v>
      </c>
    </row>
    <row r="217" spans="1:17 16343:16343" ht="15" customHeight="1" x14ac:dyDescent="0.2">
      <c r="A217" s="107"/>
      <c r="B217" s="107"/>
      <c r="C217" s="145"/>
      <c r="D217" s="147" t="s">
        <v>596</v>
      </c>
      <c r="E217" s="112">
        <v>2</v>
      </c>
      <c r="F217" s="106">
        <v>151532</v>
      </c>
      <c r="G217" s="578">
        <f>0+táj2!G217</f>
        <v>0</v>
      </c>
      <c r="H217" s="578">
        <f>0+táj2!H217</f>
        <v>0</v>
      </c>
      <c r="I217" s="578">
        <f>2080260+táj2!I217</f>
        <v>2080260</v>
      </c>
      <c r="J217" s="578">
        <f>0+táj2!J217</f>
        <v>0</v>
      </c>
      <c r="K217" s="578">
        <f>0+táj2!K217</f>
        <v>0</v>
      </c>
      <c r="L217" s="578">
        <f>0+táj2!L217</f>
        <v>0</v>
      </c>
      <c r="M217" s="578">
        <f>0+táj2!M217</f>
        <v>0</v>
      </c>
      <c r="N217" s="578">
        <f>0+táj2!N217</f>
        <v>0</v>
      </c>
      <c r="O217" s="578">
        <f>0+táj2!O217</f>
        <v>0</v>
      </c>
      <c r="P217" s="578">
        <f>0+táj2!P217</f>
        <v>0</v>
      </c>
      <c r="Q217" s="579">
        <f t="shared" si="16"/>
        <v>2080260</v>
      </c>
    </row>
    <row r="218" spans="1:17 16343:16343" ht="15" customHeight="1" x14ac:dyDescent="0.2">
      <c r="A218" s="107"/>
      <c r="B218" s="107"/>
      <c r="C218" s="145"/>
      <c r="D218" s="111" t="s">
        <v>355</v>
      </c>
      <c r="E218" s="112"/>
      <c r="F218" s="133"/>
      <c r="G218" s="578"/>
      <c r="H218" s="579"/>
      <c r="I218" s="579"/>
      <c r="J218" s="579"/>
      <c r="K218" s="579"/>
      <c r="L218" s="579"/>
      <c r="M218" s="579"/>
      <c r="N218" s="579"/>
      <c r="O218" s="579"/>
      <c r="P218" s="579"/>
      <c r="Q218" s="579"/>
    </row>
    <row r="219" spans="1:17 16343:16343" ht="15" customHeight="1" x14ac:dyDescent="0.2">
      <c r="A219" s="107"/>
      <c r="B219" s="107"/>
      <c r="C219" s="145"/>
      <c r="D219" s="111" t="s">
        <v>356</v>
      </c>
      <c r="E219" s="106">
        <v>1</v>
      </c>
      <c r="F219" s="106">
        <v>151401</v>
      </c>
      <c r="G219" s="578">
        <f>0+táj2!G219</f>
        <v>0</v>
      </c>
      <c r="H219" s="578">
        <f>0+táj2!H219</f>
        <v>0</v>
      </c>
      <c r="I219" s="578">
        <f>304359283+táj2!I219</f>
        <v>304359283</v>
      </c>
      <c r="J219" s="578">
        <f>0+táj2!J219</f>
        <v>0</v>
      </c>
      <c r="K219" s="578">
        <f>0+táj2!K219</f>
        <v>0</v>
      </c>
      <c r="L219" s="578">
        <f>0+táj2!L219</f>
        <v>0</v>
      </c>
      <c r="M219" s="578">
        <f>0+táj2!M219</f>
        <v>0</v>
      </c>
      <c r="N219" s="578">
        <f>0+táj2!N219</f>
        <v>0</v>
      </c>
      <c r="O219" s="578">
        <f>0+táj2!O219</f>
        <v>0</v>
      </c>
      <c r="P219" s="578">
        <f>0+táj2!P219</f>
        <v>0</v>
      </c>
      <c r="Q219" s="579">
        <f t="shared" ref="Q219:Q228" si="17">SUM(G219:P219)</f>
        <v>304359283</v>
      </c>
    </row>
    <row r="220" spans="1:17 16343:16343" ht="15" customHeight="1" x14ac:dyDescent="0.2">
      <c r="A220" s="107"/>
      <c r="B220" s="107"/>
      <c r="C220" s="145"/>
      <c r="D220" s="111" t="s">
        <v>597</v>
      </c>
      <c r="E220" s="106">
        <v>1</v>
      </c>
      <c r="F220" s="106">
        <v>151422</v>
      </c>
      <c r="G220" s="578">
        <f>0+táj2!G220</f>
        <v>0</v>
      </c>
      <c r="H220" s="578">
        <f>0+táj2!H220</f>
        <v>0</v>
      </c>
      <c r="I220" s="578">
        <f>7750000+táj2!I220</f>
        <v>7750000</v>
      </c>
      <c r="J220" s="578">
        <f>0+táj2!J220</f>
        <v>0</v>
      </c>
      <c r="K220" s="578">
        <f>0+táj2!K220</f>
        <v>0</v>
      </c>
      <c r="L220" s="578">
        <f>0+táj2!L220</f>
        <v>0</v>
      </c>
      <c r="M220" s="578">
        <f>0+táj2!M220</f>
        <v>0</v>
      </c>
      <c r="N220" s="578">
        <f>0+táj2!N220</f>
        <v>0</v>
      </c>
      <c r="O220" s="578">
        <f>0+táj2!O220</f>
        <v>0</v>
      </c>
      <c r="P220" s="578">
        <f>0+táj2!P220</f>
        <v>0</v>
      </c>
      <c r="Q220" s="579">
        <f t="shared" si="17"/>
        <v>7750000</v>
      </c>
    </row>
    <row r="221" spans="1:17 16343:16343" ht="14.45" customHeight="1" x14ac:dyDescent="0.2">
      <c r="A221" s="107"/>
      <c r="B221" s="107"/>
      <c r="C221" s="145"/>
      <c r="D221" s="111" t="s">
        <v>357</v>
      </c>
      <c r="E221" s="133">
        <v>1</v>
      </c>
      <c r="F221" s="106">
        <v>151402</v>
      </c>
      <c r="G221" s="578">
        <f>0+táj2!G221</f>
        <v>0</v>
      </c>
      <c r="H221" s="578">
        <f>0+táj2!H221</f>
        <v>0</v>
      </c>
      <c r="I221" s="578">
        <f>89413134+táj2!I221</f>
        <v>89413134</v>
      </c>
      <c r="J221" s="578">
        <f>0+táj2!J221</f>
        <v>0</v>
      </c>
      <c r="K221" s="578">
        <f>0+táj2!K221</f>
        <v>0</v>
      </c>
      <c r="L221" s="578">
        <f>4123934+táj2!L221</f>
        <v>4123934</v>
      </c>
      <c r="M221" s="578">
        <f>0+táj2!M221</f>
        <v>0</v>
      </c>
      <c r="N221" s="578">
        <f>0+táj2!N221</f>
        <v>0</v>
      </c>
      <c r="O221" s="578">
        <f>0+táj2!O221</f>
        <v>0</v>
      </c>
      <c r="P221" s="578">
        <f>0+táj2!P221</f>
        <v>0</v>
      </c>
      <c r="Q221" s="579">
        <f t="shared" si="17"/>
        <v>93537068</v>
      </c>
    </row>
    <row r="222" spans="1:17 16343:16343" ht="15" customHeight="1" x14ac:dyDescent="0.2">
      <c r="A222" s="107"/>
      <c r="B222" s="107"/>
      <c r="C222" s="145"/>
      <c r="D222" s="111" t="s">
        <v>580</v>
      </c>
      <c r="E222" s="133">
        <v>1</v>
      </c>
      <c r="F222" s="106">
        <v>151411</v>
      </c>
      <c r="G222" s="578">
        <f>0+táj2!G222</f>
        <v>0</v>
      </c>
      <c r="H222" s="578">
        <f>0+táj2!H222</f>
        <v>0</v>
      </c>
      <c r="I222" s="578">
        <f>9940000+táj2!I222</f>
        <v>9940000</v>
      </c>
      <c r="J222" s="578">
        <f>0+táj2!J222</f>
        <v>0</v>
      </c>
      <c r="K222" s="578">
        <f>0+táj2!K222</f>
        <v>0</v>
      </c>
      <c r="L222" s="578">
        <f>0+táj2!L222</f>
        <v>0</v>
      </c>
      <c r="M222" s="578">
        <f>0+táj2!M222</f>
        <v>0</v>
      </c>
      <c r="N222" s="578">
        <f>0+táj2!N222</f>
        <v>0</v>
      </c>
      <c r="O222" s="578">
        <f>0+táj2!O222</f>
        <v>0</v>
      </c>
      <c r="P222" s="578">
        <f>0+táj2!P222</f>
        <v>0</v>
      </c>
      <c r="Q222" s="579">
        <f t="shared" si="17"/>
        <v>9940000</v>
      </c>
      <c r="XDO222" s="1">
        <f>SUM(E222:XDN222)</f>
        <v>20031412</v>
      </c>
    </row>
    <row r="223" spans="1:17 16343:16343" ht="15" customHeight="1" x14ac:dyDescent="0.2">
      <c r="A223" s="107"/>
      <c r="B223" s="107"/>
      <c r="C223" s="145"/>
      <c r="D223" s="111" t="s">
        <v>358</v>
      </c>
      <c r="E223" s="133">
        <v>2</v>
      </c>
      <c r="F223" s="106">
        <v>151415</v>
      </c>
      <c r="G223" s="578">
        <f>0+táj2!G223</f>
        <v>0</v>
      </c>
      <c r="H223" s="578">
        <f>0+táj2!H223</f>
        <v>0</v>
      </c>
      <c r="I223" s="578">
        <f>2134514+táj2!I223</f>
        <v>2248663</v>
      </c>
      <c r="J223" s="578">
        <f>0+táj2!J223</f>
        <v>0</v>
      </c>
      <c r="K223" s="578">
        <f>0+táj2!K223</f>
        <v>0</v>
      </c>
      <c r="L223" s="578">
        <f>0+táj2!L223</f>
        <v>0</v>
      </c>
      <c r="M223" s="578">
        <f>0+táj2!M223</f>
        <v>0</v>
      </c>
      <c r="N223" s="578">
        <f>0+táj2!N223</f>
        <v>0</v>
      </c>
      <c r="O223" s="578">
        <f>0+táj2!O223</f>
        <v>0</v>
      </c>
      <c r="P223" s="578">
        <f>0+táj2!P223</f>
        <v>0</v>
      </c>
      <c r="Q223" s="579">
        <f t="shared" si="17"/>
        <v>2248663</v>
      </c>
      <c r="XDO223" s="1">
        <f>SUM(E223:XDN223)</f>
        <v>4648743</v>
      </c>
    </row>
    <row r="224" spans="1:17 16343:16343" ht="15" customHeight="1" x14ac:dyDescent="0.2">
      <c r="A224" s="107"/>
      <c r="B224" s="107"/>
      <c r="C224" s="145"/>
      <c r="D224" s="111" t="s">
        <v>780</v>
      </c>
      <c r="E224" s="133">
        <v>1</v>
      </c>
      <c r="F224" s="106">
        <v>151416</v>
      </c>
      <c r="G224" s="578">
        <f>0+táj2!G224</f>
        <v>0</v>
      </c>
      <c r="H224" s="578">
        <f>0+táj2!H224</f>
        <v>0</v>
      </c>
      <c r="I224" s="578">
        <f>2850000+táj2!I224</f>
        <v>2850000</v>
      </c>
      <c r="J224" s="578">
        <f>0+táj2!J224</f>
        <v>0</v>
      </c>
      <c r="K224" s="578">
        <f>0+táj2!K224</f>
        <v>0</v>
      </c>
      <c r="L224" s="578">
        <f>0+táj2!L224</f>
        <v>0</v>
      </c>
      <c r="M224" s="578">
        <f>0+táj2!M224</f>
        <v>0</v>
      </c>
      <c r="N224" s="578">
        <f>0+táj2!N224</f>
        <v>0</v>
      </c>
      <c r="O224" s="578">
        <f>0+táj2!O224</f>
        <v>0</v>
      </c>
      <c r="P224" s="578">
        <f>0+táj2!P224</f>
        <v>0</v>
      </c>
      <c r="Q224" s="579">
        <f t="shared" si="17"/>
        <v>2850000</v>
      </c>
      <c r="XDO224" s="1">
        <f>SUM(XDO222:XFD223)</f>
        <v>24680155</v>
      </c>
    </row>
    <row r="225" spans="1:17 16343:16343" ht="15" customHeight="1" x14ac:dyDescent="0.2">
      <c r="A225" s="107"/>
      <c r="B225" s="107"/>
      <c r="C225" s="145"/>
      <c r="D225" s="111" t="s">
        <v>359</v>
      </c>
      <c r="E225" s="133">
        <v>1</v>
      </c>
      <c r="F225" s="106">
        <v>151417</v>
      </c>
      <c r="G225" s="578">
        <f>0+táj2!G225</f>
        <v>0</v>
      </c>
      <c r="H225" s="578">
        <f>0+táj2!H225</f>
        <v>0</v>
      </c>
      <c r="I225" s="578">
        <f>9103195+táj2!I225</f>
        <v>9103195</v>
      </c>
      <c r="J225" s="578">
        <f>0+táj2!J225</f>
        <v>0</v>
      </c>
      <c r="K225" s="578">
        <f>0+táj2!K225</f>
        <v>0</v>
      </c>
      <c r="L225" s="578">
        <f>0+táj2!L225</f>
        <v>0</v>
      </c>
      <c r="M225" s="578">
        <f>2333625+táj2!M225</f>
        <v>2333625</v>
      </c>
      <c r="N225" s="578">
        <f>0+táj2!N225</f>
        <v>0</v>
      </c>
      <c r="O225" s="578">
        <f>0+táj2!O225</f>
        <v>0</v>
      </c>
      <c r="P225" s="578">
        <f>0+táj2!P225</f>
        <v>0</v>
      </c>
      <c r="Q225" s="579">
        <f t="shared" si="17"/>
        <v>11436820</v>
      </c>
      <c r="XDO225" s="1">
        <f>SUM(E225:XDN225)</f>
        <v>23025058</v>
      </c>
    </row>
    <row r="226" spans="1:17 16343:16343" ht="15" customHeight="1" x14ac:dyDescent="0.2">
      <c r="A226" s="107"/>
      <c r="B226" s="107"/>
      <c r="C226" s="145"/>
      <c r="D226" s="111" t="s">
        <v>360</v>
      </c>
      <c r="E226" s="133">
        <v>2</v>
      </c>
      <c r="F226" s="106">
        <v>151407</v>
      </c>
      <c r="G226" s="578">
        <f>0+táj2!G226</f>
        <v>0</v>
      </c>
      <c r="H226" s="578">
        <f>0+táj2!H226</f>
        <v>0</v>
      </c>
      <c r="I226" s="578">
        <f>2230066+táj2!I226</f>
        <v>2230066</v>
      </c>
      <c r="J226" s="578">
        <f>0+táj2!J226</f>
        <v>0</v>
      </c>
      <c r="K226" s="578">
        <f>0+táj2!K226</f>
        <v>0</v>
      </c>
      <c r="L226" s="578">
        <f>0+táj2!L226</f>
        <v>0</v>
      </c>
      <c r="M226" s="578">
        <f>0+táj2!M226</f>
        <v>0</v>
      </c>
      <c r="N226" s="578">
        <f>0+táj2!N226</f>
        <v>0</v>
      </c>
      <c r="O226" s="578">
        <f>0+táj2!O226</f>
        <v>0</v>
      </c>
      <c r="P226" s="578">
        <f>0+táj2!P226</f>
        <v>0</v>
      </c>
      <c r="Q226" s="579">
        <f t="shared" si="17"/>
        <v>2230066</v>
      </c>
      <c r="XDO226" s="1">
        <f>SUM(E226:XDN226)</f>
        <v>4611541</v>
      </c>
    </row>
    <row r="227" spans="1:17 16343:16343" ht="15" customHeight="1" x14ac:dyDescent="0.2">
      <c r="A227" s="107"/>
      <c r="B227" s="107"/>
      <c r="C227" s="145"/>
      <c r="D227" s="111" t="s">
        <v>361</v>
      </c>
      <c r="E227" s="133">
        <v>1</v>
      </c>
      <c r="F227" s="106">
        <v>151404</v>
      </c>
      <c r="G227" s="578">
        <f>0+táj2!G227</f>
        <v>0</v>
      </c>
      <c r="H227" s="578">
        <f>0+táj2!H227</f>
        <v>0</v>
      </c>
      <c r="I227" s="578">
        <f>6698312+táj2!I227</f>
        <v>6698312</v>
      </c>
      <c r="J227" s="578">
        <f>0+táj2!J227</f>
        <v>0</v>
      </c>
      <c r="K227" s="578">
        <f>0+táj2!K227</f>
        <v>0</v>
      </c>
      <c r="L227" s="578">
        <f>0+táj2!L227</f>
        <v>0</v>
      </c>
      <c r="M227" s="578">
        <f>0+táj2!M227</f>
        <v>0</v>
      </c>
      <c r="N227" s="578">
        <f>0+táj2!N227</f>
        <v>0</v>
      </c>
      <c r="O227" s="578">
        <f>0+táj2!O227</f>
        <v>0</v>
      </c>
      <c r="P227" s="578">
        <f>0+táj2!P227</f>
        <v>0</v>
      </c>
      <c r="Q227" s="579">
        <f t="shared" si="17"/>
        <v>6698312</v>
      </c>
      <c r="XDO227" s="1">
        <f>SUM(E227:XDN227)</f>
        <v>13548029</v>
      </c>
    </row>
    <row r="228" spans="1:17 16343:16343" ht="24.75" customHeight="1" x14ac:dyDescent="0.2">
      <c r="A228" s="107"/>
      <c r="B228" s="107"/>
      <c r="C228" s="145"/>
      <c r="D228" s="146" t="s">
        <v>540</v>
      </c>
      <c r="E228" s="69">
        <v>1</v>
      </c>
      <c r="F228" s="48">
        <v>151408</v>
      </c>
      <c r="G228" s="578">
        <f>0+táj2!G228</f>
        <v>0</v>
      </c>
      <c r="H228" s="578">
        <f>0+táj2!H228</f>
        <v>0</v>
      </c>
      <c r="I228" s="578">
        <f>1710000+táj2!I228</f>
        <v>1710000</v>
      </c>
      <c r="J228" s="578">
        <f>0+táj2!J228</f>
        <v>0</v>
      </c>
      <c r="K228" s="578">
        <f>0+táj2!K228</f>
        <v>0</v>
      </c>
      <c r="L228" s="578">
        <f>0+táj2!L228</f>
        <v>0</v>
      </c>
      <c r="M228" s="578">
        <f>3990199+táj2!M228</f>
        <v>3990199</v>
      </c>
      <c r="N228" s="578">
        <f>0+táj2!N228</f>
        <v>0</v>
      </c>
      <c r="O228" s="578">
        <f>0+táj2!O228</f>
        <v>0</v>
      </c>
      <c r="P228" s="578">
        <f>0+táj2!P228</f>
        <v>0</v>
      </c>
      <c r="Q228" s="578">
        <f t="shared" si="17"/>
        <v>5700199</v>
      </c>
      <c r="XDO228" s="1">
        <f>SUM(Q228)</f>
        <v>5700199</v>
      </c>
    </row>
    <row r="229" spans="1:17 16343:16343" ht="23.25" customHeight="1" x14ac:dyDescent="0.2">
      <c r="A229" s="45"/>
      <c r="B229" s="45"/>
      <c r="C229" s="95"/>
      <c r="D229" s="195" t="s">
        <v>637</v>
      </c>
      <c r="E229" s="57">
        <v>1</v>
      </c>
      <c r="F229" s="58">
        <v>151926</v>
      </c>
      <c r="G229" s="578">
        <f>0+táj2!G229</f>
        <v>0</v>
      </c>
      <c r="H229" s="578">
        <f>0+táj2!H229</f>
        <v>0</v>
      </c>
      <c r="I229" s="578">
        <f>5373000+táj2!I229</f>
        <v>5373000</v>
      </c>
      <c r="J229" s="578">
        <f>0+táj2!J229</f>
        <v>0</v>
      </c>
      <c r="K229" s="578">
        <f>0+táj2!K229</f>
        <v>0</v>
      </c>
      <c r="L229" s="578">
        <f>0+táj2!L229</f>
        <v>0</v>
      </c>
      <c r="M229" s="578">
        <f>0+táj2!M229</f>
        <v>0</v>
      </c>
      <c r="N229" s="578">
        <f>0+táj2!N229</f>
        <v>0</v>
      </c>
      <c r="O229" s="578">
        <f>0+táj2!O229</f>
        <v>0</v>
      </c>
      <c r="P229" s="578">
        <f>0+táj2!P229</f>
        <v>0</v>
      </c>
      <c r="Q229" s="578">
        <f>SUM(G229:P229)</f>
        <v>5373000</v>
      </c>
      <c r="XDO229" s="1">
        <f>SUM(E229:XDN229)</f>
        <v>10897927</v>
      </c>
    </row>
    <row r="230" spans="1:17 16343:16343" ht="15" customHeight="1" x14ac:dyDescent="0.2">
      <c r="A230" s="48"/>
      <c r="B230" s="48"/>
      <c r="C230" s="48"/>
      <c r="D230" s="111" t="s">
        <v>362</v>
      </c>
      <c r="E230" s="112"/>
      <c r="F230" s="48"/>
      <c r="G230" s="578"/>
      <c r="H230" s="578"/>
      <c r="I230" s="578"/>
      <c r="J230" s="578"/>
      <c r="K230" s="578"/>
      <c r="L230" s="578"/>
      <c r="M230" s="578"/>
      <c r="N230" s="578"/>
      <c r="O230" s="578"/>
      <c r="P230" s="578"/>
      <c r="Q230" s="578"/>
      <c r="XDO230" s="1">
        <f>SUM(Q230)</f>
        <v>0</v>
      </c>
    </row>
    <row r="231" spans="1:17 16343:16343" ht="26.25" customHeight="1" x14ac:dyDescent="0.2">
      <c r="A231" s="45"/>
      <c r="B231" s="45"/>
      <c r="C231" s="145"/>
      <c r="D231" s="149" t="s">
        <v>363</v>
      </c>
      <c r="E231" s="57">
        <v>1</v>
      </c>
      <c r="F231" s="58">
        <v>191129</v>
      </c>
      <c r="G231" s="578">
        <f>0+táj2!G231</f>
        <v>0</v>
      </c>
      <c r="H231" s="578">
        <f>0+táj2!H231</f>
        <v>0</v>
      </c>
      <c r="I231" s="578">
        <f>0+táj2!I231</f>
        <v>0</v>
      </c>
      <c r="J231" s="578">
        <f>0+táj2!J231</f>
        <v>0</v>
      </c>
      <c r="K231" s="578">
        <f>1677046160+táj2!K231</f>
        <v>1677046160</v>
      </c>
      <c r="L231" s="578">
        <f>0+táj2!L231</f>
        <v>0</v>
      </c>
      <c r="M231" s="578">
        <f>0+táj2!M231</f>
        <v>0</v>
      </c>
      <c r="N231" s="578">
        <f>0+táj2!N231</f>
        <v>0</v>
      </c>
      <c r="O231" s="578">
        <f>0+táj2!O231</f>
        <v>0</v>
      </c>
      <c r="P231" s="578">
        <f>0+táj2!P231</f>
        <v>0</v>
      </c>
      <c r="Q231" s="578">
        <f>SUM(G231:P231)</f>
        <v>1677046160</v>
      </c>
      <c r="XDO231" s="1">
        <f>SUM(E231:XDN231)</f>
        <v>3354283450</v>
      </c>
    </row>
    <row r="232" spans="1:17 16343:16343" ht="24" customHeight="1" x14ac:dyDescent="0.2">
      <c r="A232" s="45"/>
      <c r="B232" s="45"/>
      <c r="C232" s="145"/>
      <c r="D232" s="149" t="s">
        <v>645</v>
      </c>
      <c r="E232" s="57">
        <v>1</v>
      </c>
      <c r="F232" s="58">
        <v>151106</v>
      </c>
      <c r="G232" s="578">
        <f>0+táj2!G232</f>
        <v>0</v>
      </c>
      <c r="H232" s="578">
        <f>0+táj2!H232</f>
        <v>0</v>
      </c>
      <c r="I232" s="578">
        <f>0+táj2!I232</f>
        <v>0</v>
      </c>
      <c r="J232" s="578">
        <f>0+táj2!J232</f>
        <v>0</v>
      </c>
      <c r="K232" s="578">
        <f>11997840+táj2!K232</f>
        <v>11997840</v>
      </c>
      <c r="L232" s="578">
        <f>0+táj2!L232</f>
        <v>0</v>
      </c>
      <c r="M232" s="578">
        <f>0+táj2!M232</f>
        <v>0</v>
      </c>
      <c r="N232" s="578">
        <f>0+táj2!N232</f>
        <v>0</v>
      </c>
      <c r="O232" s="578">
        <f>0+táj2!O232</f>
        <v>0</v>
      </c>
      <c r="P232" s="578">
        <f>0+táj2!P232</f>
        <v>0</v>
      </c>
      <c r="Q232" s="578">
        <f>SUM(G232:P232)</f>
        <v>11997840</v>
      </c>
      <c r="XDO232" s="1">
        <f>SUM(E232:XDN232)</f>
        <v>24146787</v>
      </c>
    </row>
    <row r="233" spans="1:17 16343:16343" ht="15" customHeight="1" x14ac:dyDescent="0.2">
      <c r="A233" s="45"/>
      <c r="B233" s="45"/>
      <c r="C233" s="145"/>
      <c r="D233" s="155" t="s">
        <v>364</v>
      </c>
      <c r="E233" s="112"/>
      <c r="F233" s="48"/>
      <c r="G233" s="578"/>
      <c r="H233" s="578"/>
      <c r="I233" s="578"/>
      <c r="J233" s="578"/>
      <c r="K233" s="578"/>
      <c r="L233" s="578"/>
      <c r="M233" s="578"/>
      <c r="N233" s="578"/>
      <c r="O233" s="578"/>
      <c r="P233" s="578"/>
      <c r="Q233" s="578"/>
      <c r="XDO233" s="1">
        <f>SUM(E233:XDN233)</f>
        <v>0</v>
      </c>
    </row>
    <row r="234" spans="1:17 16343:16343" ht="15" customHeight="1" x14ac:dyDescent="0.2">
      <c r="A234" s="45"/>
      <c r="B234" s="45"/>
      <c r="C234" s="145"/>
      <c r="D234" s="111" t="s">
        <v>365</v>
      </c>
      <c r="E234" s="48">
        <v>1</v>
      </c>
      <c r="F234" s="48">
        <v>151102</v>
      </c>
      <c r="G234" s="578">
        <f>0+táj2!G234</f>
        <v>0</v>
      </c>
      <c r="H234" s="578">
        <f>0+táj2!H234</f>
        <v>0</v>
      </c>
      <c r="I234" s="578">
        <f>3019800+táj2!I234</f>
        <v>4356956</v>
      </c>
      <c r="J234" s="578">
        <f>0+táj2!J234</f>
        <v>0</v>
      </c>
      <c r="K234" s="578">
        <f>0+táj2!K234</f>
        <v>0</v>
      </c>
      <c r="L234" s="578">
        <f>0+táj2!L234</f>
        <v>0</v>
      </c>
      <c r="M234" s="578">
        <f>0+táj2!M234</f>
        <v>0</v>
      </c>
      <c r="N234" s="578">
        <f>0+táj2!N234</f>
        <v>0</v>
      </c>
      <c r="O234" s="578">
        <f>0+táj2!O234</f>
        <v>0</v>
      </c>
      <c r="P234" s="578">
        <f>0+táj2!P234</f>
        <v>0</v>
      </c>
      <c r="Q234" s="578">
        <f t="shared" ref="Q234:Q246" si="18">SUM(G234:P234)</f>
        <v>4356956</v>
      </c>
      <c r="XDO234" s="1">
        <f>SUM(Q234)</f>
        <v>4356956</v>
      </c>
    </row>
    <row r="235" spans="1:17 16343:16343" ht="15" customHeight="1" x14ac:dyDescent="0.2">
      <c r="A235" s="45"/>
      <c r="B235" s="45"/>
      <c r="C235" s="145"/>
      <c r="D235" s="111" t="s">
        <v>706</v>
      </c>
      <c r="E235" s="48">
        <v>1</v>
      </c>
      <c r="F235" s="48">
        <v>151103</v>
      </c>
      <c r="G235" s="578">
        <f>0+táj2!G235</f>
        <v>0</v>
      </c>
      <c r="H235" s="578">
        <f>0+táj2!H235</f>
        <v>0</v>
      </c>
      <c r="I235" s="578">
        <f>4300000+táj2!I235</f>
        <v>4300000</v>
      </c>
      <c r="J235" s="578">
        <f>0+táj2!J235</f>
        <v>0</v>
      </c>
      <c r="K235" s="578">
        <f>0+táj2!K235</f>
        <v>0</v>
      </c>
      <c r="L235" s="578">
        <f>0+táj2!L235</f>
        <v>0</v>
      </c>
      <c r="M235" s="578">
        <f>0+táj2!M235</f>
        <v>0</v>
      </c>
      <c r="N235" s="578">
        <f>0+táj2!N235</f>
        <v>0</v>
      </c>
      <c r="O235" s="578">
        <f>0+táj2!O235</f>
        <v>0</v>
      </c>
      <c r="P235" s="578">
        <f>0+táj2!P235</f>
        <v>0</v>
      </c>
      <c r="Q235" s="578">
        <f t="shared" si="18"/>
        <v>4300000</v>
      </c>
      <c r="XDO235" s="1">
        <f>SUM(E235:XDN235)</f>
        <v>8751104</v>
      </c>
    </row>
    <row r="236" spans="1:17 16343:16343" ht="15" customHeight="1" x14ac:dyDescent="0.2">
      <c r="A236" s="45"/>
      <c r="B236" s="45"/>
      <c r="C236" s="145"/>
      <c r="D236" s="111" t="s">
        <v>781</v>
      </c>
      <c r="E236" s="48">
        <v>1</v>
      </c>
      <c r="F236" s="48">
        <v>151105</v>
      </c>
      <c r="G236" s="578">
        <f>0+táj2!G236</f>
        <v>0</v>
      </c>
      <c r="H236" s="578">
        <f>0+táj2!H236</f>
        <v>0</v>
      </c>
      <c r="I236" s="578">
        <f>4750000+táj2!I236</f>
        <v>4750000</v>
      </c>
      <c r="J236" s="578">
        <f>0+táj2!J236</f>
        <v>0</v>
      </c>
      <c r="K236" s="578">
        <f>0+táj2!K236</f>
        <v>0</v>
      </c>
      <c r="L236" s="578">
        <f>0+táj2!L236</f>
        <v>0</v>
      </c>
      <c r="M236" s="578">
        <f>0+táj2!M236</f>
        <v>0</v>
      </c>
      <c r="N236" s="578">
        <f>0+táj2!N236</f>
        <v>0</v>
      </c>
      <c r="O236" s="578">
        <f>0+táj2!O236</f>
        <v>0</v>
      </c>
      <c r="P236" s="578">
        <f>0+táj2!P236</f>
        <v>0</v>
      </c>
      <c r="Q236" s="578">
        <f t="shared" si="18"/>
        <v>4750000</v>
      </c>
      <c r="XDO236" s="1">
        <f>SUM(E236:XDN236)</f>
        <v>9651106</v>
      </c>
    </row>
    <row r="237" spans="1:17 16343:16343" ht="15" customHeight="1" x14ac:dyDescent="0.2">
      <c r="A237" s="45"/>
      <c r="B237" s="45"/>
      <c r="C237" s="145"/>
      <c r="D237" s="111" t="s">
        <v>366</v>
      </c>
      <c r="E237" s="112"/>
      <c r="F237" s="69"/>
      <c r="G237" s="578"/>
      <c r="H237" s="578"/>
      <c r="I237" s="578"/>
      <c r="J237" s="578"/>
      <c r="K237" s="578"/>
      <c r="L237" s="578"/>
      <c r="M237" s="578"/>
      <c r="N237" s="578"/>
      <c r="O237" s="578"/>
      <c r="P237" s="578"/>
      <c r="Q237" s="578"/>
      <c r="XDO237" s="1">
        <f>SUM(XDO235:XFD236)</f>
        <v>18402210</v>
      </c>
    </row>
    <row r="238" spans="1:17 16343:16343" ht="15" customHeight="1" x14ac:dyDescent="0.2">
      <c r="A238" s="45"/>
      <c r="B238" s="45"/>
      <c r="C238" s="145"/>
      <c r="D238" s="155" t="s">
        <v>367</v>
      </c>
      <c r="E238" s="69">
        <v>1</v>
      </c>
      <c r="F238" s="48">
        <v>151301</v>
      </c>
      <c r="G238" s="578">
        <f>0+táj2!G238</f>
        <v>0</v>
      </c>
      <c r="H238" s="578">
        <f>0+táj2!H238</f>
        <v>0</v>
      </c>
      <c r="I238" s="578">
        <f>31280351+táj2!I238</f>
        <v>31280351</v>
      </c>
      <c r="J238" s="578">
        <f>0+táj2!J238</f>
        <v>0</v>
      </c>
      <c r="K238" s="578">
        <f>0+táj2!K238</f>
        <v>0</v>
      </c>
      <c r="L238" s="578">
        <f>0+táj2!L238</f>
        <v>0</v>
      </c>
      <c r="M238" s="578">
        <f>0+táj2!M238</f>
        <v>0</v>
      </c>
      <c r="N238" s="578">
        <f>0+táj2!N238</f>
        <v>0</v>
      </c>
      <c r="O238" s="578">
        <f>0+táj2!O238</f>
        <v>0</v>
      </c>
      <c r="P238" s="578">
        <f>0+táj2!P238</f>
        <v>0</v>
      </c>
      <c r="Q238" s="578">
        <f t="shared" si="18"/>
        <v>31280351</v>
      </c>
      <c r="XDO238" s="1">
        <f>SUM(XDO234:XFD237)</f>
        <v>41161376</v>
      </c>
    </row>
    <row r="239" spans="1:17 16343:16343" ht="16.5" customHeight="1" x14ac:dyDescent="0.2">
      <c r="A239" s="45"/>
      <c r="B239" s="45"/>
      <c r="C239" s="145"/>
      <c r="D239" s="155" t="s">
        <v>368</v>
      </c>
      <c r="E239" s="69">
        <v>1</v>
      </c>
      <c r="F239" s="48">
        <v>151310</v>
      </c>
      <c r="G239" s="578">
        <f>0+táj2!G239</f>
        <v>0</v>
      </c>
      <c r="H239" s="578">
        <f>0+táj2!H239</f>
        <v>0</v>
      </c>
      <c r="I239" s="578">
        <f>28598813+táj2!I239</f>
        <v>28598813</v>
      </c>
      <c r="J239" s="578">
        <f>0+táj2!J239</f>
        <v>0</v>
      </c>
      <c r="K239" s="578">
        <f>0+táj2!K239</f>
        <v>0</v>
      </c>
      <c r="L239" s="578">
        <f>0+táj2!L239</f>
        <v>0</v>
      </c>
      <c r="M239" s="578">
        <f>0+táj2!M239</f>
        <v>0</v>
      </c>
      <c r="N239" s="578">
        <f>0+táj2!N239</f>
        <v>0</v>
      </c>
      <c r="O239" s="578">
        <f>0+táj2!O239</f>
        <v>0</v>
      </c>
      <c r="P239" s="578">
        <f>0+táj2!P239</f>
        <v>0</v>
      </c>
      <c r="Q239" s="578">
        <f t="shared" si="18"/>
        <v>28598813</v>
      </c>
      <c r="XDO239" s="1">
        <f>SUM(E239:XDN239)</f>
        <v>57348937</v>
      </c>
    </row>
    <row r="240" spans="1:17 16343:16343" ht="28.5" customHeight="1" x14ac:dyDescent="0.2">
      <c r="A240" s="45"/>
      <c r="B240" s="45"/>
      <c r="C240" s="145"/>
      <c r="D240" s="148" t="s">
        <v>785</v>
      </c>
      <c r="E240" s="69">
        <v>1</v>
      </c>
      <c r="F240" s="48">
        <v>151313</v>
      </c>
      <c r="G240" s="578">
        <f>0+táj2!G240</f>
        <v>0</v>
      </c>
      <c r="H240" s="578">
        <f>0+táj2!H240</f>
        <v>0</v>
      </c>
      <c r="I240" s="578">
        <f>25465542+táj2!I240</f>
        <v>25465542</v>
      </c>
      <c r="J240" s="578">
        <f>0+táj2!J240</f>
        <v>0</v>
      </c>
      <c r="K240" s="578">
        <f>0+táj2!K240</f>
        <v>0</v>
      </c>
      <c r="L240" s="578">
        <f>0+táj2!L240</f>
        <v>0</v>
      </c>
      <c r="M240" s="578">
        <f>0+táj2!M240</f>
        <v>0</v>
      </c>
      <c r="N240" s="578">
        <f>0+táj2!N240</f>
        <v>0</v>
      </c>
      <c r="O240" s="578">
        <f>0+táj2!O240</f>
        <v>0</v>
      </c>
      <c r="P240" s="578">
        <f>0+táj2!P240</f>
        <v>0</v>
      </c>
      <c r="Q240" s="578">
        <f t="shared" si="18"/>
        <v>25465542</v>
      </c>
      <c r="XDO240" s="1">
        <f>SUM(E240:XDN240)</f>
        <v>51082398</v>
      </c>
    </row>
    <row r="241" spans="1:17 16343:16343" ht="24.75" customHeight="1" x14ac:dyDescent="0.2">
      <c r="A241" s="45"/>
      <c r="B241" s="45"/>
      <c r="C241" s="145"/>
      <c r="D241" s="148" t="s">
        <v>784</v>
      </c>
      <c r="E241" s="69">
        <v>1</v>
      </c>
      <c r="F241" s="48">
        <v>151314</v>
      </c>
      <c r="G241" s="578">
        <f>0+táj2!G241</f>
        <v>0</v>
      </c>
      <c r="H241" s="578">
        <f>0+táj2!H241</f>
        <v>0</v>
      </c>
      <c r="I241" s="578">
        <f>51774702+táj2!I241</f>
        <v>51774702</v>
      </c>
      <c r="J241" s="578">
        <f>0+táj2!J241</f>
        <v>0</v>
      </c>
      <c r="K241" s="578">
        <f>0+táj2!K241</f>
        <v>0</v>
      </c>
      <c r="L241" s="578">
        <f>0+táj2!L241</f>
        <v>0</v>
      </c>
      <c r="M241" s="578">
        <f>0+táj2!M241</f>
        <v>0</v>
      </c>
      <c r="N241" s="578">
        <f>0+táj2!N241</f>
        <v>0</v>
      </c>
      <c r="O241" s="578">
        <f>0+táj2!O241</f>
        <v>0</v>
      </c>
      <c r="P241" s="578">
        <f>0+táj2!P241</f>
        <v>0</v>
      </c>
      <c r="Q241" s="578">
        <f t="shared" si="18"/>
        <v>51774702</v>
      </c>
      <c r="XDO241" s="1">
        <f>SUM(XDO239:XFD240)</f>
        <v>108431335</v>
      </c>
    </row>
    <row r="242" spans="1:17 16343:16343" ht="24" customHeight="1" x14ac:dyDescent="0.2">
      <c r="A242" s="45"/>
      <c r="B242" s="45"/>
      <c r="C242" s="145"/>
      <c r="D242" s="148" t="s">
        <v>783</v>
      </c>
      <c r="E242" s="69">
        <v>1</v>
      </c>
      <c r="F242" s="48">
        <v>151317</v>
      </c>
      <c r="G242" s="578">
        <f>0+táj2!G242</f>
        <v>0</v>
      </c>
      <c r="H242" s="578">
        <f>0+táj2!H242</f>
        <v>0</v>
      </c>
      <c r="I242" s="578">
        <f>16181819+táj2!I242</f>
        <v>16181819</v>
      </c>
      <c r="J242" s="578">
        <f>0+táj2!J242</f>
        <v>0</v>
      </c>
      <c r="K242" s="578">
        <f>0+táj2!K242</f>
        <v>0</v>
      </c>
      <c r="L242" s="578">
        <f>0+táj2!L242</f>
        <v>0</v>
      </c>
      <c r="M242" s="578">
        <f>0+táj2!M242</f>
        <v>0</v>
      </c>
      <c r="N242" s="578">
        <f>0+táj2!N242</f>
        <v>0</v>
      </c>
      <c r="O242" s="578">
        <f>0+táj2!O242</f>
        <v>0</v>
      </c>
      <c r="P242" s="578">
        <f>0+táj2!P242</f>
        <v>0</v>
      </c>
      <c r="Q242" s="578">
        <f t="shared" si="18"/>
        <v>16181819</v>
      </c>
      <c r="XDO242" s="1">
        <f>SUM(E242:XDN242)</f>
        <v>32514956</v>
      </c>
    </row>
    <row r="243" spans="1:17 16343:16343" ht="17.25" customHeight="1" x14ac:dyDescent="0.2">
      <c r="A243" s="45"/>
      <c r="B243" s="45"/>
      <c r="C243" s="145"/>
      <c r="D243" s="149" t="s">
        <v>510</v>
      </c>
      <c r="E243" s="69">
        <v>1</v>
      </c>
      <c r="F243" s="48">
        <v>151306</v>
      </c>
      <c r="G243" s="578">
        <f>0+táj2!G243</f>
        <v>0</v>
      </c>
      <c r="H243" s="578">
        <f>0+táj2!H243</f>
        <v>0</v>
      </c>
      <c r="I243" s="578">
        <f>3325000+táj2!I243</f>
        <v>3325000</v>
      </c>
      <c r="J243" s="578">
        <f>0+táj2!J243</f>
        <v>0</v>
      </c>
      <c r="K243" s="578">
        <f>0+táj2!K243</f>
        <v>0</v>
      </c>
      <c r="L243" s="578">
        <f>0+táj2!L243</f>
        <v>0</v>
      </c>
      <c r="M243" s="578">
        <f>0+táj2!M243</f>
        <v>0</v>
      </c>
      <c r="N243" s="578">
        <f>0+táj2!N243</f>
        <v>0</v>
      </c>
      <c r="O243" s="578">
        <f>0+táj2!O243</f>
        <v>0</v>
      </c>
      <c r="P243" s="578">
        <f>0+táj2!P243</f>
        <v>0</v>
      </c>
      <c r="Q243" s="578">
        <f t="shared" si="18"/>
        <v>3325000</v>
      </c>
      <c r="XDO243" s="1">
        <f>SUM(E243:XDN243)</f>
        <v>6801307</v>
      </c>
    </row>
    <row r="244" spans="1:17 16343:16343" ht="36.75" customHeight="1" x14ac:dyDescent="0.2">
      <c r="A244" s="45"/>
      <c r="B244" s="45"/>
      <c r="C244" s="145"/>
      <c r="D244" s="149" t="s">
        <v>707</v>
      </c>
      <c r="E244" s="69">
        <v>1</v>
      </c>
      <c r="F244" s="48">
        <v>151307</v>
      </c>
      <c r="G244" s="578">
        <f>0+táj2!G244</f>
        <v>0</v>
      </c>
      <c r="H244" s="578">
        <f>0+táj2!H244</f>
        <v>0</v>
      </c>
      <c r="I244" s="578">
        <f>10000000+táj2!I244</f>
        <v>9750000</v>
      </c>
      <c r="J244" s="578">
        <f>0+táj2!J244</f>
        <v>0</v>
      </c>
      <c r="K244" s="578">
        <f>0+táj2!K244</f>
        <v>0</v>
      </c>
      <c r="L244" s="578">
        <f>0+táj2!L244</f>
        <v>0</v>
      </c>
      <c r="M244" s="578">
        <f>0+táj2!M244</f>
        <v>0</v>
      </c>
      <c r="N244" s="578">
        <f>0+táj2!N244</f>
        <v>0</v>
      </c>
      <c r="O244" s="578">
        <f>0+táj2!O244</f>
        <v>0</v>
      </c>
      <c r="P244" s="578">
        <f>0+táj2!P244</f>
        <v>0</v>
      </c>
      <c r="Q244" s="578">
        <f t="shared" si="18"/>
        <v>9750000</v>
      </c>
      <c r="XDO244" s="1">
        <f>SUM(XDO242:XFD243)</f>
        <v>39316263</v>
      </c>
    </row>
    <row r="245" spans="1:17 16343:16343" ht="16.5" customHeight="1" x14ac:dyDescent="0.2">
      <c r="A245" s="45"/>
      <c r="B245" s="45"/>
      <c r="C245" s="145"/>
      <c r="D245" s="111" t="s">
        <v>708</v>
      </c>
      <c r="E245" s="69">
        <v>1</v>
      </c>
      <c r="F245" s="48">
        <v>151312</v>
      </c>
      <c r="G245" s="578">
        <f>0+táj2!G245</f>
        <v>0</v>
      </c>
      <c r="H245" s="578">
        <f>0+táj2!H245</f>
        <v>0</v>
      </c>
      <c r="I245" s="578">
        <f>500000+táj2!I245</f>
        <v>500000</v>
      </c>
      <c r="J245" s="578">
        <f>0+táj2!J245</f>
        <v>0</v>
      </c>
      <c r="K245" s="578">
        <f>0+táj2!K245</f>
        <v>0</v>
      </c>
      <c r="L245" s="578">
        <f>0+táj2!L245</f>
        <v>0</v>
      </c>
      <c r="M245" s="578">
        <f>0+táj2!M245</f>
        <v>0</v>
      </c>
      <c r="N245" s="578">
        <f>0+táj2!N245</f>
        <v>0</v>
      </c>
      <c r="O245" s="578">
        <f>0+táj2!O245</f>
        <v>0</v>
      </c>
      <c r="P245" s="578">
        <f>0+táj2!P245</f>
        <v>0</v>
      </c>
      <c r="Q245" s="578">
        <f t="shared" si="18"/>
        <v>500000</v>
      </c>
      <c r="XDO245" s="1">
        <f>SUM(E245:XDN245)</f>
        <v>1151313</v>
      </c>
    </row>
    <row r="246" spans="1:17 16343:16343" ht="16.149999999999999" customHeight="1" x14ac:dyDescent="0.2">
      <c r="A246" s="45"/>
      <c r="B246" s="45"/>
      <c r="C246" s="145"/>
      <c r="D246" s="149" t="s">
        <v>541</v>
      </c>
      <c r="E246" s="69">
        <v>1</v>
      </c>
      <c r="F246" s="48">
        <v>151302</v>
      </c>
      <c r="G246" s="578">
        <f>0+táj2!G246</f>
        <v>0</v>
      </c>
      <c r="H246" s="578">
        <f>0+táj2!H246</f>
        <v>0</v>
      </c>
      <c r="I246" s="578">
        <f>1330000+táj2!I246</f>
        <v>1580000</v>
      </c>
      <c r="J246" s="578">
        <f>0+táj2!J246</f>
        <v>0</v>
      </c>
      <c r="K246" s="578">
        <f>0+táj2!K246</f>
        <v>0</v>
      </c>
      <c r="L246" s="578">
        <f>0+táj2!L246</f>
        <v>0</v>
      </c>
      <c r="M246" s="578">
        <f>0+táj2!M246</f>
        <v>0</v>
      </c>
      <c r="N246" s="578">
        <f>0+táj2!N246</f>
        <v>0</v>
      </c>
      <c r="O246" s="578">
        <f>0+táj2!O246</f>
        <v>0</v>
      </c>
      <c r="P246" s="578">
        <f>0+táj2!P246</f>
        <v>0</v>
      </c>
      <c r="Q246" s="578">
        <f t="shared" si="18"/>
        <v>1580000</v>
      </c>
      <c r="XDO246" s="1">
        <f>SUM(E246:XDN246)</f>
        <v>3311303</v>
      </c>
    </row>
    <row r="247" spans="1:17 16343:16343" ht="27.75" customHeight="1" x14ac:dyDescent="0.2">
      <c r="A247" s="45"/>
      <c r="B247" s="45"/>
      <c r="C247" s="145"/>
      <c r="D247" s="196" t="s">
        <v>511</v>
      </c>
      <c r="E247" s="38">
        <v>1</v>
      </c>
      <c r="F247" s="58">
        <v>151321</v>
      </c>
      <c r="G247" s="578">
        <f>0+táj2!G247</f>
        <v>0</v>
      </c>
      <c r="H247" s="578">
        <f>0+táj2!H247</f>
        <v>0</v>
      </c>
      <c r="I247" s="578">
        <f>2090000+táj2!I247</f>
        <v>2090000</v>
      </c>
      <c r="J247" s="578">
        <f>0+táj2!J247</f>
        <v>0</v>
      </c>
      <c r="K247" s="578">
        <f>0+táj2!K247</f>
        <v>0</v>
      </c>
      <c r="L247" s="578">
        <f>0+táj2!L247</f>
        <v>0</v>
      </c>
      <c r="M247" s="578">
        <f>0+táj2!M247</f>
        <v>0</v>
      </c>
      <c r="N247" s="578">
        <f>0+táj2!N247</f>
        <v>0</v>
      </c>
      <c r="O247" s="578">
        <f>0+táj2!O247</f>
        <v>0</v>
      </c>
      <c r="P247" s="578">
        <f>0+táj2!P247</f>
        <v>0</v>
      </c>
      <c r="Q247" s="578">
        <f>SUM(G247:P247)</f>
        <v>2090000</v>
      </c>
      <c r="XDO247" s="1">
        <f>SUM(Q247)</f>
        <v>2090000</v>
      </c>
    </row>
    <row r="248" spans="1:17 16343:16343" ht="29.25" customHeight="1" x14ac:dyDescent="0.2">
      <c r="A248" s="45"/>
      <c r="B248" s="45"/>
      <c r="C248" s="95"/>
      <c r="D248" s="91" t="s">
        <v>369</v>
      </c>
      <c r="E248" s="57">
        <v>1</v>
      </c>
      <c r="F248" s="58">
        <v>151319</v>
      </c>
      <c r="G248" s="578">
        <f>0+táj2!G248</f>
        <v>0</v>
      </c>
      <c r="H248" s="578">
        <f>0+táj2!H248</f>
        <v>0</v>
      </c>
      <c r="I248" s="578">
        <f>2167011+táj2!I248</f>
        <v>2167011</v>
      </c>
      <c r="J248" s="578">
        <f>0+táj2!J248</f>
        <v>0</v>
      </c>
      <c r="K248" s="578">
        <f>0+táj2!K248</f>
        <v>0</v>
      </c>
      <c r="L248" s="578">
        <f>0+táj2!L248</f>
        <v>0</v>
      </c>
      <c r="M248" s="578">
        <f>0+táj2!M248</f>
        <v>0</v>
      </c>
      <c r="N248" s="578">
        <f>0+táj2!N248</f>
        <v>0</v>
      </c>
      <c r="O248" s="578">
        <f>0+táj2!O248</f>
        <v>0</v>
      </c>
      <c r="P248" s="578">
        <f>0+táj2!P248</f>
        <v>0</v>
      </c>
      <c r="Q248" s="578">
        <f t="shared" ref="Q248:Q249" si="19">SUM(G248:P248)</f>
        <v>2167011</v>
      </c>
      <c r="XDO248" s="1">
        <f>SUM(E248:XDN248)</f>
        <v>4485342</v>
      </c>
    </row>
    <row r="249" spans="1:17 16343:16343" ht="42" customHeight="1" x14ac:dyDescent="0.2">
      <c r="A249" s="45"/>
      <c r="B249" s="45"/>
      <c r="C249" s="95"/>
      <c r="D249" s="91" t="s">
        <v>786</v>
      </c>
      <c r="E249" s="57">
        <v>2</v>
      </c>
      <c r="F249" s="58">
        <v>151323</v>
      </c>
      <c r="G249" s="578">
        <f>0+táj2!G249</f>
        <v>0</v>
      </c>
      <c r="H249" s="578">
        <f>0+táj2!H249</f>
        <v>0</v>
      </c>
      <c r="I249" s="578">
        <f>0+táj2!I249</f>
        <v>0</v>
      </c>
      <c r="J249" s="578">
        <f>0+táj2!J249</f>
        <v>0</v>
      </c>
      <c r="K249" s="578">
        <f>100000+táj2!K249</f>
        <v>100000</v>
      </c>
      <c r="L249" s="578">
        <f>0+táj2!L249</f>
        <v>0</v>
      </c>
      <c r="M249" s="578">
        <f>0+táj2!M249</f>
        <v>0</v>
      </c>
      <c r="N249" s="578">
        <f>0+táj2!N249</f>
        <v>0</v>
      </c>
      <c r="O249" s="578">
        <f>0+táj2!O249</f>
        <v>0</v>
      </c>
      <c r="P249" s="578">
        <f>0+táj2!P249</f>
        <v>0</v>
      </c>
      <c r="Q249" s="578">
        <f t="shared" si="19"/>
        <v>100000</v>
      </c>
    </row>
    <row r="250" spans="1:17 16343:16343" ht="26.45" customHeight="1" x14ac:dyDescent="0.2">
      <c r="A250" s="45"/>
      <c r="B250" s="45"/>
      <c r="C250" s="95"/>
      <c r="D250" s="91" t="s">
        <v>370</v>
      </c>
      <c r="E250" s="103"/>
      <c r="F250" s="57"/>
      <c r="G250" s="578"/>
      <c r="H250" s="578"/>
      <c r="I250" s="578"/>
      <c r="J250" s="578"/>
      <c r="K250" s="578"/>
      <c r="L250" s="578"/>
      <c r="M250" s="578"/>
      <c r="N250" s="578"/>
      <c r="O250" s="578"/>
      <c r="P250" s="578"/>
      <c r="Q250" s="578"/>
    </row>
    <row r="251" spans="1:17 16343:16343" ht="14.1" customHeight="1" x14ac:dyDescent="0.2">
      <c r="A251" s="45"/>
      <c r="B251" s="45"/>
      <c r="C251" s="95"/>
      <c r="D251" s="90" t="s">
        <v>646</v>
      </c>
      <c r="E251" s="48">
        <v>1</v>
      </c>
      <c r="F251" s="48">
        <v>151703</v>
      </c>
      <c r="G251" s="578">
        <f>0+táj2!G251</f>
        <v>0</v>
      </c>
      <c r="H251" s="578">
        <f>0+táj2!H251</f>
        <v>0</v>
      </c>
      <c r="I251" s="578">
        <f>2106436+táj2!I251</f>
        <v>2106436</v>
      </c>
      <c r="J251" s="578">
        <f>0+táj2!J251</f>
        <v>0</v>
      </c>
      <c r="K251" s="578">
        <f>0+táj2!K251</f>
        <v>0</v>
      </c>
      <c r="L251" s="578">
        <f>850000+táj2!L251</f>
        <v>850000</v>
      </c>
      <c r="M251" s="578">
        <f>0+táj2!M251</f>
        <v>0</v>
      </c>
      <c r="N251" s="578">
        <f>0+táj2!N251</f>
        <v>0</v>
      </c>
      <c r="O251" s="578">
        <f>0+táj2!O251</f>
        <v>0</v>
      </c>
      <c r="P251" s="578">
        <f>0+táj2!P251</f>
        <v>0</v>
      </c>
      <c r="Q251" s="578">
        <f t="shared" ref="Q251:Q262" si="20">SUM(G251:P251)</f>
        <v>2956436</v>
      </c>
    </row>
    <row r="252" spans="1:17 16343:16343" ht="15" customHeight="1" x14ac:dyDescent="0.2">
      <c r="A252" s="45" t="s">
        <v>79</v>
      </c>
      <c r="B252" s="45"/>
      <c r="C252" s="95"/>
      <c r="D252" s="93" t="s">
        <v>180</v>
      </c>
      <c r="E252" s="66"/>
      <c r="F252" s="69"/>
      <c r="G252" s="578"/>
      <c r="H252" s="578"/>
      <c r="I252" s="578"/>
      <c r="J252" s="578"/>
      <c r="K252" s="578"/>
      <c r="L252" s="578"/>
      <c r="M252" s="578"/>
      <c r="N252" s="578"/>
      <c r="O252" s="578"/>
      <c r="P252" s="578"/>
      <c r="Q252" s="578"/>
    </row>
    <row r="253" spans="1:17 16343:16343" ht="15" customHeight="1" x14ac:dyDescent="0.2">
      <c r="A253" s="45"/>
      <c r="B253" s="45"/>
      <c r="C253" s="95"/>
      <c r="D253" s="93" t="s">
        <v>647</v>
      </c>
      <c r="E253" s="303">
        <v>1</v>
      </c>
      <c r="F253" s="48">
        <v>151702</v>
      </c>
      <c r="G253" s="578">
        <f>0+táj2!G253</f>
        <v>0</v>
      </c>
      <c r="H253" s="578">
        <f>0+táj2!H253</f>
        <v>0</v>
      </c>
      <c r="I253" s="578">
        <f>1500000+táj2!I253</f>
        <v>1500000</v>
      </c>
      <c r="J253" s="578">
        <f>0+táj2!J253</f>
        <v>0</v>
      </c>
      <c r="K253" s="578">
        <f>0+táj2!K253</f>
        <v>0</v>
      </c>
      <c r="L253" s="578">
        <f>0+táj2!L253</f>
        <v>0</v>
      </c>
      <c r="M253" s="578">
        <f>0+táj2!M253</f>
        <v>0</v>
      </c>
      <c r="N253" s="578">
        <f>0+táj2!N253</f>
        <v>0</v>
      </c>
      <c r="O253" s="578">
        <f>0+táj2!O253</f>
        <v>0</v>
      </c>
      <c r="P253" s="578">
        <f>0+táj2!P253</f>
        <v>0</v>
      </c>
      <c r="Q253" s="578">
        <f t="shared" si="20"/>
        <v>1500000</v>
      </c>
    </row>
    <row r="254" spans="1:17 16343:16343" ht="17.100000000000001" customHeight="1" x14ac:dyDescent="0.2">
      <c r="A254" s="45"/>
      <c r="B254" s="45"/>
      <c r="C254" s="95"/>
      <c r="D254" s="90" t="s">
        <v>1071</v>
      </c>
      <c r="E254" s="48">
        <v>1</v>
      </c>
      <c r="F254" s="48">
        <v>151601</v>
      </c>
      <c r="G254" s="578">
        <f>0+táj2!G254</f>
        <v>0</v>
      </c>
      <c r="H254" s="578">
        <f>0+táj2!H254</f>
        <v>0</v>
      </c>
      <c r="I254" s="578">
        <f>25764208+táj2!I254</f>
        <v>15548831</v>
      </c>
      <c r="J254" s="578">
        <f>0+táj2!J254</f>
        <v>0</v>
      </c>
      <c r="K254" s="578">
        <f>0+táj2!K254</f>
        <v>0</v>
      </c>
      <c r="L254" s="578">
        <f>0+táj2!L254</f>
        <v>0</v>
      </c>
      <c r="M254" s="578">
        <f>1182561+táj2!M254</f>
        <v>4987482</v>
      </c>
      <c r="N254" s="578">
        <f>0+táj2!N254</f>
        <v>0</v>
      </c>
      <c r="O254" s="578">
        <f>0+táj2!O254</f>
        <v>0</v>
      </c>
      <c r="P254" s="578">
        <f>0+táj2!P254</f>
        <v>0</v>
      </c>
      <c r="Q254" s="578">
        <f t="shared" si="20"/>
        <v>20536313</v>
      </c>
    </row>
    <row r="255" spans="1:17 16343:16343" ht="15" customHeight="1" x14ac:dyDescent="0.2">
      <c r="A255" s="45"/>
      <c r="B255" s="45"/>
      <c r="C255" s="95"/>
      <c r="D255" s="90" t="s">
        <v>644</v>
      </c>
      <c r="E255" s="48">
        <v>1</v>
      </c>
      <c r="F255" s="48">
        <v>151622</v>
      </c>
      <c r="G255" s="578">
        <f>0+táj2!G255</f>
        <v>0</v>
      </c>
      <c r="H255" s="578">
        <f>0+táj2!H255</f>
        <v>0</v>
      </c>
      <c r="I255" s="578">
        <f>1573995+táj2!I255</f>
        <v>1573995</v>
      </c>
      <c r="J255" s="578">
        <f>0+táj2!J255</f>
        <v>0</v>
      </c>
      <c r="K255" s="578">
        <f>0+táj2!K255</f>
        <v>0</v>
      </c>
      <c r="L255" s="578">
        <f>0+táj2!L255</f>
        <v>0</v>
      </c>
      <c r="M255" s="578">
        <f>0+táj2!M255</f>
        <v>0</v>
      </c>
      <c r="N255" s="578">
        <f>0+táj2!N255</f>
        <v>0</v>
      </c>
      <c r="O255" s="578">
        <f>0+táj2!O255</f>
        <v>0</v>
      </c>
      <c r="P255" s="578">
        <f>0+táj2!P255</f>
        <v>0</v>
      </c>
      <c r="Q255" s="578">
        <f t="shared" si="20"/>
        <v>1573995</v>
      </c>
    </row>
    <row r="256" spans="1:17 16343:16343" ht="13.9" customHeight="1" x14ac:dyDescent="0.2">
      <c r="A256" s="45"/>
      <c r="B256" s="45"/>
      <c r="C256" s="95"/>
      <c r="D256" s="90" t="s">
        <v>670</v>
      </c>
      <c r="E256" s="48">
        <v>1</v>
      </c>
      <c r="F256" s="48">
        <v>151607</v>
      </c>
      <c r="G256" s="578">
        <f>0+táj2!G256</f>
        <v>0</v>
      </c>
      <c r="H256" s="578">
        <f>0+táj2!H256</f>
        <v>0</v>
      </c>
      <c r="I256" s="578">
        <f>40863798+táj2!I256</f>
        <v>40863798</v>
      </c>
      <c r="J256" s="578">
        <f>0+táj2!J256</f>
        <v>0</v>
      </c>
      <c r="K256" s="578">
        <f>0+táj2!K256</f>
        <v>0</v>
      </c>
      <c r="L256" s="578">
        <f>0+táj2!L256</f>
        <v>0</v>
      </c>
      <c r="M256" s="578">
        <f>0+táj2!M256</f>
        <v>0</v>
      </c>
      <c r="N256" s="578">
        <f>0+táj2!N256</f>
        <v>0</v>
      </c>
      <c r="O256" s="578">
        <f>0+táj2!O256</f>
        <v>0</v>
      </c>
      <c r="P256" s="578">
        <f>0+táj2!P256</f>
        <v>0</v>
      </c>
      <c r="Q256" s="578">
        <f t="shared" si="20"/>
        <v>40863798</v>
      </c>
    </row>
    <row r="257" spans="1:17" ht="27" customHeight="1" x14ac:dyDescent="0.2">
      <c r="A257" s="45"/>
      <c r="B257" s="45"/>
      <c r="C257" s="95"/>
      <c r="D257" s="91" t="s">
        <v>371</v>
      </c>
      <c r="E257" s="69">
        <v>1</v>
      </c>
      <c r="F257" s="48">
        <v>151619</v>
      </c>
      <c r="G257" s="578">
        <f>0+táj2!G257</f>
        <v>0</v>
      </c>
      <c r="H257" s="578">
        <f>0+táj2!H257</f>
        <v>0</v>
      </c>
      <c r="I257" s="578">
        <f>29441000+táj2!I257</f>
        <v>29441000</v>
      </c>
      <c r="J257" s="578">
        <f>0+táj2!J257</f>
        <v>0</v>
      </c>
      <c r="K257" s="578">
        <f>0+táj2!K257</f>
        <v>0</v>
      </c>
      <c r="L257" s="578">
        <f>4480306+táj2!L257</f>
        <v>4480306</v>
      </c>
      <c r="M257" s="578">
        <f>8926005+táj2!M257</f>
        <v>8926005</v>
      </c>
      <c r="N257" s="578">
        <f>0+táj2!N257</f>
        <v>0</v>
      </c>
      <c r="O257" s="578">
        <f>0+táj2!O257</f>
        <v>0</v>
      </c>
      <c r="P257" s="578">
        <f>0+táj2!P257</f>
        <v>0</v>
      </c>
      <c r="Q257" s="578">
        <f t="shared" si="20"/>
        <v>42847311</v>
      </c>
    </row>
    <row r="258" spans="1:17" ht="17.100000000000001" customHeight="1" x14ac:dyDescent="0.2">
      <c r="A258" s="45"/>
      <c r="B258" s="45"/>
      <c r="C258" s="95"/>
      <c r="D258" s="90" t="s">
        <v>372</v>
      </c>
      <c r="E258" s="48">
        <v>1</v>
      </c>
      <c r="F258" s="48">
        <v>151603</v>
      </c>
      <c r="G258" s="578">
        <f>0+táj2!G258</f>
        <v>0</v>
      </c>
      <c r="H258" s="578">
        <f>0+táj2!H258</f>
        <v>0</v>
      </c>
      <c r="I258" s="578">
        <f>40513443+táj2!I258</f>
        <v>40513443</v>
      </c>
      <c r="J258" s="578">
        <f>0+táj2!J258</f>
        <v>0</v>
      </c>
      <c r="K258" s="578">
        <f>0+táj2!K258</f>
        <v>0</v>
      </c>
      <c r="L258" s="578">
        <f>317805+táj2!L258</f>
        <v>317805</v>
      </c>
      <c r="M258" s="578">
        <f>0+táj2!M258</f>
        <v>0</v>
      </c>
      <c r="N258" s="578">
        <f>0+táj2!N258</f>
        <v>0</v>
      </c>
      <c r="O258" s="578">
        <f>0+táj2!O258</f>
        <v>0</v>
      </c>
      <c r="P258" s="578">
        <f>0+táj2!P258</f>
        <v>0</v>
      </c>
      <c r="Q258" s="578">
        <f t="shared" si="20"/>
        <v>40831248</v>
      </c>
    </row>
    <row r="259" spans="1:17" ht="15.6" customHeight="1" x14ac:dyDescent="0.2">
      <c r="A259" s="45"/>
      <c r="B259" s="45"/>
      <c r="C259" s="95"/>
      <c r="D259" s="90" t="s">
        <v>373</v>
      </c>
      <c r="E259" s="48">
        <v>1</v>
      </c>
      <c r="F259" s="48">
        <v>151605</v>
      </c>
      <c r="G259" s="578">
        <f>0+táj2!G259</f>
        <v>0</v>
      </c>
      <c r="H259" s="578">
        <f>0+táj2!H259</f>
        <v>0</v>
      </c>
      <c r="I259" s="578">
        <f>115665899+táj2!I259</f>
        <v>115665899</v>
      </c>
      <c r="J259" s="578">
        <f>0+táj2!J259</f>
        <v>0</v>
      </c>
      <c r="K259" s="578">
        <f>0+táj2!K259</f>
        <v>0</v>
      </c>
      <c r="L259" s="578">
        <f>0+táj2!L259</f>
        <v>0</v>
      </c>
      <c r="M259" s="578">
        <f>0+táj2!M259</f>
        <v>0</v>
      </c>
      <c r="N259" s="578">
        <f>0+táj2!N259</f>
        <v>0</v>
      </c>
      <c r="O259" s="578">
        <f>0+táj2!O259</f>
        <v>0</v>
      </c>
      <c r="P259" s="578">
        <f>0+táj2!P259</f>
        <v>0</v>
      </c>
      <c r="Q259" s="578">
        <f t="shared" si="20"/>
        <v>115665899</v>
      </c>
    </row>
    <row r="260" spans="1:17" ht="15" customHeight="1" x14ac:dyDescent="0.2">
      <c r="A260" s="45"/>
      <c r="B260" s="45"/>
      <c r="C260" s="95"/>
      <c r="D260" s="90" t="s">
        <v>374</v>
      </c>
      <c r="E260" s="48">
        <v>1</v>
      </c>
      <c r="F260" s="48">
        <v>151608</v>
      </c>
      <c r="G260" s="578">
        <f>0+táj2!G260</f>
        <v>0</v>
      </c>
      <c r="H260" s="578">
        <f>0+táj2!H260</f>
        <v>0</v>
      </c>
      <c r="I260" s="578">
        <f>173812620+táj2!I260</f>
        <v>173812620</v>
      </c>
      <c r="J260" s="578">
        <f>0+táj2!J260</f>
        <v>0</v>
      </c>
      <c r="K260" s="578">
        <f>0+táj2!K260</f>
        <v>0</v>
      </c>
      <c r="L260" s="578">
        <f>0+táj2!L260</f>
        <v>0</v>
      </c>
      <c r="M260" s="578">
        <f>0+táj2!M260</f>
        <v>0</v>
      </c>
      <c r="N260" s="578">
        <f>0+táj2!N260</f>
        <v>0</v>
      </c>
      <c r="O260" s="578">
        <f>0+táj2!O260</f>
        <v>0</v>
      </c>
      <c r="P260" s="578">
        <f>0+táj2!P260</f>
        <v>0</v>
      </c>
      <c r="Q260" s="578">
        <f t="shared" si="20"/>
        <v>173812620</v>
      </c>
    </row>
    <row r="261" spans="1:17" ht="27" customHeight="1" x14ac:dyDescent="0.2">
      <c r="A261" s="45"/>
      <c r="B261" s="45"/>
      <c r="C261" s="95"/>
      <c r="D261" s="91" t="s">
        <v>982</v>
      </c>
      <c r="E261" s="48">
        <v>1</v>
      </c>
      <c r="F261" s="48">
        <v>151631</v>
      </c>
      <c r="G261" s="578">
        <f>0+táj2!G261</f>
        <v>0</v>
      </c>
      <c r="H261" s="578">
        <f>0+táj2!H261</f>
        <v>0</v>
      </c>
      <c r="I261" s="578">
        <f>20885085+táj2!I261</f>
        <v>20885085</v>
      </c>
      <c r="J261" s="578">
        <f>0+táj2!J261</f>
        <v>0</v>
      </c>
      <c r="K261" s="578">
        <f>0+táj2!K261</f>
        <v>0</v>
      </c>
      <c r="L261" s="578">
        <f>0+táj2!L261</f>
        <v>0</v>
      </c>
      <c r="M261" s="578">
        <f>0+táj2!M261</f>
        <v>0</v>
      </c>
      <c r="N261" s="578">
        <f>0+táj2!N261</f>
        <v>0</v>
      </c>
      <c r="O261" s="578">
        <f>0+táj2!O261</f>
        <v>0</v>
      </c>
      <c r="P261" s="578">
        <f>0+táj2!P261</f>
        <v>0</v>
      </c>
      <c r="Q261" s="578">
        <f t="shared" si="20"/>
        <v>20885085</v>
      </c>
    </row>
    <row r="262" spans="1:17" ht="12.95" customHeight="1" x14ac:dyDescent="0.2">
      <c r="A262" s="45"/>
      <c r="B262" s="45"/>
      <c r="C262" s="95"/>
      <c r="D262" s="74" t="s">
        <v>375</v>
      </c>
      <c r="E262" s="48">
        <v>1</v>
      </c>
      <c r="F262" s="48">
        <v>151612</v>
      </c>
      <c r="G262" s="578">
        <f>0+táj2!G262</f>
        <v>0</v>
      </c>
      <c r="H262" s="578">
        <f>0+táj2!H262</f>
        <v>0</v>
      </c>
      <c r="I262" s="578">
        <f>1900000+táj2!I262</f>
        <v>1900000</v>
      </c>
      <c r="J262" s="578">
        <f>0+táj2!J262</f>
        <v>0</v>
      </c>
      <c r="K262" s="578">
        <f>0+táj2!K262</f>
        <v>0</v>
      </c>
      <c r="L262" s="578">
        <f>0+táj2!L262</f>
        <v>0</v>
      </c>
      <c r="M262" s="578">
        <f>0+táj2!M262</f>
        <v>0</v>
      </c>
      <c r="N262" s="578">
        <f>0+táj2!N262</f>
        <v>0</v>
      </c>
      <c r="O262" s="578">
        <f>0+táj2!O262</f>
        <v>0</v>
      </c>
      <c r="P262" s="578">
        <f>0+táj2!P262</f>
        <v>0</v>
      </c>
      <c r="Q262" s="578">
        <f t="shared" si="20"/>
        <v>1900000</v>
      </c>
    </row>
    <row r="263" spans="1:17" ht="16.149999999999999" customHeight="1" x14ac:dyDescent="0.2">
      <c r="A263" s="45"/>
      <c r="B263" s="45"/>
      <c r="C263" s="95"/>
      <c r="D263" s="100" t="s">
        <v>345</v>
      </c>
      <c r="E263" s="94"/>
      <c r="F263" s="48"/>
      <c r="G263" s="578"/>
      <c r="H263" s="578"/>
      <c r="I263" s="578"/>
      <c r="J263" s="578"/>
      <c r="K263" s="578"/>
      <c r="L263" s="578"/>
      <c r="M263" s="578"/>
      <c r="N263" s="578"/>
      <c r="O263" s="578"/>
      <c r="P263" s="578"/>
      <c r="Q263" s="578"/>
    </row>
    <row r="264" spans="1:17" ht="24" customHeight="1" x14ac:dyDescent="0.2">
      <c r="A264" s="45"/>
      <c r="B264" s="45"/>
      <c r="C264" s="45"/>
      <c r="D264" s="91" t="s">
        <v>787</v>
      </c>
      <c r="E264" s="48">
        <v>1</v>
      </c>
      <c r="F264" s="48">
        <v>151505</v>
      </c>
      <c r="G264" s="578">
        <f>0+táj2!G264</f>
        <v>0</v>
      </c>
      <c r="H264" s="578">
        <f>0+táj2!H264</f>
        <v>0</v>
      </c>
      <c r="I264" s="578">
        <f>4870000+táj2!I264</f>
        <v>4870000</v>
      </c>
      <c r="J264" s="578">
        <f>0+táj2!J264</f>
        <v>0</v>
      </c>
      <c r="K264" s="578">
        <f>0+táj2!K264</f>
        <v>0</v>
      </c>
      <c r="L264" s="578">
        <f>0+táj2!L264</f>
        <v>0</v>
      </c>
      <c r="M264" s="578">
        <f>0+táj2!M264</f>
        <v>0</v>
      </c>
      <c r="N264" s="578">
        <f>0+táj2!N264</f>
        <v>0</v>
      </c>
      <c r="O264" s="578">
        <f>0+táj2!O264</f>
        <v>0</v>
      </c>
      <c r="P264" s="578">
        <f>0+táj2!P264</f>
        <v>0</v>
      </c>
      <c r="Q264" s="578">
        <f>SUM(G264:P264)</f>
        <v>4870000</v>
      </c>
    </row>
    <row r="265" spans="1:17" ht="16.5" customHeight="1" x14ac:dyDescent="0.2">
      <c r="A265" s="45"/>
      <c r="B265" s="45"/>
      <c r="C265" s="95"/>
      <c r="D265" s="93" t="s">
        <v>175</v>
      </c>
      <c r="E265" s="92"/>
      <c r="F265" s="69"/>
      <c r="G265" s="578"/>
      <c r="H265" s="578"/>
      <c r="I265" s="578"/>
      <c r="J265" s="578"/>
      <c r="K265" s="578"/>
      <c r="L265" s="578"/>
      <c r="M265" s="578"/>
      <c r="N265" s="578"/>
      <c r="O265" s="578"/>
      <c r="P265" s="578"/>
      <c r="Q265" s="578"/>
    </row>
    <row r="266" spans="1:17" ht="17.25" customHeight="1" x14ac:dyDescent="0.2">
      <c r="A266" s="45"/>
      <c r="B266" s="45"/>
      <c r="C266" s="95"/>
      <c r="D266" s="90" t="s">
        <v>788</v>
      </c>
      <c r="E266" s="48">
        <v>2</v>
      </c>
      <c r="F266" s="48">
        <v>151906</v>
      </c>
      <c r="G266" s="578">
        <f>0+táj2!G266</f>
        <v>0</v>
      </c>
      <c r="H266" s="578">
        <f>0+táj2!H266</f>
        <v>0</v>
      </c>
      <c r="I266" s="578">
        <f>73050250+táj2!I266</f>
        <v>73050250</v>
      </c>
      <c r="J266" s="578">
        <f>0+táj2!J266</f>
        <v>0</v>
      </c>
      <c r="K266" s="578">
        <f>0+táj2!K266</f>
        <v>0</v>
      </c>
      <c r="L266" s="578">
        <f>0+táj2!L266</f>
        <v>0</v>
      </c>
      <c r="M266" s="578">
        <f>0+táj2!M266</f>
        <v>0</v>
      </c>
      <c r="N266" s="578">
        <f>0+táj2!N266</f>
        <v>0</v>
      </c>
      <c r="O266" s="578">
        <f>0+táj2!O266</f>
        <v>0</v>
      </c>
      <c r="P266" s="578">
        <f>0+táj2!P266</f>
        <v>0</v>
      </c>
      <c r="Q266" s="578">
        <f>SUM(G266:P266)</f>
        <v>73050250</v>
      </c>
    </row>
    <row r="267" spans="1:17" ht="15.6" customHeight="1" x14ac:dyDescent="0.2">
      <c r="A267" s="45"/>
      <c r="B267" s="45"/>
      <c r="C267" s="95"/>
      <c r="D267" s="90" t="s">
        <v>789</v>
      </c>
      <c r="E267" s="48">
        <v>2</v>
      </c>
      <c r="F267" s="48">
        <v>151907</v>
      </c>
      <c r="G267" s="578">
        <f>0+táj2!G267</f>
        <v>0</v>
      </c>
      <c r="H267" s="578">
        <f>0+táj2!H267</f>
        <v>0</v>
      </c>
      <c r="I267" s="578">
        <f>266700000+táj2!I267</f>
        <v>266700000</v>
      </c>
      <c r="J267" s="578">
        <f>0+táj2!J267</f>
        <v>0</v>
      </c>
      <c r="K267" s="578">
        <f>0+táj2!K267</f>
        <v>0</v>
      </c>
      <c r="L267" s="578">
        <f>0+táj2!L267</f>
        <v>0</v>
      </c>
      <c r="M267" s="578">
        <f>0+táj2!M267</f>
        <v>0</v>
      </c>
      <c r="N267" s="578">
        <f>0+táj2!N267</f>
        <v>0</v>
      </c>
      <c r="O267" s="578">
        <f>0+táj2!O267</f>
        <v>0</v>
      </c>
      <c r="P267" s="578">
        <f>0+táj2!P267</f>
        <v>0</v>
      </c>
      <c r="Q267" s="578">
        <f>SUM(G267:P267)</f>
        <v>266700000</v>
      </c>
    </row>
    <row r="268" spans="1:17" ht="17.100000000000001" customHeight="1" x14ac:dyDescent="0.2">
      <c r="A268" s="45"/>
      <c r="B268" s="45"/>
      <c r="C268" s="95"/>
      <c r="D268" s="93" t="s">
        <v>376</v>
      </c>
      <c r="E268" s="92"/>
      <c r="F268" s="69"/>
      <c r="G268" s="578"/>
      <c r="H268" s="578"/>
      <c r="I268" s="578"/>
      <c r="J268" s="578"/>
      <c r="K268" s="578"/>
      <c r="L268" s="578"/>
      <c r="M268" s="578"/>
      <c r="N268" s="578"/>
      <c r="O268" s="578"/>
      <c r="P268" s="578"/>
      <c r="Q268" s="578"/>
    </row>
    <row r="269" spans="1:17" ht="27" customHeight="1" x14ac:dyDescent="0.2">
      <c r="A269" s="45"/>
      <c r="B269" s="45"/>
      <c r="C269" s="95"/>
      <c r="D269" s="96" t="s">
        <v>790</v>
      </c>
      <c r="E269" s="69">
        <v>1</v>
      </c>
      <c r="F269" s="48">
        <v>151801</v>
      </c>
      <c r="G269" s="578">
        <f>0+táj2!G269</f>
        <v>0</v>
      </c>
      <c r="H269" s="578">
        <f>0+táj2!H269</f>
        <v>0</v>
      </c>
      <c r="I269" s="578">
        <f>2000000+táj2!I269</f>
        <v>2000000</v>
      </c>
      <c r="J269" s="578">
        <f>0+táj2!J269</f>
        <v>0</v>
      </c>
      <c r="K269" s="578">
        <f>93000000+táj2!K269</f>
        <v>93000000</v>
      </c>
      <c r="L269" s="578">
        <f>0+táj2!L269</f>
        <v>0</v>
      </c>
      <c r="M269" s="578">
        <f>0+táj2!M269</f>
        <v>0</v>
      </c>
      <c r="N269" s="578">
        <f>0+táj2!N269</f>
        <v>0</v>
      </c>
      <c r="O269" s="578">
        <f>0+táj2!O269</f>
        <v>0</v>
      </c>
      <c r="P269" s="578">
        <f>0+táj2!P269</f>
        <v>0</v>
      </c>
      <c r="Q269" s="578">
        <f>SUM(G269:P269)</f>
        <v>95000000</v>
      </c>
    </row>
    <row r="270" spans="1:17" ht="17.100000000000001" customHeight="1" x14ac:dyDescent="0.2">
      <c r="A270" s="45"/>
      <c r="B270" s="45"/>
      <c r="C270" s="95"/>
      <c r="D270" s="93" t="s">
        <v>377</v>
      </c>
      <c r="E270" s="92"/>
      <c r="F270" s="69"/>
      <c r="G270" s="578"/>
      <c r="H270" s="578"/>
      <c r="I270" s="578"/>
      <c r="J270" s="578"/>
      <c r="K270" s="578"/>
      <c r="L270" s="578"/>
      <c r="M270" s="578"/>
      <c r="N270" s="578"/>
      <c r="O270" s="578"/>
      <c r="P270" s="578"/>
      <c r="Q270" s="578"/>
    </row>
    <row r="271" spans="1:17" ht="17.100000000000001" customHeight="1" x14ac:dyDescent="0.2">
      <c r="A271" s="45"/>
      <c r="B271" s="45"/>
      <c r="C271" s="95"/>
      <c r="D271" s="93" t="s">
        <v>791</v>
      </c>
      <c r="E271" s="69">
        <v>1</v>
      </c>
      <c r="F271" s="48">
        <v>151201</v>
      </c>
      <c r="G271" s="578">
        <f>0+táj2!G271</f>
        <v>0</v>
      </c>
      <c r="H271" s="578">
        <f>0+táj2!H271</f>
        <v>0</v>
      </c>
      <c r="I271" s="578">
        <f>336731195+táj2!I271</f>
        <v>336731195</v>
      </c>
      <c r="J271" s="578">
        <f>0+táj2!J271</f>
        <v>0</v>
      </c>
      <c r="K271" s="578">
        <f>0+táj2!K271</f>
        <v>0</v>
      </c>
      <c r="L271" s="578">
        <f>0+táj2!L271</f>
        <v>0</v>
      </c>
      <c r="M271" s="578">
        <f>0+táj2!M271</f>
        <v>0</v>
      </c>
      <c r="N271" s="578">
        <f>0+táj2!N271</f>
        <v>0</v>
      </c>
      <c r="O271" s="578">
        <f>0+táj2!O271</f>
        <v>0</v>
      </c>
      <c r="P271" s="578">
        <f>0+táj2!P271</f>
        <v>0</v>
      </c>
      <c r="Q271" s="578">
        <f t="shared" ref="Q271:Q289" si="21">SUM(G271:P271)</f>
        <v>336731195</v>
      </c>
    </row>
    <row r="272" spans="1:17" ht="17.100000000000001" customHeight="1" x14ac:dyDescent="0.2">
      <c r="A272" s="45"/>
      <c r="B272" s="45"/>
      <c r="C272" s="95"/>
      <c r="D272" s="93" t="s">
        <v>792</v>
      </c>
      <c r="E272" s="48">
        <v>1</v>
      </c>
      <c r="F272" s="48">
        <v>151209</v>
      </c>
      <c r="G272" s="578">
        <f>0+táj2!G272</f>
        <v>0</v>
      </c>
      <c r="H272" s="578">
        <f>0+táj2!H272</f>
        <v>0</v>
      </c>
      <c r="I272" s="578">
        <f>5559775+táj2!I272</f>
        <v>5559775</v>
      </c>
      <c r="J272" s="578">
        <f>0+táj2!J272</f>
        <v>0</v>
      </c>
      <c r="K272" s="578">
        <f>0+táj2!K272</f>
        <v>0</v>
      </c>
      <c r="L272" s="578">
        <f>0+táj2!L272</f>
        <v>0</v>
      </c>
      <c r="M272" s="578">
        <f>0+táj2!M272</f>
        <v>0</v>
      </c>
      <c r="N272" s="578">
        <f>0+táj2!N272</f>
        <v>0</v>
      </c>
      <c r="O272" s="578">
        <f>0+táj2!O272</f>
        <v>0</v>
      </c>
      <c r="P272" s="578">
        <f>0+táj2!P272</f>
        <v>0</v>
      </c>
      <c r="Q272" s="578">
        <f t="shared" si="21"/>
        <v>5559775</v>
      </c>
    </row>
    <row r="273" spans="1:17" ht="17.100000000000001" customHeight="1" x14ac:dyDescent="0.2">
      <c r="A273" s="45"/>
      <c r="B273" s="45"/>
      <c r="C273" s="95"/>
      <c r="D273" s="93" t="s">
        <v>709</v>
      </c>
      <c r="E273" s="69">
        <v>1</v>
      </c>
      <c r="F273" s="48">
        <v>151204</v>
      </c>
      <c r="G273" s="578">
        <f>0+táj2!G273</f>
        <v>0</v>
      </c>
      <c r="H273" s="578">
        <f>0+táj2!H273</f>
        <v>0</v>
      </c>
      <c r="I273" s="578">
        <f>2489200+táj2!I273</f>
        <v>2489200</v>
      </c>
      <c r="J273" s="578">
        <f>0+táj2!J273</f>
        <v>0</v>
      </c>
      <c r="K273" s="578">
        <f>0+táj2!K273</f>
        <v>0</v>
      </c>
      <c r="L273" s="578">
        <f>0+táj2!L273</f>
        <v>0</v>
      </c>
      <c r="M273" s="578">
        <f>0+táj2!M273</f>
        <v>0</v>
      </c>
      <c r="N273" s="578">
        <f>0+táj2!N273</f>
        <v>0</v>
      </c>
      <c r="O273" s="578">
        <f>0+táj2!O273</f>
        <v>0</v>
      </c>
      <c r="P273" s="578">
        <f>0+táj2!P273</f>
        <v>0</v>
      </c>
      <c r="Q273" s="578">
        <f t="shared" si="21"/>
        <v>2489200</v>
      </c>
    </row>
    <row r="274" spans="1:17" ht="17.100000000000001" customHeight="1" x14ac:dyDescent="0.2">
      <c r="A274" s="45"/>
      <c r="B274" s="45"/>
      <c r="C274" s="95"/>
      <c r="D274" s="93" t="s">
        <v>378</v>
      </c>
      <c r="E274" s="69">
        <v>1</v>
      </c>
      <c r="F274" s="48">
        <v>151202</v>
      </c>
      <c r="G274" s="578">
        <f>0+táj2!G274</f>
        <v>0</v>
      </c>
      <c r="H274" s="578">
        <f>0+táj2!H274</f>
        <v>0</v>
      </c>
      <c r="I274" s="578">
        <f>28861379+táj2!I274</f>
        <v>30894194</v>
      </c>
      <c r="J274" s="578">
        <f>0+táj2!J274</f>
        <v>0</v>
      </c>
      <c r="K274" s="578">
        <f>0+táj2!K274</f>
        <v>0</v>
      </c>
      <c r="L274" s="578">
        <f>0+táj2!L274</f>
        <v>0</v>
      </c>
      <c r="M274" s="578">
        <f>0+táj2!M274</f>
        <v>0</v>
      </c>
      <c r="N274" s="578">
        <f>0+táj2!N274</f>
        <v>0</v>
      </c>
      <c r="O274" s="578">
        <f>0+táj2!O274</f>
        <v>0</v>
      </c>
      <c r="P274" s="578">
        <f>0+táj2!P274</f>
        <v>0</v>
      </c>
      <c r="Q274" s="578">
        <f t="shared" si="21"/>
        <v>30894194</v>
      </c>
    </row>
    <row r="275" spans="1:17" ht="33.75" customHeight="1" x14ac:dyDescent="0.2">
      <c r="A275" s="45"/>
      <c r="B275" s="45"/>
      <c r="C275" s="95"/>
      <c r="D275" s="96" t="s">
        <v>542</v>
      </c>
      <c r="E275" s="69">
        <v>1</v>
      </c>
      <c r="F275" s="48">
        <v>151208</v>
      </c>
      <c r="G275" s="578">
        <f>0+táj2!G275</f>
        <v>0</v>
      </c>
      <c r="H275" s="578">
        <f>0+táj2!H275</f>
        <v>0</v>
      </c>
      <c r="I275" s="578">
        <f>6650000+táj2!I275</f>
        <v>6650000</v>
      </c>
      <c r="J275" s="578">
        <f>0+táj2!J275</f>
        <v>0</v>
      </c>
      <c r="K275" s="578">
        <f>0+táj2!K275</f>
        <v>0</v>
      </c>
      <c r="L275" s="578">
        <f>0+táj2!L275</f>
        <v>0</v>
      </c>
      <c r="M275" s="578">
        <f>0+táj2!M275</f>
        <v>0</v>
      </c>
      <c r="N275" s="578">
        <f>0+táj2!N275</f>
        <v>0</v>
      </c>
      <c r="O275" s="578">
        <f>0+táj2!O275</f>
        <v>0</v>
      </c>
      <c r="P275" s="578">
        <f>0+táj2!P275</f>
        <v>0</v>
      </c>
      <c r="Q275" s="578">
        <f t="shared" si="21"/>
        <v>6650000</v>
      </c>
    </row>
    <row r="276" spans="1:17" ht="17.100000000000001" customHeight="1" x14ac:dyDescent="0.2">
      <c r="A276" s="45"/>
      <c r="B276" s="45"/>
      <c r="C276" s="95"/>
      <c r="D276" s="93" t="s">
        <v>379</v>
      </c>
      <c r="E276" s="69">
        <v>1</v>
      </c>
      <c r="F276" s="48">
        <v>151205</v>
      </c>
      <c r="G276" s="578">
        <f>0+táj2!G276</f>
        <v>0</v>
      </c>
      <c r="H276" s="578">
        <f>0+táj2!H276</f>
        <v>0</v>
      </c>
      <c r="I276" s="578">
        <f>1008000+táj2!I276</f>
        <v>1008000</v>
      </c>
      <c r="J276" s="578">
        <f>0+táj2!J276</f>
        <v>0</v>
      </c>
      <c r="K276" s="578">
        <f>0+táj2!K276</f>
        <v>0</v>
      </c>
      <c r="L276" s="578">
        <f>0+táj2!L276</f>
        <v>0</v>
      </c>
      <c r="M276" s="578">
        <f>0+táj2!M276</f>
        <v>0</v>
      </c>
      <c r="N276" s="578">
        <f>0+táj2!N276</f>
        <v>0</v>
      </c>
      <c r="O276" s="578">
        <f>0+táj2!O276</f>
        <v>0</v>
      </c>
      <c r="P276" s="578">
        <f>0+táj2!P276</f>
        <v>0</v>
      </c>
      <c r="Q276" s="578">
        <f t="shared" si="21"/>
        <v>1008000</v>
      </c>
    </row>
    <row r="277" spans="1:17" ht="17.100000000000001" customHeight="1" x14ac:dyDescent="0.2">
      <c r="A277" s="45"/>
      <c r="B277" s="45"/>
      <c r="C277" s="95"/>
      <c r="D277" s="93" t="s">
        <v>671</v>
      </c>
      <c r="E277" s="92"/>
      <c r="F277" s="48"/>
      <c r="G277" s="578"/>
      <c r="H277" s="578"/>
      <c r="I277" s="578"/>
      <c r="J277" s="578"/>
      <c r="K277" s="578"/>
      <c r="L277" s="578"/>
      <c r="M277" s="578"/>
      <c r="N277" s="578"/>
      <c r="O277" s="578"/>
      <c r="P277" s="578"/>
      <c r="Q277" s="578"/>
    </row>
    <row r="278" spans="1:17" ht="17.100000000000001" customHeight="1" x14ac:dyDescent="0.2">
      <c r="A278" s="45"/>
      <c r="B278" s="45"/>
      <c r="C278" s="95"/>
      <c r="D278" s="93" t="s">
        <v>576</v>
      </c>
      <c r="E278" s="69">
        <v>1</v>
      </c>
      <c r="F278" s="48">
        <v>151902</v>
      </c>
      <c r="G278" s="578">
        <f>17084015+táj2!G278</f>
        <v>17084015</v>
      </c>
      <c r="H278" s="578">
        <f>2233524+táj2!H278</f>
        <v>2233524</v>
      </c>
      <c r="I278" s="578">
        <f>8242815+táj2!I278</f>
        <v>4750315</v>
      </c>
      <c r="J278" s="578">
        <f>0+táj2!J278</f>
        <v>0</v>
      </c>
      <c r="K278" s="578">
        <f>5000000+táj2!K278</f>
        <v>0</v>
      </c>
      <c r="L278" s="578">
        <f>0+táj2!L278</f>
        <v>0</v>
      </c>
      <c r="M278" s="578">
        <f>0+táj2!M278</f>
        <v>3492500</v>
      </c>
      <c r="N278" s="578">
        <f>0+táj2!N278</f>
        <v>0</v>
      </c>
      <c r="O278" s="578">
        <f>0+táj2!O278</f>
        <v>0</v>
      </c>
      <c r="P278" s="578">
        <f>0+táj2!P278</f>
        <v>0</v>
      </c>
      <c r="Q278" s="578">
        <f t="shared" si="21"/>
        <v>27560354</v>
      </c>
    </row>
    <row r="279" spans="1:17" ht="24.75" customHeight="1" x14ac:dyDescent="0.2">
      <c r="A279" s="634"/>
      <c r="B279" s="634"/>
      <c r="C279" s="466"/>
      <c r="D279" s="756" t="s">
        <v>1062</v>
      </c>
      <c r="E279" s="755">
        <v>2</v>
      </c>
      <c r="F279" s="560">
        <v>151932</v>
      </c>
      <c r="G279" s="684">
        <f>0+táj2!G279</f>
        <v>0</v>
      </c>
      <c r="H279" s="684">
        <f>0+táj2!H279</f>
        <v>0</v>
      </c>
      <c r="I279" s="684">
        <f>0+táj2!I279</f>
        <v>0</v>
      </c>
      <c r="J279" s="684">
        <f>0+táj2!J279</f>
        <v>0</v>
      </c>
      <c r="K279" s="684">
        <f>0+táj2!K279</f>
        <v>4000000</v>
      </c>
      <c r="L279" s="684">
        <f>0+táj2!L279</f>
        <v>0</v>
      </c>
      <c r="M279" s="684">
        <f>0+táj2!M279</f>
        <v>0</v>
      </c>
      <c r="N279" s="684">
        <f>0+táj2!N279</f>
        <v>0</v>
      </c>
      <c r="O279" s="684">
        <f>0+táj2!O279</f>
        <v>0</v>
      </c>
      <c r="P279" s="684">
        <f>0+táj2!P279</f>
        <v>0</v>
      </c>
      <c r="Q279" s="578">
        <f t="shared" si="21"/>
        <v>4000000</v>
      </c>
    </row>
    <row r="280" spans="1:17" ht="27" customHeight="1" x14ac:dyDescent="0.2">
      <c r="A280" s="634"/>
      <c r="B280" s="634"/>
      <c r="C280" s="466"/>
      <c r="D280" s="756" t="s">
        <v>1063</v>
      </c>
      <c r="E280" s="755">
        <v>2</v>
      </c>
      <c r="F280" s="560">
        <v>151933</v>
      </c>
      <c r="G280" s="684">
        <f>0+táj2!G280</f>
        <v>0</v>
      </c>
      <c r="H280" s="684">
        <f>0+táj2!H280</f>
        <v>0</v>
      </c>
      <c r="I280" s="684">
        <f>0+táj2!I280</f>
        <v>0</v>
      </c>
      <c r="J280" s="684">
        <f>0+táj2!J280</f>
        <v>0</v>
      </c>
      <c r="K280" s="684">
        <f>0+táj2!K280</f>
        <v>1000000</v>
      </c>
      <c r="L280" s="684">
        <f>0+táj2!L280</f>
        <v>0</v>
      </c>
      <c r="M280" s="684">
        <f>0+táj2!M280</f>
        <v>0</v>
      </c>
      <c r="N280" s="684">
        <f>0+táj2!N280</f>
        <v>0</v>
      </c>
      <c r="O280" s="684">
        <f>0+táj2!O280</f>
        <v>0</v>
      </c>
      <c r="P280" s="684">
        <f>0+táj2!P280</f>
        <v>0</v>
      </c>
      <c r="Q280" s="578">
        <f t="shared" si="21"/>
        <v>1000000</v>
      </c>
    </row>
    <row r="281" spans="1:17" ht="28.5" customHeight="1" x14ac:dyDescent="0.2">
      <c r="A281" s="45"/>
      <c r="B281" s="45"/>
      <c r="C281" s="95"/>
      <c r="D281" s="96" t="s">
        <v>793</v>
      </c>
      <c r="E281" s="69">
        <v>1</v>
      </c>
      <c r="F281" s="48">
        <v>151925</v>
      </c>
      <c r="G281" s="578">
        <f>0+táj2!G281</f>
        <v>0</v>
      </c>
      <c r="H281" s="578">
        <f>0+táj2!H281</f>
        <v>0</v>
      </c>
      <c r="I281" s="578">
        <f>2000000+táj2!I281</f>
        <v>2000000</v>
      </c>
      <c r="J281" s="578">
        <f>0+táj2!J281</f>
        <v>0</v>
      </c>
      <c r="K281" s="578">
        <f>0+táj2!K281</f>
        <v>0</v>
      </c>
      <c r="L281" s="578">
        <f>0+táj2!L281</f>
        <v>0</v>
      </c>
      <c r="M281" s="578">
        <f>0+táj2!M281</f>
        <v>0</v>
      </c>
      <c r="N281" s="578">
        <f>0+táj2!N281</f>
        <v>0</v>
      </c>
      <c r="O281" s="578">
        <f>0+táj2!O281</f>
        <v>0</v>
      </c>
      <c r="P281" s="578">
        <f>0+táj2!P281</f>
        <v>0</v>
      </c>
      <c r="Q281" s="578">
        <f t="shared" si="21"/>
        <v>2000000</v>
      </c>
    </row>
    <row r="282" spans="1:17" ht="25.5" customHeight="1" x14ac:dyDescent="0.2">
      <c r="A282" s="45"/>
      <c r="B282" s="45"/>
      <c r="C282" s="95"/>
      <c r="D282" s="91" t="s">
        <v>181</v>
      </c>
      <c r="E282" s="103"/>
      <c r="F282" s="57"/>
      <c r="G282" s="578"/>
      <c r="H282" s="578"/>
      <c r="I282" s="578"/>
      <c r="J282" s="578"/>
      <c r="K282" s="578"/>
      <c r="L282" s="578"/>
      <c r="M282" s="578"/>
      <c r="N282" s="578"/>
      <c r="O282" s="578"/>
      <c r="P282" s="578"/>
      <c r="Q282" s="578"/>
    </row>
    <row r="283" spans="1:17" ht="25.9" customHeight="1" x14ac:dyDescent="0.2">
      <c r="A283" s="45"/>
      <c r="B283" s="45"/>
      <c r="C283" s="95"/>
      <c r="D283" s="91" t="s">
        <v>380</v>
      </c>
      <c r="E283" s="57">
        <v>2</v>
      </c>
      <c r="F283" s="58">
        <v>151910</v>
      </c>
      <c r="G283" s="578">
        <f>0+táj2!G283</f>
        <v>0</v>
      </c>
      <c r="H283" s="578">
        <f>0+táj2!H283</f>
        <v>0</v>
      </c>
      <c r="I283" s="578">
        <f>296089000+táj2!I283</f>
        <v>296089000</v>
      </c>
      <c r="J283" s="578">
        <f>0+táj2!J283</f>
        <v>0</v>
      </c>
      <c r="K283" s="578">
        <f>0+táj2!K283</f>
        <v>0</v>
      </c>
      <c r="L283" s="578">
        <f>0+táj2!L283</f>
        <v>0</v>
      </c>
      <c r="M283" s="578">
        <f>0+táj2!M283</f>
        <v>0</v>
      </c>
      <c r="N283" s="578">
        <f>0+táj2!N283</f>
        <v>0</v>
      </c>
      <c r="O283" s="578">
        <f>0+táj2!O283</f>
        <v>0</v>
      </c>
      <c r="P283" s="578">
        <f>0+táj2!P283</f>
        <v>0</v>
      </c>
      <c r="Q283" s="578">
        <f t="shared" si="21"/>
        <v>296089000</v>
      </c>
    </row>
    <row r="284" spans="1:17" ht="27" customHeight="1" x14ac:dyDescent="0.2">
      <c r="A284" s="45"/>
      <c r="B284" s="45"/>
      <c r="C284" s="95"/>
      <c r="D284" s="91" t="s">
        <v>196</v>
      </c>
      <c r="E284" s="103"/>
      <c r="F284" s="57"/>
      <c r="G284" s="578"/>
      <c r="H284" s="578"/>
      <c r="I284" s="578"/>
      <c r="J284" s="578"/>
      <c r="K284" s="578"/>
      <c r="L284" s="578"/>
      <c r="M284" s="578"/>
      <c r="N284" s="578"/>
      <c r="O284" s="578"/>
      <c r="P284" s="578"/>
      <c r="Q284" s="578"/>
    </row>
    <row r="285" spans="1:17" ht="37.5" customHeight="1" x14ac:dyDescent="0.2">
      <c r="A285" s="45"/>
      <c r="B285" s="45"/>
      <c r="C285" s="95"/>
      <c r="D285" s="91" t="s">
        <v>381</v>
      </c>
      <c r="E285" s="57">
        <v>1</v>
      </c>
      <c r="F285" s="58">
        <v>152915</v>
      </c>
      <c r="G285" s="578">
        <f>0+táj2!G285</f>
        <v>0</v>
      </c>
      <c r="H285" s="578">
        <f>0+táj2!H285</f>
        <v>0</v>
      </c>
      <c r="I285" s="578">
        <f>29108618+táj2!I285</f>
        <v>29108618</v>
      </c>
      <c r="J285" s="578">
        <f>0+táj2!J285</f>
        <v>0</v>
      </c>
      <c r="K285" s="578">
        <f>0+táj2!K285</f>
        <v>0</v>
      </c>
      <c r="L285" s="578">
        <f>0+táj2!L285</f>
        <v>0</v>
      </c>
      <c r="M285" s="578">
        <f>3107309+táj2!M285</f>
        <v>3107309</v>
      </c>
      <c r="N285" s="578">
        <f>0+táj2!N285</f>
        <v>0</v>
      </c>
      <c r="O285" s="578">
        <f>0+táj2!O285</f>
        <v>0</v>
      </c>
      <c r="P285" s="578">
        <f>0+táj2!P285</f>
        <v>0</v>
      </c>
      <c r="Q285" s="578">
        <f t="shared" si="21"/>
        <v>32215927</v>
      </c>
    </row>
    <row r="286" spans="1:17" ht="27" customHeight="1" x14ac:dyDescent="0.2">
      <c r="A286" s="634"/>
      <c r="B286" s="634"/>
      <c r="C286" s="466"/>
      <c r="D286" s="489" t="s">
        <v>1034</v>
      </c>
      <c r="E286" s="731"/>
      <c r="F286" s="714"/>
      <c r="G286" s="684"/>
      <c r="H286" s="684"/>
      <c r="I286" s="684"/>
      <c r="J286" s="684"/>
      <c r="K286" s="684"/>
      <c r="L286" s="684"/>
      <c r="M286" s="684"/>
      <c r="N286" s="684"/>
      <c r="O286" s="684"/>
      <c r="P286" s="684"/>
      <c r="Q286" s="684"/>
    </row>
    <row r="287" spans="1:17" ht="21" customHeight="1" x14ac:dyDescent="0.2">
      <c r="A287" s="634"/>
      <c r="B287" s="634"/>
      <c r="C287" s="466"/>
      <c r="D287" s="489" t="s">
        <v>1035</v>
      </c>
      <c r="E287" s="731">
        <v>1</v>
      </c>
      <c r="F287" s="714">
        <v>151427</v>
      </c>
      <c r="G287" s="684">
        <f>táj2!G287</f>
        <v>0</v>
      </c>
      <c r="H287" s="684">
        <f>táj2!H287</f>
        <v>0</v>
      </c>
      <c r="I287" s="684">
        <f>80000000+táj2!I287</f>
        <v>80000000</v>
      </c>
      <c r="J287" s="684">
        <f>táj2!J287</f>
        <v>0</v>
      </c>
      <c r="K287" s="684">
        <f>táj2!K287</f>
        <v>0</v>
      </c>
      <c r="L287" s="684">
        <f>táj2!L287</f>
        <v>0</v>
      </c>
      <c r="M287" s="684">
        <f>táj2!M287</f>
        <v>0</v>
      </c>
      <c r="N287" s="684">
        <f>táj2!N287</f>
        <v>0</v>
      </c>
      <c r="O287" s="684">
        <f>táj2!O287</f>
        <v>0</v>
      </c>
      <c r="P287" s="684">
        <f>táj2!P287</f>
        <v>0</v>
      </c>
      <c r="Q287" s="684">
        <f>SUM(G287:P287)</f>
        <v>80000000</v>
      </c>
    </row>
    <row r="288" spans="1:17" ht="17.100000000000001" customHeight="1" x14ac:dyDescent="0.2">
      <c r="A288" s="45"/>
      <c r="B288" s="45"/>
      <c r="C288" s="95"/>
      <c r="D288" s="93" t="s">
        <v>382</v>
      </c>
      <c r="E288" s="92"/>
      <c r="F288" s="69"/>
      <c r="G288" s="578"/>
      <c r="H288" s="578"/>
      <c r="I288" s="578"/>
      <c r="J288" s="578"/>
      <c r="K288" s="578"/>
      <c r="L288" s="578"/>
      <c r="M288" s="578"/>
      <c r="N288" s="578"/>
      <c r="O288" s="578"/>
      <c r="P288" s="578"/>
      <c r="Q288" s="578"/>
    </row>
    <row r="289" spans="1:17" ht="17.100000000000001" customHeight="1" x14ac:dyDescent="0.2">
      <c r="A289" s="45"/>
      <c r="B289" s="45"/>
      <c r="C289" s="95"/>
      <c r="D289" s="93" t="s">
        <v>383</v>
      </c>
      <c r="E289" s="48">
        <v>1</v>
      </c>
      <c r="F289" s="48">
        <v>151704</v>
      </c>
      <c r="G289" s="578">
        <f>0+táj2!G289</f>
        <v>0</v>
      </c>
      <c r="H289" s="578">
        <f>0+táj2!H289</f>
        <v>0</v>
      </c>
      <c r="I289" s="578">
        <f>0+táj2!I289</f>
        <v>0</v>
      </c>
      <c r="J289" s="578">
        <f>0+táj2!J289</f>
        <v>0</v>
      </c>
      <c r="K289" s="578">
        <f>5708143+táj2!K289</f>
        <v>5708143</v>
      </c>
      <c r="L289" s="578">
        <f>0+táj2!L289</f>
        <v>0</v>
      </c>
      <c r="M289" s="578">
        <f>0+táj2!M289</f>
        <v>0</v>
      </c>
      <c r="N289" s="578">
        <f>0+táj2!N289</f>
        <v>0</v>
      </c>
      <c r="O289" s="578">
        <f>0+táj2!O289</f>
        <v>0</v>
      </c>
      <c r="P289" s="578">
        <f>0+táj2!P289</f>
        <v>0</v>
      </c>
      <c r="Q289" s="578">
        <f t="shared" si="21"/>
        <v>5708143</v>
      </c>
    </row>
    <row r="290" spans="1:17" ht="20.25" customHeight="1" x14ac:dyDescent="0.2">
      <c r="A290" s="136"/>
      <c r="B290" s="136"/>
      <c r="C290" s="136"/>
      <c r="D290" s="197" t="s">
        <v>384</v>
      </c>
      <c r="E290" s="139"/>
      <c r="F290" s="68"/>
      <c r="G290" s="575">
        <f t="shared" ref="G290:Q290" si="22">SUM(G200:G289)</f>
        <v>17089729</v>
      </c>
      <c r="H290" s="575">
        <f t="shared" si="22"/>
        <v>2235506</v>
      </c>
      <c r="I290" s="575">
        <f t="shared" si="22"/>
        <v>2857765837</v>
      </c>
      <c r="J290" s="575">
        <f t="shared" si="22"/>
        <v>0</v>
      </c>
      <c r="K290" s="575">
        <f t="shared" si="22"/>
        <v>1792852143</v>
      </c>
      <c r="L290" s="575">
        <f t="shared" si="22"/>
        <v>9772045</v>
      </c>
      <c r="M290" s="575">
        <f t="shared" si="22"/>
        <v>26837120</v>
      </c>
      <c r="N290" s="575">
        <f t="shared" si="22"/>
        <v>0</v>
      </c>
      <c r="O290" s="575">
        <f t="shared" si="22"/>
        <v>0</v>
      </c>
      <c r="P290" s="575">
        <f t="shared" si="22"/>
        <v>0</v>
      </c>
      <c r="Q290" s="575">
        <f t="shared" si="22"/>
        <v>4706552380</v>
      </c>
    </row>
    <row r="291" spans="1:17" ht="17.100000000000001" customHeight="1" x14ac:dyDescent="0.2">
      <c r="A291" s="51"/>
      <c r="B291" s="51"/>
      <c r="C291" s="51"/>
      <c r="D291" s="98" t="s">
        <v>250</v>
      </c>
      <c r="E291" s="94"/>
      <c r="F291" s="52"/>
      <c r="G291" s="576"/>
      <c r="H291" s="576"/>
      <c r="I291" s="576"/>
      <c r="J291" s="576"/>
      <c r="K291" s="576"/>
      <c r="L291" s="576"/>
      <c r="M291" s="576"/>
      <c r="N291" s="576"/>
      <c r="O291" s="576"/>
      <c r="P291" s="576"/>
      <c r="Q291" s="576"/>
    </row>
    <row r="292" spans="1:17" ht="17.25" customHeight="1" x14ac:dyDescent="0.2">
      <c r="A292" s="51"/>
      <c r="B292" s="51"/>
      <c r="C292" s="471" t="s">
        <v>83</v>
      </c>
      <c r="D292" s="198" t="s">
        <v>385</v>
      </c>
      <c r="E292" s="116"/>
      <c r="F292" s="52"/>
      <c r="G292" s="578"/>
      <c r="H292" s="578"/>
      <c r="I292" s="578"/>
      <c r="J292" s="578"/>
      <c r="K292" s="578"/>
      <c r="L292" s="578"/>
      <c r="M292" s="578"/>
      <c r="N292" s="578"/>
      <c r="O292" s="578"/>
      <c r="P292" s="578"/>
      <c r="Q292" s="576"/>
    </row>
    <row r="293" spans="1:17" ht="17.25" customHeight="1" x14ac:dyDescent="0.2">
      <c r="A293" s="203"/>
      <c r="B293" s="203"/>
      <c r="C293" s="268"/>
      <c r="D293" s="208" t="s">
        <v>746</v>
      </c>
      <c r="E293" s="201"/>
      <c r="F293" s="200"/>
      <c r="G293" s="580"/>
      <c r="H293" s="580"/>
      <c r="I293" s="580"/>
      <c r="J293" s="580"/>
      <c r="K293" s="580"/>
      <c r="L293" s="580"/>
      <c r="M293" s="580"/>
      <c r="N293" s="580"/>
      <c r="O293" s="580"/>
      <c r="P293" s="580"/>
      <c r="Q293" s="580"/>
    </row>
    <row r="294" spans="1:17" ht="17.25" customHeight="1" x14ac:dyDescent="0.2">
      <c r="A294" s="51"/>
      <c r="B294" s="51"/>
      <c r="C294" s="199" t="s">
        <v>853</v>
      </c>
      <c r="D294" s="304" t="s">
        <v>710</v>
      </c>
      <c r="E294" s="201">
        <v>1</v>
      </c>
      <c r="F294" s="201">
        <v>152112</v>
      </c>
      <c r="G294" s="580">
        <f>0+táj2!G294</f>
        <v>0</v>
      </c>
      <c r="H294" s="580">
        <f>0+táj2!H294</f>
        <v>0</v>
      </c>
      <c r="I294" s="580">
        <f>0+táj2!I294</f>
        <v>0</v>
      </c>
      <c r="J294" s="580">
        <f>0+táj2!J294</f>
        <v>0</v>
      </c>
      <c r="K294" s="580">
        <f>0+táj2!K294</f>
        <v>0</v>
      </c>
      <c r="L294" s="580">
        <f>0+táj2!L294</f>
        <v>0</v>
      </c>
      <c r="M294" s="580">
        <f>15061486+táj2!M294</f>
        <v>15061486</v>
      </c>
      <c r="N294" s="580">
        <f>0+táj2!N294</f>
        <v>0</v>
      </c>
      <c r="O294" s="580">
        <f>0+táj2!O294</f>
        <v>0</v>
      </c>
      <c r="P294" s="580">
        <f>0+táj2!P294</f>
        <v>0</v>
      </c>
      <c r="Q294" s="580">
        <f t="shared" ref="Q294:Q309" si="23">SUM(G294:P294)</f>
        <v>15061486</v>
      </c>
    </row>
    <row r="295" spans="1:17" ht="17.25" customHeight="1" x14ac:dyDescent="0.2">
      <c r="A295" s="203"/>
      <c r="B295" s="203"/>
      <c r="C295" s="472" t="s">
        <v>82</v>
      </c>
      <c r="D295" s="204" t="s">
        <v>386</v>
      </c>
      <c r="E295" s="201"/>
      <c r="F295" s="201"/>
      <c r="G295" s="580"/>
      <c r="H295" s="580"/>
      <c r="I295" s="580"/>
      <c r="J295" s="580"/>
      <c r="K295" s="580"/>
      <c r="L295" s="580"/>
      <c r="M295" s="580"/>
      <c r="N295" s="580"/>
      <c r="O295" s="580"/>
      <c r="P295" s="580"/>
      <c r="Q295" s="580"/>
    </row>
    <row r="296" spans="1:17" ht="17.25" customHeight="1" x14ac:dyDescent="0.2">
      <c r="A296" s="203"/>
      <c r="B296" s="203"/>
      <c r="C296" s="310" t="s">
        <v>84</v>
      </c>
      <c r="D296" s="206" t="s">
        <v>387</v>
      </c>
      <c r="E296" s="201"/>
      <c r="F296" s="200"/>
      <c r="G296" s="580"/>
      <c r="H296" s="580"/>
      <c r="I296" s="580"/>
      <c r="J296" s="580"/>
      <c r="K296" s="580"/>
      <c r="L296" s="580"/>
      <c r="M296" s="580"/>
      <c r="N296" s="580"/>
      <c r="O296" s="580"/>
      <c r="P296" s="580"/>
      <c r="Q296" s="580"/>
    </row>
    <row r="297" spans="1:17" ht="17.25" customHeight="1" x14ac:dyDescent="0.2">
      <c r="A297" s="203"/>
      <c r="B297" s="203"/>
      <c r="C297" s="205"/>
      <c r="D297" s="208" t="s">
        <v>746</v>
      </c>
      <c r="E297" s="201"/>
      <c r="F297" s="200"/>
      <c r="G297" s="580"/>
      <c r="H297" s="580"/>
      <c r="I297" s="580"/>
      <c r="J297" s="580"/>
      <c r="K297" s="580"/>
      <c r="L297" s="580"/>
      <c r="M297" s="580"/>
      <c r="N297" s="580"/>
      <c r="O297" s="580"/>
      <c r="P297" s="580"/>
      <c r="Q297" s="580"/>
    </row>
    <row r="298" spans="1:17" ht="17.25" customHeight="1" x14ac:dyDescent="0.2">
      <c r="A298" s="203"/>
      <c r="B298" s="203"/>
      <c r="C298" s="305" t="s">
        <v>388</v>
      </c>
      <c r="D298" s="511" t="s">
        <v>389</v>
      </c>
      <c r="E298" s="201">
        <v>1</v>
      </c>
      <c r="F298" s="201">
        <v>152301</v>
      </c>
      <c r="G298" s="580">
        <f>0+táj2!G298</f>
        <v>0</v>
      </c>
      <c r="H298" s="580">
        <f>0+táj2!H298</f>
        <v>0</v>
      </c>
      <c r="I298" s="580">
        <f>0+táj2!I298</f>
        <v>0</v>
      </c>
      <c r="J298" s="580">
        <f>0+táj2!J298</f>
        <v>0</v>
      </c>
      <c r="K298" s="580">
        <f>0+táj2!K298</f>
        <v>0</v>
      </c>
      <c r="L298" s="580">
        <f>4456630+táj2!L298</f>
        <v>8720122</v>
      </c>
      <c r="M298" s="580">
        <f>6537320+táj2!M298</f>
        <v>6537320</v>
      </c>
      <c r="N298" s="580">
        <f>0+táj2!N298</f>
        <v>0</v>
      </c>
      <c r="O298" s="580">
        <f>0+táj2!O298</f>
        <v>0</v>
      </c>
      <c r="P298" s="580">
        <f>0+táj2!P298</f>
        <v>0</v>
      </c>
      <c r="Q298" s="580">
        <f t="shared" si="23"/>
        <v>15257442</v>
      </c>
    </row>
    <row r="299" spans="1:17" ht="28.5" customHeight="1" x14ac:dyDescent="0.2">
      <c r="A299" s="203"/>
      <c r="B299" s="203"/>
      <c r="C299" s="305" t="s">
        <v>660</v>
      </c>
      <c r="D299" s="306" t="s">
        <v>711</v>
      </c>
      <c r="E299" s="201">
        <v>1</v>
      </c>
      <c r="F299" s="201">
        <v>154302</v>
      </c>
      <c r="G299" s="580">
        <f>0+táj2!G299</f>
        <v>0</v>
      </c>
      <c r="H299" s="580">
        <f>0+táj2!H299</f>
        <v>0</v>
      </c>
      <c r="I299" s="580">
        <f>0+táj2!I299</f>
        <v>0</v>
      </c>
      <c r="J299" s="580">
        <f>0+táj2!J299</f>
        <v>0</v>
      </c>
      <c r="K299" s="580">
        <f>0+táj2!K299</f>
        <v>0</v>
      </c>
      <c r="L299" s="580">
        <f>0+táj2!L299</f>
        <v>0</v>
      </c>
      <c r="M299" s="580">
        <f>22169209+táj2!M299</f>
        <v>22169209</v>
      </c>
      <c r="N299" s="580">
        <f>0+táj2!N299</f>
        <v>0</v>
      </c>
      <c r="O299" s="580">
        <f>0+táj2!O299</f>
        <v>0</v>
      </c>
      <c r="P299" s="580">
        <f>0+táj2!P299</f>
        <v>0</v>
      </c>
      <c r="Q299" s="580">
        <f t="shared" si="23"/>
        <v>22169209</v>
      </c>
    </row>
    <row r="300" spans="1:17" ht="17.25" customHeight="1" x14ac:dyDescent="0.2">
      <c r="A300" s="203"/>
      <c r="B300" s="203"/>
      <c r="C300" s="310" t="s">
        <v>85</v>
      </c>
      <c r="D300" s="209" t="s">
        <v>951</v>
      </c>
      <c r="E300" s="201"/>
      <c r="F300" s="201"/>
      <c r="G300" s="580"/>
      <c r="H300" s="580"/>
      <c r="I300" s="580"/>
      <c r="J300" s="580"/>
      <c r="K300" s="580"/>
      <c r="L300" s="580"/>
      <c r="M300" s="580"/>
      <c r="N300" s="580"/>
      <c r="O300" s="580"/>
      <c r="P300" s="580"/>
      <c r="Q300" s="580"/>
    </row>
    <row r="301" spans="1:17" ht="17.25" customHeight="1" x14ac:dyDescent="0.2">
      <c r="A301" s="203"/>
      <c r="B301" s="203"/>
      <c r="C301" s="39"/>
      <c r="D301" s="208" t="s">
        <v>746</v>
      </c>
      <c r="E301" s="201"/>
      <c r="F301" s="201"/>
      <c r="G301" s="580"/>
      <c r="H301" s="580"/>
      <c r="I301" s="580"/>
      <c r="J301" s="580"/>
      <c r="K301" s="580"/>
      <c r="L301" s="580"/>
      <c r="M301" s="580"/>
      <c r="N301" s="580"/>
      <c r="O301" s="580"/>
      <c r="P301" s="580"/>
      <c r="Q301" s="580"/>
    </row>
    <row r="302" spans="1:17" ht="17.25" customHeight="1" x14ac:dyDescent="0.2">
      <c r="A302" s="203"/>
      <c r="B302" s="203"/>
      <c r="C302" s="28" t="s">
        <v>854</v>
      </c>
      <c r="D302" s="307" t="s">
        <v>712</v>
      </c>
      <c r="E302" s="201">
        <v>1</v>
      </c>
      <c r="F302" s="201">
        <v>152459</v>
      </c>
      <c r="G302" s="580">
        <f>0+táj2!G302</f>
        <v>0</v>
      </c>
      <c r="H302" s="580">
        <f>0+táj2!H302</f>
        <v>0</v>
      </c>
      <c r="I302" s="580">
        <f>0+táj2!I302</f>
        <v>0</v>
      </c>
      <c r="J302" s="580">
        <f>0+táj2!J302</f>
        <v>0</v>
      </c>
      <c r="K302" s="580">
        <f>0+táj2!K302</f>
        <v>0</v>
      </c>
      <c r="L302" s="580">
        <f>6696516+táj2!L302</f>
        <v>6696516</v>
      </c>
      <c r="M302" s="580">
        <f>0+táj2!M302</f>
        <v>0</v>
      </c>
      <c r="N302" s="580">
        <f>0+táj2!N302</f>
        <v>0</v>
      </c>
      <c r="O302" s="580">
        <f>0+táj2!O302</f>
        <v>0</v>
      </c>
      <c r="P302" s="580">
        <f>0+táj2!P302</f>
        <v>0</v>
      </c>
      <c r="Q302" s="580">
        <f t="shared" si="23"/>
        <v>6696516</v>
      </c>
    </row>
    <row r="303" spans="1:17" ht="17.25" customHeight="1" x14ac:dyDescent="0.2">
      <c r="A303" s="203"/>
      <c r="B303" s="203"/>
      <c r="C303" s="28" t="s">
        <v>856</v>
      </c>
      <c r="D303" s="307" t="s">
        <v>713</v>
      </c>
      <c r="E303" s="201">
        <v>1</v>
      </c>
      <c r="F303" s="201">
        <v>154476</v>
      </c>
      <c r="G303" s="580">
        <f>0+táj2!G303</f>
        <v>0</v>
      </c>
      <c r="H303" s="580">
        <f>0+táj2!H303</f>
        <v>0</v>
      </c>
      <c r="I303" s="580">
        <f>0+táj2!I303</f>
        <v>0</v>
      </c>
      <c r="J303" s="580">
        <f>0+táj2!J303</f>
        <v>0</v>
      </c>
      <c r="K303" s="580">
        <f>0+táj2!K303</f>
        <v>0</v>
      </c>
      <c r="L303" s="580">
        <f>3529616+táj2!L303</f>
        <v>3529616</v>
      </c>
      <c r="M303" s="580">
        <f>0+táj2!M303</f>
        <v>0</v>
      </c>
      <c r="N303" s="580">
        <f>0+táj2!N303</f>
        <v>0</v>
      </c>
      <c r="O303" s="580">
        <f>0+táj2!O303</f>
        <v>0</v>
      </c>
      <c r="P303" s="580">
        <f>0+táj2!P303</f>
        <v>0</v>
      </c>
      <c r="Q303" s="580">
        <f t="shared" si="23"/>
        <v>3529616</v>
      </c>
    </row>
    <row r="304" spans="1:17" ht="25.15" customHeight="1" x14ac:dyDescent="0.2">
      <c r="A304" s="203"/>
      <c r="B304" s="203"/>
      <c r="C304" s="28" t="s">
        <v>857</v>
      </c>
      <c r="D304" s="307" t="s">
        <v>714</v>
      </c>
      <c r="E304" s="201">
        <v>2</v>
      </c>
      <c r="F304" s="201">
        <v>152468</v>
      </c>
      <c r="G304" s="580">
        <f>0+táj2!G304</f>
        <v>0</v>
      </c>
      <c r="H304" s="580">
        <f>0+táj2!H304</f>
        <v>0</v>
      </c>
      <c r="I304" s="580">
        <f>2234902+táj2!I304</f>
        <v>2234902</v>
      </c>
      <c r="J304" s="580">
        <f>0+táj2!J304</f>
        <v>0</v>
      </c>
      <c r="K304" s="580">
        <f>0+táj2!K304</f>
        <v>0</v>
      </c>
      <c r="L304" s="580">
        <f>0+táj2!L304</f>
        <v>0</v>
      </c>
      <c r="M304" s="580">
        <f>0+táj2!M304</f>
        <v>0</v>
      </c>
      <c r="N304" s="580">
        <f>0+táj2!N304</f>
        <v>0</v>
      </c>
      <c r="O304" s="580">
        <f>0+táj2!O304</f>
        <v>0</v>
      </c>
      <c r="P304" s="580">
        <f>0+táj2!P304</f>
        <v>0</v>
      </c>
      <c r="Q304" s="580">
        <f t="shared" si="23"/>
        <v>2234902</v>
      </c>
    </row>
    <row r="305" spans="1:17" ht="17.25" customHeight="1" x14ac:dyDescent="0.2">
      <c r="A305" s="203"/>
      <c r="B305" s="203"/>
      <c r="C305" s="28" t="s">
        <v>858</v>
      </c>
      <c r="D305" s="308" t="s">
        <v>715</v>
      </c>
      <c r="E305" s="201">
        <v>1</v>
      </c>
      <c r="F305" s="201">
        <v>154925</v>
      </c>
      <c r="G305" s="580">
        <f>0+táj2!G305</f>
        <v>0</v>
      </c>
      <c r="H305" s="580">
        <f>0+táj2!H305</f>
        <v>0</v>
      </c>
      <c r="I305" s="580">
        <f>0+táj2!I305</f>
        <v>0</v>
      </c>
      <c r="J305" s="580">
        <f>0+táj2!J305</f>
        <v>0</v>
      </c>
      <c r="K305" s="580">
        <f>0+táj2!K305</f>
        <v>0</v>
      </c>
      <c r="L305" s="580">
        <f>0+táj2!L305</f>
        <v>0</v>
      </c>
      <c r="M305" s="580">
        <f>4317000+táj2!M305</f>
        <v>4317000</v>
      </c>
      <c r="N305" s="580">
        <f>0+táj2!N305</f>
        <v>0</v>
      </c>
      <c r="O305" s="580">
        <f>0+táj2!O305</f>
        <v>0</v>
      </c>
      <c r="P305" s="580">
        <f>0+táj2!P305</f>
        <v>0</v>
      </c>
      <c r="Q305" s="580">
        <f t="shared" si="23"/>
        <v>4317000</v>
      </c>
    </row>
    <row r="306" spans="1:17" ht="15.75" customHeight="1" x14ac:dyDescent="0.2">
      <c r="A306" s="203"/>
      <c r="B306" s="203"/>
      <c r="C306" s="28" t="s">
        <v>859</v>
      </c>
      <c r="D306" s="309" t="s">
        <v>716</v>
      </c>
      <c r="E306" s="201">
        <v>1</v>
      </c>
      <c r="F306" s="201">
        <v>154478</v>
      </c>
      <c r="G306" s="580">
        <f>0+táj2!G306</f>
        <v>0</v>
      </c>
      <c r="H306" s="580">
        <f>0+táj2!H306</f>
        <v>0</v>
      </c>
      <c r="I306" s="580">
        <f>0+táj2!I306</f>
        <v>0</v>
      </c>
      <c r="J306" s="580">
        <f>0+táj2!J306</f>
        <v>0</v>
      </c>
      <c r="K306" s="580">
        <f>0+táj2!K306</f>
        <v>0</v>
      </c>
      <c r="L306" s="580">
        <f>0+táj2!L306</f>
        <v>0</v>
      </c>
      <c r="M306" s="580">
        <f>13309600+táj2!M306</f>
        <v>13309600</v>
      </c>
      <c r="N306" s="580">
        <f>0+táj2!N306</f>
        <v>0</v>
      </c>
      <c r="O306" s="580">
        <f>0+táj2!O306</f>
        <v>0</v>
      </c>
      <c r="P306" s="580">
        <f>0+táj2!P306</f>
        <v>0</v>
      </c>
      <c r="Q306" s="580">
        <f t="shared" si="23"/>
        <v>13309600</v>
      </c>
    </row>
    <row r="307" spans="1:17" ht="25.5" customHeight="1" x14ac:dyDescent="0.2">
      <c r="A307" s="203"/>
      <c r="B307" s="203"/>
      <c r="C307" s="28" t="s">
        <v>860</v>
      </c>
      <c r="D307" s="309" t="s">
        <v>717</v>
      </c>
      <c r="E307" s="201">
        <v>1</v>
      </c>
      <c r="F307" s="201">
        <v>152454</v>
      </c>
      <c r="G307" s="580">
        <f>0+táj2!G307</f>
        <v>0</v>
      </c>
      <c r="H307" s="580">
        <f>0+táj2!H307</f>
        <v>0</v>
      </c>
      <c r="I307" s="580">
        <f>0+táj2!I307</f>
        <v>0</v>
      </c>
      <c r="J307" s="580">
        <f>0+táj2!J307</f>
        <v>0</v>
      </c>
      <c r="K307" s="580">
        <f>0+táj2!K307</f>
        <v>0</v>
      </c>
      <c r="L307" s="580">
        <f>0+táj2!L307</f>
        <v>0</v>
      </c>
      <c r="M307" s="580">
        <f>8295640+táj2!M307</f>
        <v>8295640</v>
      </c>
      <c r="N307" s="580">
        <f>0+táj2!N307</f>
        <v>0</v>
      </c>
      <c r="O307" s="580">
        <f>0+táj2!O307</f>
        <v>0</v>
      </c>
      <c r="P307" s="580">
        <f>0+táj2!P307</f>
        <v>0</v>
      </c>
      <c r="Q307" s="580">
        <f t="shared" si="23"/>
        <v>8295640</v>
      </c>
    </row>
    <row r="308" spans="1:17" ht="15.75" customHeight="1" x14ac:dyDescent="0.2">
      <c r="A308" s="203"/>
      <c r="B308" s="203"/>
      <c r="C308" s="28" t="s">
        <v>861</v>
      </c>
      <c r="D308" s="309" t="s">
        <v>718</v>
      </c>
      <c r="E308" s="201">
        <v>1</v>
      </c>
      <c r="F308" s="201">
        <v>154417</v>
      </c>
      <c r="G308" s="580">
        <f>0+táj2!G308</f>
        <v>0</v>
      </c>
      <c r="H308" s="580">
        <f>0+táj2!H308</f>
        <v>0</v>
      </c>
      <c r="I308" s="580">
        <f>0+táj2!I308</f>
        <v>0</v>
      </c>
      <c r="J308" s="580">
        <f>0+táj2!J308</f>
        <v>0</v>
      </c>
      <c r="K308" s="580">
        <f>0+táj2!K308</f>
        <v>0</v>
      </c>
      <c r="L308" s="580">
        <f>0+táj2!L308</f>
        <v>0</v>
      </c>
      <c r="M308" s="580">
        <f>8021003+táj2!M308</f>
        <v>8021003</v>
      </c>
      <c r="N308" s="580">
        <f>0+táj2!N308</f>
        <v>0</v>
      </c>
      <c r="O308" s="580">
        <f>0+táj2!O308</f>
        <v>0</v>
      </c>
      <c r="P308" s="580">
        <f>0+táj2!P308</f>
        <v>0</v>
      </c>
      <c r="Q308" s="580">
        <f t="shared" si="23"/>
        <v>8021003</v>
      </c>
    </row>
    <row r="309" spans="1:17" ht="17.25" customHeight="1" x14ac:dyDescent="0.2">
      <c r="A309" s="203"/>
      <c r="B309" s="203"/>
      <c r="C309" s="28" t="s">
        <v>862</v>
      </c>
      <c r="D309" s="311" t="s">
        <v>598</v>
      </c>
      <c r="E309" s="201">
        <v>1</v>
      </c>
      <c r="F309" s="201">
        <v>154455</v>
      </c>
      <c r="G309" s="580">
        <f>0+táj2!G309</f>
        <v>0</v>
      </c>
      <c r="H309" s="580">
        <f>0+táj2!H309</f>
        <v>0</v>
      </c>
      <c r="I309" s="580">
        <f>0+táj2!I309</f>
        <v>0</v>
      </c>
      <c r="J309" s="580">
        <f>0+táj2!J309</f>
        <v>0</v>
      </c>
      <c r="K309" s="580">
        <f>0+táj2!K309</f>
        <v>0</v>
      </c>
      <c r="L309" s="580">
        <f>0+táj2!L309</f>
        <v>0</v>
      </c>
      <c r="M309" s="580">
        <f>25646839+táj2!M309</f>
        <v>25646839</v>
      </c>
      <c r="N309" s="580">
        <f>0+táj2!N309</f>
        <v>0</v>
      </c>
      <c r="O309" s="580">
        <f>0+táj2!O309</f>
        <v>0</v>
      </c>
      <c r="P309" s="580">
        <f>0+táj2!P309</f>
        <v>0</v>
      </c>
      <c r="Q309" s="580">
        <f t="shared" si="23"/>
        <v>25646839</v>
      </c>
    </row>
    <row r="310" spans="1:17" ht="27.75" customHeight="1" x14ac:dyDescent="0.2">
      <c r="A310" s="203"/>
      <c r="B310" s="203"/>
      <c r="C310" s="28" t="s">
        <v>863</v>
      </c>
      <c r="D310" s="512" t="s">
        <v>391</v>
      </c>
      <c r="E310" s="116">
        <v>1</v>
      </c>
      <c r="F310" s="48">
        <v>152405</v>
      </c>
      <c r="G310" s="580">
        <f>0+táj2!G310</f>
        <v>0</v>
      </c>
      <c r="H310" s="580">
        <f>0+táj2!H310</f>
        <v>0</v>
      </c>
      <c r="I310" s="580">
        <f>76200+táj2!I310</f>
        <v>76200</v>
      </c>
      <c r="J310" s="580">
        <f>0+táj2!J310</f>
        <v>0</v>
      </c>
      <c r="K310" s="580">
        <f>0+táj2!K310</f>
        <v>0</v>
      </c>
      <c r="L310" s="580">
        <f>3668400+táj2!L310</f>
        <v>3668400</v>
      </c>
      <c r="M310" s="580">
        <f>0+táj2!M310</f>
        <v>0</v>
      </c>
      <c r="N310" s="580">
        <f>0+táj2!N310</f>
        <v>0</v>
      </c>
      <c r="O310" s="580">
        <f>0+táj2!O310</f>
        <v>0</v>
      </c>
      <c r="P310" s="580">
        <f>0+táj2!P310</f>
        <v>0</v>
      </c>
      <c r="Q310" s="578">
        <f t="shared" ref="Q310:Q324" si="24">SUM(G310:P310)</f>
        <v>3744600</v>
      </c>
    </row>
    <row r="311" spans="1:17" ht="15" customHeight="1" x14ac:dyDescent="0.2">
      <c r="A311" s="51"/>
      <c r="B311" s="51"/>
      <c r="C311" s="28" t="s">
        <v>855</v>
      </c>
      <c r="D311" s="312" t="s">
        <v>390</v>
      </c>
      <c r="E311" s="116">
        <v>1</v>
      </c>
      <c r="F311" s="48">
        <v>155427</v>
      </c>
      <c r="G311" s="580">
        <f>0+táj2!G311</f>
        <v>0</v>
      </c>
      <c r="H311" s="580">
        <f>0+táj2!H311</f>
        <v>0</v>
      </c>
      <c r="I311" s="580">
        <f>0+táj2!I311</f>
        <v>0</v>
      </c>
      <c r="J311" s="580">
        <f>0+táj2!J311</f>
        <v>0</v>
      </c>
      <c r="K311" s="580">
        <f>0+táj2!K311</f>
        <v>0</v>
      </c>
      <c r="L311" s="580">
        <f>0+táj2!L311</f>
        <v>0</v>
      </c>
      <c r="M311" s="580">
        <f>4834446+táj2!M311</f>
        <v>4834446</v>
      </c>
      <c r="N311" s="580">
        <f>0+táj2!N311</f>
        <v>0</v>
      </c>
      <c r="O311" s="580">
        <f>0+táj2!O311</f>
        <v>0</v>
      </c>
      <c r="P311" s="580">
        <f>0+táj2!P311</f>
        <v>0</v>
      </c>
      <c r="Q311" s="578">
        <f t="shared" si="24"/>
        <v>4834446</v>
      </c>
    </row>
    <row r="312" spans="1:17" ht="15.6" customHeight="1" x14ac:dyDescent="0.2">
      <c r="A312" s="51"/>
      <c r="B312" s="51"/>
      <c r="C312" s="473" t="s">
        <v>73</v>
      </c>
      <c r="D312" s="109" t="s">
        <v>392</v>
      </c>
      <c r="E312" s="116"/>
      <c r="F312" s="52"/>
      <c r="G312" s="580"/>
      <c r="H312" s="578"/>
      <c r="I312" s="578"/>
      <c r="J312" s="578"/>
      <c r="K312" s="578"/>
      <c r="L312" s="578"/>
      <c r="M312" s="578"/>
      <c r="N312" s="578"/>
      <c r="O312" s="578"/>
      <c r="P312" s="578"/>
      <c r="Q312" s="578"/>
    </row>
    <row r="313" spans="1:17" ht="15.6" customHeight="1" x14ac:dyDescent="0.2">
      <c r="A313" s="203"/>
      <c r="B313" s="203"/>
      <c r="C313" s="210"/>
      <c r="D313" s="208" t="s">
        <v>746</v>
      </c>
      <c r="E313" s="257"/>
      <c r="F313" s="269"/>
      <c r="G313" s="580"/>
      <c r="H313" s="589"/>
      <c r="I313" s="589"/>
      <c r="J313" s="589"/>
      <c r="K313" s="589"/>
      <c r="L313" s="589"/>
      <c r="M313" s="589"/>
      <c r="N313" s="589"/>
      <c r="O313" s="589"/>
      <c r="P313" s="589"/>
      <c r="Q313" s="589"/>
    </row>
    <row r="314" spans="1:17" ht="17.25" customHeight="1" x14ac:dyDescent="0.2">
      <c r="A314" s="101"/>
      <c r="B314" s="101"/>
      <c r="C314" s="29" t="s">
        <v>393</v>
      </c>
      <c r="D314" s="93" t="s">
        <v>605</v>
      </c>
      <c r="E314" s="116">
        <v>1</v>
      </c>
      <c r="F314" s="89">
        <v>152574</v>
      </c>
      <c r="G314" s="580">
        <f>0+táj2!G314</f>
        <v>0</v>
      </c>
      <c r="H314" s="580">
        <f>0+táj2!H314</f>
        <v>0</v>
      </c>
      <c r="I314" s="580">
        <f>0+táj2!I314</f>
        <v>0</v>
      </c>
      <c r="J314" s="580">
        <f>0+táj2!J314</f>
        <v>0</v>
      </c>
      <c r="K314" s="580">
        <f>0+táj2!K314</f>
        <v>0</v>
      </c>
      <c r="L314" s="580">
        <f>3560830+táj2!L314</f>
        <v>3560830</v>
      </c>
      <c r="M314" s="580">
        <f>2849880+táj2!M314</f>
        <v>2849880</v>
      </c>
      <c r="N314" s="580">
        <f>0+táj2!N314</f>
        <v>0</v>
      </c>
      <c r="O314" s="580">
        <f>0+táj2!O314</f>
        <v>0</v>
      </c>
      <c r="P314" s="580">
        <f>0+táj2!P314</f>
        <v>0</v>
      </c>
      <c r="Q314" s="590">
        <f t="shared" si="24"/>
        <v>6410710</v>
      </c>
    </row>
    <row r="315" spans="1:17" ht="30" customHeight="1" x14ac:dyDescent="0.2">
      <c r="A315" s="101"/>
      <c r="B315" s="101"/>
      <c r="C315" s="29" t="s">
        <v>864</v>
      </c>
      <c r="D315" s="513" t="s">
        <v>719</v>
      </c>
      <c r="E315" s="116"/>
      <c r="F315" s="89">
        <v>152562</v>
      </c>
      <c r="G315" s="580">
        <f>0+táj2!G315</f>
        <v>0</v>
      </c>
      <c r="H315" s="580">
        <f>0+táj2!H315</f>
        <v>0</v>
      </c>
      <c r="I315" s="580">
        <f>200000+táj2!I315</f>
        <v>200000</v>
      </c>
      <c r="J315" s="580">
        <f>0+táj2!J315</f>
        <v>0</v>
      </c>
      <c r="K315" s="580">
        <f>0+táj2!K315</f>
        <v>0</v>
      </c>
      <c r="L315" s="580">
        <f>9816798+táj2!L315</f>
        <v>9816798</v>
      </c>
      <c r="M315" s="580">
        <f>6844000+táj2!M315</f>
        <v>6844000</v>
      </c>
      <c r="N315" s="580">
        <f>0+táj2!N315</f>
        <v>0</v>
      </c>
      <c r="O315" s="580">
        <f>0+táj2!O315</f>
        <v>0</v>
      </c>
      <c r="P315" s="580">
        <f>0+táj2!P315</f>
        <v>0</v>
      </c>
      <c r="Q315" s="590">
        <f t="shared" si="24"/>
        <v>16860798</v>
      </c>
    </row>
    <row r="316" spans="1:17" ht="14.45" customHeight="1" x14ac:dyDescent="0.2">
      <c r="A316" s="101"/>
      <c r="B316" s="101"/>
      <c r="C316" s="474" t="s">
        <v>74</v>
      </c>
      <c r="D316" s="212" t="s">
        <v>394</v>
      </c>
      <c r="E316" s="116"/>
      <c r="F316" s="211"/>
      <c r="G316" s="580"/>
      <c r="H316" s="590"/>
      <c r="I316" s="590"/>
      <c r="J316" s="590"/>
      <c r="K316" s="590"/>
      <c r="L316" s="590"/>
      <c r="M316" s="590"/>
      <c r="N316" s="590"/>
      <c r="O316" s="590"/>
      <c r="P316" s="590"/>
      <c r="Q316" s="590"/>
    </row>
    <row r="317" spans="1:17" ht="14.45" customHeight="1" x14ac:dyDescent="0.2">
      <c r="A317" s="101"/>
      <c r="B317" s="101"/>
      <c r="C317" s="305" t="s">
        <v>75</v>
      </c>
      <c r="D317" s="213" t="s">
        <v>395</v>
      </c>
      <c r="E317" s="116"/>
      <c r="F317" s="211"/>
      <c r="G317" s="580"/>
      <c r="H317" s="590"/>
      <c r="I317" s="590"/>
      <c r="J317" s="590"/>
      <c r="K317" s="590"/>
      <c r="L317" s="590"/>
      <c r="M317" s="590"/>
      <c r="N317" s="590"/>
      <c r="O317" s="590"/>
      <c r="P317" s="590"/>
      <c r="Q317" s="590"/>
    </row>
    <row r="318" spans="1:17" ht="15" customHeight="1" x14ac:dyDescent="0.2">
      <c r="A318" s="101"/>
      <c r="B318" s="101"/>
      <c r="C318" s="214" t="s">
        <v>606</v>
      </c>
      <c r="D318" s="514" t="s">
        <v>396</v>
      </c>
      <c r="E318" s="46">
        <v>1</v>
      </c>
      <c r="F318" s="48">
        <v>152801</v>
      </c>
      <c r="G318" s="580">
        <f>0+táj2!G318</f>
        <v>0</v>
      </c>
      <c r="H318" s="580">
        <f>0+táj2!H318</f>
        <v>0</v>
      </c>
      <c r="I318" s="580">
        <f>450000+táj2!I318</f>
        <v>450000</v>
      </c>
      <c r="J318" s="580">
        <f>0+táj2!J318</f>
        <v>0</v>
      </c>
      <c r="K318" s="580">
        <f>0+táj2!K318</f>
        <v>0</v>
      </c>
      <c r="L318" s="580">
        <f>966200+táj2!L318</f>
        <v>966200</v>
      </c>
      <c r="M318" s="580">
        <f>9661000+táj2!M318</f>
        <v>9661000</v>
      </c>
      <c r="N318" s="580">
        <f>0+táj2!N318</f>
        <v>0</v>
      </c>
      <c r="O318" s="580">
        <f>0+táj2!O318</f>
        <v>0</v>
      </c>
      <c r="P318" s="580">
        <f>0+táj2!P318</f>
        <v>0</v>
      </c>
      <c r="Q318" s="578">
        <f t="shared" si="24"/>
        <v>11077200</v>
      </c>
    </row>
    <row r="319" spans="1:17" ht="15.6" customHeight="1" x14ac:dyDescent="0.2">
      <c r="A319" s="51"/>
      <c r="B319" s="51"/>
      <c r="C319" s="475" t="s">
        <v>76</v>
      </c>
      <c r="D319" s="313" t="s">
        <v>397</v>
      </c>
      <c r="E319" s="46"/>
      <c r="F319" s="48"/>
      <c r="G319" s="580"/>
      <c r="H319" s="578"/>
      <c r="I319" s="578"/>
      <c r="J319" s="578"/>
      <c r="K319" s="578"/>
      <c r="L319" s="578"/>
      <c r="M319" s="578"/>
      <c r="N319" s="578"/>
      <c r="O319" s="578"/>
      <c r="P319" s="578"/>
      <c r="Q319" s="578"/>
    </row>
    <row r="320" spans="1:17" ht="15.6" customHeight="1" x14ac:dyDescent="0.2">
      <c r="A320" s="203"/>
      <c r="B320" s="203"/>
      <c r="C320" s="491"/>
      <c r="D320" s="208" t="s">
        <v>746</v>
      </c>
      <c r="E320" s="257"/>
      <c r="F320" s="258"/>
      <c r="G320" s="580"/>
      <c r="H320" s="589"/>
      <c r="I320" s="589"/>
      <c r="J320" s="589"/>
      <c r="K320" s="589"/>
      <c r="L320" s="589"/>
      <c r="M320" s="589"/>
      <c r="N320" s="589"/>
      <c r="O320" s="589"/>
      <c r="P320" s="589"/>
      <c r="Q320" s="589"/>
    </row>
    <row r="321" spans="1:17" ht="17.25" customHeight="1" x14ac:dyDescent="0.2">
      <c r="A321" s="51"/>
      <c r="B321" s="51"/>
      <c r="C321" s="63" t="s">
        <v>865</v>
      </c>
      <c r="D321" s="515" t="s">
        <v>571</v>
      </c>
      <c r="E321" s="46">
        <v>2</v>
      </c>
      <c r="F321" s="48">
        <v>152947</v>
      </c>
      <c r="G321" s="580">
        <f>0+táj2!G321</f>
        <v>0</v>
      </c>
      <c r="H321" s="580">
        <f>0+táj2!H321</f>
        <v>0</v>
      </c>
      <c r="I321" s="580">
        <f>3297940+táj2!I321</f>
        <v>3297940</v>
      </c>
      <c r="J321" s="580">
        <f>0+táj2!J321</f>
        <v>0</v>
      </c>
      <c r="K321" s="580">
        <f>0+táj2!K321</f>
        <v>0</v>
      </c>
      <c r="L321" s="580">
        <f>0+táj2!L321</f>
        <v>0</v>
      </c>
      <c r="M321" s="580">
        <f>0+táj2!M321</f>
        <v>0</v>
      </c>
      <c r="N321" s="580">
        <f>0+táj2!N321</f>
        <v>0</v>
      </c>
      <c r="O321" s="580">
        <f>0+táj2!O321</f>
        <v>0</v>
      </c>
      <c r="P321" s="580">
        <f>0+táj2!P321</f>
        <v>0</v>
      </c>
      <c r="Q321" s="578">
        <f t="shared" si="24"/>
        <v>3297940</v>
      </c>
    </row>
    <row r="322" spans="1:17" ht="17.25" customHeight="1" x14ac:dyDescent="0.2">
      <c r="A322" s="51"/>
      <c r="B322" s="51"/>
      <c r="C322" s="63" t="s">
        <v>866</v>
      </c>
      <c r="D322" s="314" t="s">
        <v>653</v>
      </c>
      <c r="E322" s="46">
        <v>2</v>
      </c>
      <c r="F322" s="48">
        <v>154908</v>
      </c>
      <c r="G322" s="580">
        <f>0+táj2!G322</f>
        <v>0</v>
      </c>
      <c r="H322" s="580">
        <f>0+táj2!H322</f>
        <v>0</v>
      </c>
      <c r="I322" s="580">
        <f>0+táj2!I322</f>
        <v>0</v>
      </c>
      <c r="J322" s="580">
        <f>0+táj2!J322</f>
        <v>0</v>
      </c>
      <c r="K322" s="580">
        <f>0+táj2!K322</f>
        <v>0</v>
      </c>
      <c r="L322" s="580">
        <f>0+táj2!L322</f>
        <v>0</v>
      </c>
      <c r="M322" s="580">
        <f>10344421+táj2!M322</f>
        <v>10344421</v>
      </c>
      <c r="N322" s="580">
        <f>0+táj2!N322</f>
        <v>0</v>
      </c>
      <c r="O322" s="580">
        <f>0+táj2!O322</f>
        <v>0</v>
      </c>
      <c r="P322" s="580">
        <f>0+táj2!P322</f>
        <v>0</v>
      </c>
      <c r="Q322" s="578">
        <f t="shared" si="24"/>
        <v>10344421</v>
      </c>
    </row>
    <row r="323" spans="1:17" ht="17.25" customHeight="1" x14ac:dyDescent="0.2">
      <c r="A323" s="51"/>
      <c r="B323" s="51"/>
      <c r="C323" s="63" t="s">
        <v>867</v>
      </c>
      <c r="D323" s="61" t="s">
        <v>720</v>
      </c>
      <c r="E323" s="46">
        <v>2</v>
      </c>
      <c r="F323" s="48">
        <v>152912</v>
      </c>
      <c r="G323" s="580">
        <f>0+táj2!G323</f>
        <v>0</v>
      </c>
      <c r="H323" s="580">
        <f>0+táj2!H323</f>
        <v>0</v>
      </c>
      <c r="I323" s="580">
        <f>0+táj2!I323</f>
        <v>0</v>
      </c>
      <c r="J323" s="580">
        <f>0+táj2!J323</f>
        <v>0</v>
      </c>
      <c r="K323" s="580">
        <f>0+táj2!K323</f>
        <v>0</v>
      </c>
      <c r="L323" s="580">
        <f>2000000+táj2!L323</f>
        <v>2000000</v>
      </c>
      <c r="M323" s="580">
        <f>0+táj2!M323</f>
        <v>0</v>
      </c>
      <c r="N323" s="580">
        <f>0+táj2!N323</f>
        <v>0</v>
      </c>
      <c r="O323" s="580">
        <f>0+táj2!O323</f>
        <v>0</v>
      </c>
      <c r="P323" s="580">
        <f>0+táj2!P323</f>
        <v>0</v>
      </c>
      <c r="Q323" s="578">
        <f t="shared" si="24"/>
        <v>2000000</v>
      </c>
    </row>
    <row r="324" spans="1:17" ht="27.75" customHeight="1" x14ac:dyDescent="0.2">
      <c r="A324" s="51"/>
      <c r="B324" s="51"/>
      <c r="C324" s="63" t="s">
        <v>868</v>
      </c>
      <c r="D324" s="516" t="s">
        <v>512</v>
      </c>
      <c r="E324" s="116">
        <v>2</v>
      </c>
      <c r="F324" s="48">
        <v>152937</v>
      </c>
      <c r="G324" s="580">
        <f>0+táj2!G324</f>
        <v>0</v>
      </c>
      <c r="H324" s="580">
        <f>0+táj2!H324</f>
        <v>0</v>
      </c>
      <c r="I324" s="580">
        <f>0+táj2!I324</f>
        <v>0</v>
      </c>
      <c r="J324" s="580">
        <f>0+táj2!J324</f>
        <v>0</v>
      </c>
      <c r="K324" s="580">
        <f>0+táj2!K324</f>
        <v>0</v>
      </c>
      <c r="L324" s="580">
        <f>29697228+táj2!L324</f>
        <v>29697228</v>
      </c>
      <c r="M324" s="580">
        <f>0+táj2!M324</f>
        <v>0</v>
      </c>
      <c r="N324" s="580">
        <f>0+táj2!N324</f>
        <v>0</v>
      </c>
      <c r="O324" s="580">
        <f>0+táj2!O324</f>
        <v>0</v>
      </c>
      <c r="P324" s="580">
        <f>0+táj2!P324</f>
        <v>0</v>
      </c>
      <c r="Q324" s="578">
        <f t="shared" si="24"/>
        <v>29697228</v>
      </c>
    </row>
    <row r="325" spans="1:17" ht="20.25" customHeight="1" x14ac:dyDescent="0.2">
      <c r="A325" s="136"/>
      <c r="B325" s="136"/>
      <c r="C325" s="215"/>
      <c r="D325" s="836" t="s">
        <v>398</v>
      </c>
      <c r="E325" s="837"/>
      <c r="F325" s="68"/>
      <c r="G325" s="575">
        <f t="shared" ref="G325:Q325" si="25">SUM(G290:G324)</f>
        <v>17089729</v>
      </c>
      <c r="H325" s="575">
        <f t="shared" si="25"/>
        <v>2235506</v>
      </c>
      <c r="I325" s="575">
        <f t="shared" si="25"/>
        <v>2864024879</v>
      </c>
      <c r="J325" s="575">
        <f t="shared" si="25"/>
        <v>0</v>
      </c>
      <c r="K325" s="575">
        <f t="shared" si="25"/>
        <v>1792852143</v>
      </c>
      <c r="L325" s="575">
        <f t="shared" si="25"/>
        <v>78427755</v>
      </c>
      <c r="M325" s="575">
        <f t="shared" si="25"/>
        <v>164728964</v>
      </c>
      <c r="N325" s="575">
        <f t="shared" si="25"/>
        <v>0</v>
      </c>
      <c r="O325" s="575">
        <f t="shared" si="25"/>
        <v>0</v>
      </c>
      <c r="P325" s="575">
        <f t="shared" si="25"/>
        <v>0</v>
      </c>
      <c r="Q325" s="575">
        <f t="shared" si="25"/>
        <v>4919358976</v>
      </c>
    </row>
    <row r="326" spans="1:17" ht="15" customHeight="1" x14ac:dyDescent="0.2">
      <c r="A326" s="45">
        <v>1</v>
      </c>
      <c r="B326" s="45">
        <v>16</v>
      </c>
      <c r="C326" s="56"/>
      <c r="D326" s="53" t="s">
        <v>399</v>
      </c>
      <c r="E326" s="46"/>
      <c r="F326" s="48"/>
      <c r="G326" s="578"/>
      <c r="H326" s="574"/>
      <c r="I326" s="574"/>
      <c r="J326" s="574"/>
      <c r="K326" s="574"/>
      <c r="L326" s="574"/>
      <c r="M326" s="578"/>
      <c r="N326" s="578"/>
      <c r="O326" s="578"/>
      <c r="P326" s="578"/>
      <c r="Q326" s="578"/>
    </row>
    <row r="327" spans="1:17" ht="15" customHeight="1" x14ac:dyDescent="0.2">
      <c r="A327" s="45"/>
      <c r="B327" s="45"/>
      <c r="C327" s="56"/>
      <c r="D327" s="87" t="s">
        <v>795</v>
      </c>
      <c r="E327" s="46"/>
      <c r="F327" s="48"/>
      <c r="G327" s="578"/>
      <c r="H327" s="574"/>
      <c r="I327" s="574"/>
      <c r="J327" s="574"/>
      <c r="K327" s="574"/>
      <c r="L327" s="574"/>
      <c r="M327" s="578"/>
      <c r="N327" s="578"/>
      <c r="O327" s="578"/>
      <c r="P327" s="578"/>
      <c r="Q327" s="578"/>
    </row>
    <row r="328" spans="1:17" ht="15" customHeight="1" x14ac:dyDescent="0.2">
      <c r="A328" s="45"/>
      <c r="B328" s="45"/>
      <c r="C328" s="56"/>
      <c r="D328" s="61" t="s">
        <v>400</v>
      </c>
      <c r="E328" s="48">
        <v>2</v>
      </c>
      <c r="F328" s="48">
        <v>161910</v>
      </c>
      <c r="G328" s="578">
        <f>0+táj2!G328</f>
        <v>0</v>
      </c>
      <c r="H328" s="578">
        <f>0+táj2!H328</f>
        <v>0</v>
      </c>
      <c r="I328" s="578">
        <f>4218026+táj2!I328</f>
        <v>4218026</v>
      </c>
      <c r="J328" s="578">
        <f>0+táj2!J328</f>
        <v>0</v>
      </c>
      <c r="K328" s="578">
        <f>0+táj2!K328</f>
        <v>0</v>
      </c>
      <c r="L328" s="578">
        <f>3044400+táj2!L328</f>
        <v>3044400</v>
      </c>
      <c r="M328" s="578">
        <f>500000+táj2!M328</f>
        <v>500000</v>
      </c>
      <c r="N328" s="578">
        <f>0+táj2!N328</f>
        <v>0</v>
      </c>
      <c r="O328" s="578">
        <f>0+táj2!O328</f>
        <v>0</v>
      </c>
      <c r="P328" s="578">
        <f>0+táj2!P328</f>
        <v>0</v>
      </c>
      <c r="Q328" s="578">
        <f t="shared" ref="Q328:Q331" si="26">SUM(G328:P328)</f>
        <v>7762426</v>
      </c>
    </row>
    <row r="329" spans="1:17" ht="15" customHeight="1" x14ac:dyDescent="0.2">
      <c r="A329" s="45"/>
      <c r="B329" s="45"/>
      <c r="C329" s="56"/>
      <c r="D329" s="61" t="s">
        <v>401</v>
      </c>
      <c r="E329" s="48">
        <v>1</v>
      </c>
      <c r="F329" s="48">
        <v>161908</v>
      </c>
      <c r="G329" s="578">
        <f>0+táj2!G329</f>
        <v>0</v>
      </c>
      <c r="H329" s="578">
        <f>0+táj2!H329</f>
        <v>0</v>
      </c>
      <c r="I329" s="578">
        <f>20691350+táj2!I329</f>
        <v>20691350</v>
      </c>
      <c r="J329" s="578">
        <f>0+táj2!J329</f>
        <v>0</v>
      </c>
      <c r="K329" s="578">
        <f>1010000+táj2!K329</f>
        <v>1010000</v>
      </c>
      <c r="L329" s="578">
        <f>0+táj2!L329</f>
        <v>0</v>
      </c>
      <c r="M329" s="578">
        <f>20640357+táj2!M329</f>
        <v>28242961</v>
      </c>
      <c r="N329" s="578">
        <f>0+táj2!N329</f>
        <v>0</v>
      </c>
      <c r="O329" s="578">
        <f>0+táj2!O329</f>
        <v>0</v>
      </c>
      <c r="P329" s="578">
        <f>0+táj2!P329</f>
        <v>0</v>
      </c>
      <c r="Q329" s="578">
        <f t="shared" si="26"/>
        <v>49944311</v>
      </c>
    </row>
    <row r="330" spans="1:17" ht="29.25" customHeight="1" x14ac:dyDescent="0.2">
      <c r="A330" s="45"/>
      <c r="B330" s="45"/>
      <c r="C330" s="56"/>
      <c r="D330" s="59" t="s">
        <v>983</v>
      </c>
      <c r="E330" s="48">
        <v>1</v>
      </c>
      <c r="F330" s="48">
        <v>161911</v>
      </c>
      <c r="G330" s="578">
        <f>0+táj2!G330</f>
        <v>0</v>
      </c>
      <c r="H330" s="578">
        <f>0+táj2!H330</f>
        <v>0</v>
      </c>
      <c r="I330" s="578">
        <f>9828223+táj2!I330</f>
        <v>9828223</v>
      </c>
      <c r="J330" s="578">
        <f>0+táj2!J330</f>
        <v>0</v>
      </c>
      <c r="K330" s="578">
        <f>0+táj2!K330</f>
        <v>0</v>
      </c>
      <c r="L330" s="578">
        <f>7004223+táj2!L330</f>
        <v>7004223</v>
      </c>
      <c r="M330" s="578">
        <f>4356100+táj2!M330</f>
        <v>4356100</v>
      </c>
      <c r="N330" s="578">
        <f>0+táj2!N330</f>
        <v>0</v>
      </c>
      <c r="O330" s="578">
        <f>0+táj2!O330</f>
        <v>0</v>
      </c>
      <c r="P330" s="578">
        <f>0+táj2!P330</f>
        <v>0</v>
      </c>
      <c r="Q330" s="578">
        <f t="shared" si="26"/>
        <v>21188546</v>
      </c>
    </row>
    <row r="331" spans="1:17" ht="24" customHeight="1" x14ac:dyDescent="0.2">
      <c r="A331" s="45"/>
      <c r="B331" s="45"/>
      <c r="C331" s="56"/>
      <c r="D331" s="67" t="s">
        <v>402</v>
      </c>
      <c r="E331" s="48">
        <v>2</v>
      </c>
      <c r="F331" s="48">
        <v>161904</v>
      </c>
      <c r="G331" s="578">
        <f>0+táj2!G331</f>
        <v>0</v>
      </c>
      <c r="H331" s="578">
        <f>34643+táj2!H331</f>
        <v>34643</v>
      </c>
      <c r="I331" s="578">
        <f>10772140+táj2!I331</f>
        <v>8519536</v>
      </c>
      <c r="J331" s="578">
        <f>0+táj2!J331</f>
        <v>0</v>
      </c>
      <c r="K331" s="578">
        <f>0+táj2!K331</f>
        <v>0</v>
      </c>
      <c r="L331" s="578">
        <f>0+táj2!L331</f>
        <v>0</v>
      </c>
      <c r="M331" s="578">
        <f>459000+táj2!M331</f>
        <v>459000</v>
      </c>
      <c r="N331" s="578">
        <f>0+táj2!N331</f>
        <v>0</v>
      </c>
      <c r="O331" s="578">
        <f>0+táj2!O331</f>
        <v>0</v>
      </c>
      <c r="P331" s="578">
        <f>0+táj2!P331</f>
        <v>0</v>
      </c>
      <c r="Q331" s="578">
        <f t="shared" si="26"/>
        <v>9013179</v>
      </c>
    </row>
    <row r="332" spans="1:17" ht="14.1" customHeight="1" x14ac:dyDescent="0.2">
      <c r="A332" s="45"/>
      <c r="B332" s="45"/>
      <c r="C332" s="56"/>
      <c r="D332" s="62" t="s">
        <v>180</v>
      </c>
      <c r="E332" s="216"/>
      <c r="F332" s="48"/>
      <c r="G332" s="578"/>
      <c r="H332" s="574"/>
      <c r="I332" s="578"/>
      <c r="J332" s="574"/>
      <c r="K332" s="574"/>
      <c r="L332" s="574"/>
      <c r="M332" s="578"/>
      <c r="N332" s="578"/>
      <c r="O332" s="578"/>
      <c r="P332" s="578"/>
      <c r="Q332" s="578"/>
    </row>
    <row r="333" spans="1:17" ht="26.25" customHeight="1" x14ac:dyDescent="0.2">
      <c r="A333" s="45"/>
      <c r="B333" s="45"/>
      <c r="C333" s="56"/>
      <c r="D333" s="217" t="s">
        <v>403</v>
      </c>
      <c r="E333" s="48">
        <v>2</v>
      </c>
      <c r="F333" s="48">
        <v>151606</v>
      </c>
      <c r="G333" s="578">
        <f>0+táj2!G333</f>
        <v>0</v>
      </c>
      <c r="H333" s="578">
        <f>0+táj2!H333</f>
        <v>0</v>
      </c>
      <c r="I333" s="578">
        <f>0+táj2!I333</f>
        <v>0</v>
      </c>
      <c r="J333" s="578">
        <f>0+táj2!J333</f>
        <v>0</v>
      </c>
      <c r="K333" s="578">
        <f>986249+táj2!K333</f>
        <v>986249</v>
      </c>
      <c r="L333" s="578">
        <f>0+táj2!L333</f>
        <v>0</v>
      </c>
      <c r="M333" s="578">
        <f>0+táj2!M333</f>
        <v>0</v>
      </c>
      <c r="N333" s="578">
        <f>0+táj2!N333</f>
        <v>0</v>
      </c>
      <c r="O333" s="578">
        <f>0+táj2!O333</f>
        <v>0</v>
      </c>
      <c r="P333" s="578">
        <f>0+táj2!P333</f>
        <v>0</v>
      </c>
      <c r="Q333" s="578">
        <f>SUM(G333:P333)</f>
        <v>986249</v>
      </c>
    </row>
    <row r="334" spans="1:17" ht="16.5" customHeight="1" x14ac:dyDescent="0.2">
      <c r="A334" s="45"/>
      <c r="B334" s="45"/>
      <c r="C334" s="56"/>
      <c r="D334" s="62" t="s">
        <v>377</v>
      </c>
      <c r="E334" s="216"/>
      <c r="F334" s="48"/>
      <c r="G334" s="578"/>
      <c r="H334" s="574"/>
      <c r="I334" s="578"/>
      <c r="J334" s="574"/>
      <c r="K334" s="574"/>
      <c r="L334" s="574"/>
      <c r="M334" s="578"/>
      <c r="N334" s="578"/>
      <c r="O334" s="578"/>
      <c r="P334" s="578"/>
      <c r="Q334" s="578"/>
    </row>
    <row r="335" spans="1:17" ht="28.9" customHeight="1" x14ac:dyDescent="0.2">
      <c r="A335" s="45"/>
      <c r="B335" s="45"/>
      <c r="C335" s="56"/>
      <c r="D335" s="67" t="s">
        <v>547</v>
      </c>
      <c r="E335" s="48">
        <v>2</v>
      </c>
      <c r="F335" s="48">
        <v>151203</v>
      </c>
      <c r="G335" s="578">
        <f>0+táj2!G335</f>
        <v>0</v>
      </c>
      <c r="H335" s="578">
        <f>0+táj2!H335</f>
        <v>0</v>
      </c>
      <c r="I335" s="578">
        <f>26822264+táj2!I335</f>
        <v>26822264</v>
      </c>
      <c r="J335" s="578">
        <f>0+táj2!J335</f>
        <v>0</v>
      </c>
      <c r="K335" s="578">
        <f>0+táj2!K335</f>
        <v>0</v>
      </c>
      <c r="L335" s="578">
        <f>0+táj2!L335</f>
        <v>0</v>
      </c>
      <c r="M335" s="578">
        <f>0+táj2!M335</f>
        <v>0</v>
      </c>
      <c r="N335" s="578">
        <f>0+táj2!N335</f>
        <v>0</v>
      </c>
      <c r="O335" s="578">
        <f>0+táj2!O335</f>
        <v>0</v>
      </c>
      <c r="P335" s="578">
        <f>0+táj2!P335</f>
        <v>0</v>
      </c>
      <c r="Q335" s="578">
        <f>SUM(G335:P335)</f>
        <v>26822264</v>
      </c>
    </row>
    <row r="336" spans="1:17" ht="14.1" customHeight="1" x14ac:dyDescent="0.2">
      <c r="A336" s="218"/>
      <c r="B336" s="218"/>
      <c r="C336" s="219"/>
      <c r="D336" s="220" t="s">
        <v>404</v>
      </c>
      <c r="E336" s="221"/>
      <c r="F336" s="222"/>
      <c r="G336" s="588">
        <f t="shared" ref="G336:Q336" si="27">SUM(G328:G335)</f>
        <v>0</v>
      </c>
      <c r="H336" s="588">
        <f t="shared" si="27"/>
        <v>34643</v>
      </c>
      <c r="I336" s="588">
        <f t="shared" si="27"/>
        <v>70079399</v>
      </c>
      <c r="J336" s="588">
        <f t="shared" si="27"/>
        <v>0</v>
      </c>
      <c r="K336" s="588">
        <f t="shared" si="27"/>
        <v>1996249</v>
      </c>
      <c r="L336" s="588">
        <f t="shared" si="27"/>
        <v>10048623</v>
      </c>
      <c r="M336" s="588">
        <f t="shared" si="27"/>
        <v>33558061</v>
      </c>
      <c r="N336" s="588">
        <f t="shared" si="27"/>
        <v>0</v>
      </c>
      <c r="O336" s="588">
        <f t="shared" si="27"/>
        <v>0</v>
      </c>
      <c r="P336" s="588">
        <f t="shared" si="27"/>
        <v>0</v>
      </c>
      <c r="Q336" s="588">
        <f t="shared" si="27"/>
        <v>115716975</v>
      </c>
    </row>
    <row r="337" spans="1:17" ht="14.1" customHeight="1" x14ac:dyDescent="0.2">
      <c r="A337" s="45"/>
      <c r="B337" s="45"/>
      <c r="C337" s="56"/>
      <c r="D337" s="223" t="s">
        <v>405</v>
      </c>
      <c r="E337" s="46"/>
      <c r="F337" s="48"/>
      <c r="G337" s="574"/>
      <c r="H337" s="574"/>
      <c r="I337" s="574"/>
      <c r="J337" s="578"/>
      <c r="K337" s="578"/>
      <c r="L337" s="578"/>
      <c r="M337" s="578"/>
      <c r="N337" s="578"/>
      <c r="O337" s="578"/>
      <c r="P337" s="578"/>
      <c r="Q337" s="578"/>
    </row>
    <row r="338" spans="1:17" ht="15.4" customHeight="1" x14ac:dyDescent="0.2">
      <c r="A338" s="45"/>
      <c r="B338" s="45"/>
      <c r="C338" s="476" t="s">
        <v>83</v>
      </c>
      <c r="D338" s="271" t="s">
        <v>385</v>
      </c>
      <c r="E338" s="46"/>
      <c r="F338" s="48"/>
      <c r="G338" s="574"/>
      <c r="H338" s="574"/>
      <c r="I338" s="574"/>
      <c r="J338" s="578"/>
      <c r="K338" s="578"/>
      <c r="L338" s="578"/>
      <c r="M338" s="578"/>
      <c r="N338" s="578"/>
      <c r="O338" s="578"/>
      <c r="P338" s="578"/>
      <c r="Q338" s="578"/>
    </row>
    <row r="339" spans="1:17" ht="15.4" customHeight="1" x14ac:dyDescent="0.2">
      <c r="A339" s="45"/>
      <c r="B339" s="45"/>
      <c r="C339" s="224" t="s">
        <v>251</v>
      </c>
      <c r="D339" s="300" t="s">
        <v>406</v>
      </c>
      <c r="E339" s="46">
        <v>1</v>
      </c>
      <c r="F339" s="46">
        <v>164106</v>
      </c>
      <c r="G339" s="574">
        <f>0+táj2!G339</f>
        <v>0</v>
      </c>
      <c r="H339" s="574">
        <f>0+táj2!H339</f>
        <v>0</v>
      </c>
      <c r="I339" s="574">
        <f>106497255+táj2!I339</f>
        <v>106497255</v>
      </c>
      <c r="J339" s="574">
        <f>0+táj2!J339</f>
        <v>0</v>
      </c>
      <c r="K339" s="574">
        <f>0+táj2!K339</f>
        <v>0</v>
      </c>
      <c r="L339" s="574">
        <f>1574800+táj2!L339</f>
        <v>1574800</v>
      </c>
      <c r="M339" s="574">
        <f>576891039+táj2!M339</f>
        <v>539491039</v>
      </c>
      <c r="N339" s="574">
        <f>0+táj2!N339</f>
        <v>0</v>
      </c>
      <c r="O339" s="574">
        <f>0+táj2!O339</f>
        <v>0</v>
      </c>
      <c r="P339" s="574">
        <f>0+táj2!P339</f>
        <v>0</v>
      </c>
      <c r="Q339" s="578">
        <f>SUM(G339:P339)</f>
        <v>647563094</v>
      </c>
    </row>
    <row r="340" spans="1:17" ht="15.4" customHeight="1" x14ac:dyDescent="0.2">
      <c r="A340" s="438"/>
      <c r="B340" s="438"/>
      <c r="C340" s="464"/>
      <c r="D340" s="411" t="s">
        <v>908</v>
      </c>
      <c r="E340" s="201">
        <v>1</v>
      </c>
      <c r="F340" s="201">
        <v>164112</v>
      </c>
      <c r="G340" s="574">
        <f>0+táj2!G340</f>
        <v>0</v>
      </c>
      <c r="H340" s="574">
        <f>0+táj2!H340</f>
        <v>0</v>
      </c>
      <c r="I340" s="574">
        <f>0+táj2!I340</f>
        <v>0</v>
      </c>
      <c r="J340" s="574">
        <f>0+táj2!J340</f>
        <v>0</v>
      </c>
      <c r="K340" s="574">
        <f>0+táj2!K340</f>
        <v>0</v>
      </c>
      <c r="L340" s="574">
        <f>0+táj2!L340</f>
        <v>0</v>
      </c>
      <c r="M340" s="574">
        <f>9843000+táj2!M340</f>
        <v>9843000</v>
      </c>
      <c r="N340" s="574">
        <f>0+táj2!N340</f>
        <v>0</v>
      </c>
      <c r="O340" s="574">
        <f>0+táj2!O340</f>
        <v>0</v>
      </c>
      <c r="P340" s="574">
        <f>0+táj2!P340</f>
        <v>0</v>
      </c>
      <c r="Q340" s="578">
        <f>SUM(G340:P340)</f>
        <v>9843000</v>
      </c>
    </row>
    <row r="341" spans="1:17" ht="15.4" customHeight="1" x14ac:dyDescent="0.2">
      <c r="A341" s="438"/>
      <c r="B341" s="438"/>
      <c r="C341" s="464"/>
      <c r="D341" s="208" t="s">
        <v>746</v>
      </c>
      <c r="E341" s="201"/>
      <c r="F341" s="201"/>
      <c r="G341" s="574"/>
      <c r="H341" s="454"/>
      <c r="I341" s="454"/>
      <c r="J341" s="454"/>
      <c r="K341" s="454"/>
      <c r="L341" s="454"/>
      <c r="M341" s="454"/>
      <c r="N341" s="454"/>
      <c r="O341" s="454"/>
      <c r="P341" s="454"/>
      <c r="Q341" s="591"/>
    </row>
    <row r="342" spans="1:17" ht="15.4" customHeight="1" x14ac:dyDescent="0.2">
      <c r="A342" s="45"/>
      <c r="B342" s="45"/>
      <c r="C342" s="224" t="s">
        <v>253</v>
      </c>
      <c r="D342" s="300" t="s">
        <v>513</v>
      </c>
      <c r="E342" s="46">
        <v>1</v>
      </c>
      <c r="F342" s="46">
        <v>161909</v>
      </c>
      <c r="G342" s="574">
        <f>0+táj2!G342</f>
        <v>0</v>
      </c>
      <c r="H342" s="574">
        <f>0+táj2!H342</f>
        <v>0</v>
      </c>
      <c r="I342" s="574">
        <f>7736049+táj2!I342</f>
        <v>7736049</v>
      </c>
      <c r="J342" s="574">
        <f>0+táj2!J342</f>
        <v>0</v>
      </c>
      <c r="K342" s="574">
        <f>0+táj2!K342</f>
        <v>0</v>
      </c>
      <c r="L342" s="574">
        <f>16767678+táj2!L342</f>
        <v>16767678</v>
      </c>
      <c r="M342" s="574">
        <f>9161191+táj2!M342</f>
        <v>27161191</v>
      </c>
      <c r="N342" s="574">
        <f>0+táj2!N342</f>
        <v>0</v>
      </c>
      <c r="O342" s="574">
        <f>0+táj2!O342</f>
        <v>0</v>
      </c>
      <c r="P342" s="574">
        <f>0+táj2!P342</f>
        <v>0</v>
      </c>
      <c r="Q342" s="578">
        <f t="shared" ref="Q342:Q346" si="28">SUM(G342:P342)</f>
        <v>51664918</v>
      </c>
    </row>
    <row r="343" spans="1:17" ht="15.4" customHeight="1" x14ac:dyDescent="0.2">
      <c r="A343" s="45"/>
      <c r="B343" s="45"/>
      <c r="C343" s="75" t="s">
        <v>82</v>
      </c>
      <c r="D343" s="75" t="s">
        <v>386</v>
      </c>
      <c r="E343" s="46"/>
      <c r="F343" s="46"/>
      <c r="G343" s="574"/>
      <c r="H343" s="574"/>
      <c r="I343" s="574"/>
      <c r="J343" s="574"/>
      <c r="K343" s="574"/>
      <c r="L343" s="574"/>
      <c r="M343" s="574"/>
      <c r="N343" s="574"/>
      <c r="O343" s="574"/>
      <c r="P343" s="574"/>
      <c r="Q343" s="578"/>
    </row>
    <row r="344" spans="1:17" ht="15" customHeight="1" x14ac:dyDescent="0.2">
      <c r="A344" s="45"/>
      <c r="B344" s="45"/>
      <c r="C344" s="224" t="s">
        <v>336</v>
      </c>
      <c r="D344" s="299" t="s">
        <v>407</v>
      </c>
      <c r="E344" s="46">
        <v>1</v>
      </c>
      <c r="F344" s="46">
        <v>164204</v>
      </c>
      <c r="G344" s="574">
        <f>0+táj2!G344</f>
        <v>0</v>
      </c>
      <c r="H344" s="574">
        <f>0+táj2!H344</f>
        <v>0</v>
      </c>
      <c r="I344" s="574">
        <f>38312554+táj2!I344</f>
        <v>38312554</v>
      </c>
      <c r="J344" s="574">
        <f>0+táj2!J344</f>
        <v>0</v>
      </c>
      <c r="K344" s="574">
        <f>0+táj2!K344</f>
        <v>0</v>
      </c>
      <c r="L344" s="574">
        <f>2247900+táj2!L344</f>
        <v>2247900</v>
      </c>
      <c r="M344" s="574">
        <f>184042127+táj2!M344</f>
        <v>203442127</v>
      </c>
      <c r="N344" s="574">
        <f>0+táj2!N344</f>
        <v>0</v>
      </c>
      <c r="O344" s="574">
        <f>0+táj2!O344</f>
        <v>0</v>
      </c>
      <c r="P344" s="574">
        <f>0+táj2!P344</f>
        <v>0</v>
      </c>
      <c r="Q344" s="578">
        <f t="shared" si="28"/>
        <v>244002581</v>
      </c>
    </row>
    <row r="345" spans="1:17" ht="15" customHeight="1" x14ac:dyDescent="0.2">
      <c r="A345" s="438"/>
      <c r="B345" s="438"/>
      <c r="C345" s="464"/>
      <c r="D345" s="208" t="s">
        <v>746</v>
      </c>
      <c r="E345" s="201"/>
      <c r="F345" s="201"/>
      <c r="G345" s="574"/>
      <c r="H345" s="454"/>
      <c r="I345" s="454"/>
      <c r="J345" s="454"/>
      <c r="K345" s="454"/>
      <c r="L345" s="454"/>
      <c r="M345" s="454"/>
      <c r="N345" s="454"/>
      <c r="O345" s="454"/>
      <c r="P345" s="454"/>
      <c r="Q345" s="591"/>
    </row>
    <row r="346" spans="1:17" ht="34.5" customHeight="1" x14ac:dyDescent="0.2">
      <c r="A346" s="45"/>
      <c r="B346" s="45"/>
      <c r="C346" s="56" t="s">
        <v>661</v>
      </c>
      <c r="D346" s="122" t="s">
        <v>802</v>
      </c>
      <c r="E346" s="46">
        <v>1</v>
      </c>
      <c r="F346" s="46">
        <v>164206</v>
      </c>
      <c r="G346" s="574">
        <f>0+táj2!G346</f>
        <v>0</v>
      </c>
      <c r="H346" s="574">
        <f>0+táj2!H346</f>
        <v>0</v>
      </c>
      <c r="I346" s="574">
        <f>635000+táj2!I346</f>
        <v>635000</v>
      </c>
      <c r="J346" s="574">
        <f>0+táj2!J346</f>
        <v>0</v>
      </c>
      <c r="K346" s="574">
        <f>0+táj2!K346</f>
        <v>0</v>
      </c>
      <c r="L346" s="574">
        <f>2315575+táj2!L346</f>
        <v>2315575</v>
      </c>
      <c r="M346" s="574">
        <f>0+táj2!M346</f>
        <v>0</v>
      </c>
      <c r="N346" s="574">
        <f>0+táj2!N346</f>
        <v>0</v>
      </c>
      <c r="O346" s="574">
        <f>0+táj2!O346</f>
        <v>0</v>
      </c>
      <c r="P346" s="574">
        <f>0+táj2!P346</f>
        <v>0</v>
      </c>
      <c r="Q346" s="578">
        <f t="shared" si="28"/>
        <v>2950575</v>
      </c>
    </row>
    <row r="347" spans="1:17" ht="15.6" customHeight="1" x14ac:dyDescent="0.2">
      <c r="A347" s="45"/>
      <c r="B347" s="45"/>
      <c r="C347" s="316" t="s">
        <v>84</v>
      </c>
      <c r="D347" s="75" t="s">
        <v>408</v>
      </c>
      <c r="E347" s="46"/>
      <c r="F347" s="46"/>
      <c r="G347" s="574"/>
      <c r="H347" s="574"/>
      <c r="I347" s="574"/>
      <c r="J347" s="574"/>
      <c r="K347" s="574"/>
      <c r="L347" s="574"/>
      <c r="M347" s="574"/>
      <c r="N347" s="574"/>
      <c r="O347" s="574"/>
      <c r="P347" s="574"/>
      <c r="Q347" s="578"/>
    </row>
    <row r="348" spans="1:17" ht="15.6" customHeight="1" x14ac:dyDescent="0.2">
      <c r="A348" s="438"/>
      <c r="B348" s="438"/>
      <c r="C348" s="465"/>
      <c r="D348" s="208" t="s">
        <v>746</v>
      </c>
      <c r="E348" s="201"/>
      <c r="F348" s="201"/>
      <c r="G348" s="574"/>
      <c r="H348" s="454"/>
      <c r="I348" s="454"/>
      <c r="J348" s="454"/>
      <c r="K348" s="454"/>
      <c r="L348" s="454"/>
      <c r="M348" s="454"/>
      <c r="N348" s="454"/>
      <c r="O348" s="454"/>
      <c r="P348" s="454"/>
      <c r="Q348" s="591"/>
    </row>
    <row r="349" spans="1:17" ht="15" customHeight="1" x14ac:dyDescent="0.2">
      <c r="A349" s="45"/>
      <c r="B349" s="45"/>
      <c r="C349" s="78" t="s">
        <v>85</v>
      </c>
      <c r="D349" s="75" t="s">
        <v>950</v>
      </c>
      <c r="E349" s="46"/>
      <c r="F349" s="46"/>
      <c r="G349" s="574"/>
      <c r="H349" s="574"/>
      <c r="I349" s="574"/>
      <c r="J349" s="574"/>
      <c r="K349" s="574"/>
      <c r="L349" s="574"/>
      <c r="M349" s="574"/>
      <c r="N349" s="574"/>
      <c r="O349" s="574"/>
      <c r="P349" s="574"/>
      <c r="Q349" s="578"/>
    </row>
    <row r="350" spans="1:17" ht="15" customHeight="1" x14ac:dyDescent="0.2">
      <c r="A350" s="438"/>
      <c r="B350" s="438"/>
      <c r="C350" s="469" t="s">
        <v>910</v>
      </c>
      <c r="D350" s="411" t="s">
        <v>842</v>
      </c>
      <c r="E350" s="116">
        <v>1</v>
      </c>
      <c r="F350" s="116">
        <v>162144</v>
      </c>
      <c r="G350" s="574">
        <f>0+táj2!G350</f>
        <v>0</v>
      </c>
      <c r="H350" s="574">
        <f>0+táj2!H350</f>
        <v>0</v>
      </c>
      <c r="I350" s="574">
        <f>0+táj2!I350</f>
        <v>0</v>
      </c>
      <c r="J350" s="574">
        <f>0+táj2!J350</f>
        <v>0</v>
      </c>
      <c r="K350" s="574">
        <f>0+táj2!K350</f>
        <v>0</v>
      </c>
      <c r="L350" s="574">
        <f>1000000+táj2!L350</f>
        <v>1000000</v>
      </c>
      <c r="M350" s="574">
        <f>0+táj2!M350</f>
        <v>0</v>
      </c>
      <c r="N350" s="574">
        <f>0+táj2!N350</f>
        <v>0</v>
      </c>
      <c r="O350" s="574">
        <f>0+táj2!O350</f>
        <v>0</v>
      </c>
      <c r="P350" s="574">
        <f>0+táj2!P350</f>
        <v>0</v>
      </c>
      <c r="Q350" s="578">
        <f t="shared" ref="Q350:Q356" si="29">SUM(G350:P350)</f>
        <v>1000000</v>
      </c>
    </row>
    <row r="351" spans="1:17" ht="15" customHeight="1" x14ac:dyDescent="0.2">
      <c r="A351" s="438"/>
      <c r="B351" s="438"/>
      <c r="C351" s="469" t="s">
        <v>911</v>
      </c>
      <c r="D351" s="411" t="s">
        <v>850</v>
      </c>
      <c r="E351" s="116">
        <v>1</v>
      </c>
      <c r="F351" s="116">
        <v>162445</v>
      </c>
      <c r="G351" s="574">
        <f>0+táj2!G351</f>
        <v>0</v>
      </c>
      <c r="H351" s="574">
        <f>0+táj2!H351</f>
        <v>0</v>
      </c>
      <c r="I351" s="574">
        <f>0+táj2!I351</f>
        <v>0</v>
      </c>
      <c r="J351" s="574">
        <f>0+táj2!J351</f>
        <v>0</v>
      </c>
      <c r="K351" s="574">
        <f>0+táj2!K351</f>
        <v>0</v>
      </c>
      <c r="L351" s="574">
        <f>438000+táj2!L351</f>
        <v>438000</v>
      </c>
      <c r="M351" s="574">
        <f>762000+táj2!M351</f>
        <v>762000</v>
      </c>
      <c r="N351" s="574">
        <f>0+táj2!N351</f>
        <v>0</v>
      </c>
      <c r="O351" s="574">
        <f>0+táj2!O351</f>
        <v>0</v>
      </c>
      <c r="P351" s="574">
        <f>0+táj2!P351</f>
        <v>0</v>
      </c>
      <c r="Q351" s="578">
        <f t="shared" si="29"/>
        <v>1200000</v>
      </c>
    </row>
    <row r="352" spans="1:17" ht="15" customHeight="1" x14ac:dyDescent="0.2">
      <c r="A352" s="438"/>
      <c r="B352" s="438"/>
      <c r="C352" s="469" t="s">
        <v>912</v>
      </c>
      <c r="D352" s="411" t="s">
        <v>845</v>
      </c>
      <c r="E352" s="116">
        <v>1</v>
      </c>
      <c r="F352" s="116">
        <v>162446</v>
      </c>
      <c r="G352" s="574">
        <f>0+táj2!G352</f>
        <v>0</v>
      </c>
      <c r="H352" s="574">
        <f>0+táj2!H352</f>
        <v>0</v>
      </c>
      <c r="I352" s="574">
        <f>0+táj2!I352</f>
        <v>0</v>
      </c>
      <c r="J352" s="574">
        <f>0+táj2!J352</f>
        <v>0</v>
      </c>
      <c r="K352" s="574">
        <f>0+táj2!K352</f>
        <v>0</v>
      </c>
      <c r="L352" s="574">
        <f>603000+táj2!L352</f>
        <v>603000</v>
      </c>
      <c r="M352" s="574">
        <f>0+táj2!M352</f>
        <v>0</v>
      </c>
      <c r="N352" s="574">
        <f>0+táj2!N352</f>
        <v>0</v>
      </c>
      <c r="O352" s="574">
        <f>0+táj2!O352</f>
        <v>0</v>
      </c>
      <c r="P352" s="574">
        <f>0+táj2!P352</f>
        <v>0</v>
      </c>
      <c r="Q352" s="578">
        <f t="shared" si="29"/>
        <v>603000</v>
      </c>
    </row>
    <row r="353" spans="1:17" ht="15" customHeight="1" x14ac:dyDescent="0.2">
      <c r="A353" s="438"/>
      <c r="B353" s="438"/>
      <c r="C353" s="469" t="s">
        <v>913</v>
      </c>
      <c r="D353" s="411" t="s">
        <v>846</v>
      </c>
      <c r="E353" s="116">
        <v>1</v>
      </c>
      <c r="F353" s="116">
        <v>162448</v>
      </c>
      <c r="G353" s="574">
        <f>0+táj2!G353</f>
        <v>0</v>
      </c>
      <c r="H353" s="574">
        <f>0+táj2!H353</f>
        <v>0</v>
      </c>
      <c r="I353" s="574">
        <f>0+táj2!I353</f>
        <v>0</v>
      </c>
      <c r="J353" s="574">
        <f>0+táj2!J353</f>
        <v>0</v>
      </c>
      <c r="K353" s="574">
        <f>0+táj2!K353</f>
        <v>0</v>
      </c>
      <c r="L353" s="574">
        <f>1300000+táj2!L353</f>
        <v>1300000</v>
      </c>
      <c r="M353" s="574">
        <f>0+táj2!M353</f>
        <v>0</v>
      </c>
      <c r="N353" s="574">
        <f>0+táj2!N353</f>
        <v>0</v>
      </c>
      <c r="O353" s="574">
        <f>0+táj2!O353</f>
        <v>0</v>
      </c>
      <c r="P353" s="574">
        <f>0+táj2!P353</f>
        <v>0</v>
      </c>
      <c r="Q353" s="578">
        <f t="shared" si="29"/>
        <v>1300000</v>
      </c>
    </row>
    <row r="354" spans="1:17" ht="15" customHeight="1" x14ac:dyDescent="0.2">
      <c r="A354" s="438"/>
      <c r="B354" s="438"/>
      <c r="C354" s="469" t="s">
        <v>914</v>
      </c>
      <c r="D354" s="411" t="s">
        <v>852</v>
      </c>
      <c r="E354" s="116">
        <v>1</v>
      </c>
      <c r="F354" s="116">
        <v>162449</v>
      </c>
      <c r="G354" s="574">
        <f>0+táj2!G354</f>
        <v>0</v>
      </c>
      <c r="H354" s="574">
        <f>0+táj2!H354</f>
        <v>0</v>
      </c>
      <c r="I354" s="574">
        <f>0+táj2!I354</f>
        <v>0</v>
      </c>
      <c r="J354" s="574">
        <f>0+táj2!J354</f>
        <v>0</v>
      </c>
      <c r="K354" s="574">
        <f>0+táj2!K354</f>
        <v>0</v>
      </c>
      <c r="L354" s="574">
        <f>0+táj2!L354</f>
        <v>0</v>
      </c>
      <c r="M354" s="574">
        <f>0+táj2!M354</f>
        <v>0</v>
      </c>
      <c r="N354" s="574">
        <f>0+táj2!N354</f>
        <v>0</v>
      </c>
      <c r="O354" s="574">
        <f>0+táj2!O354</f>
        <v>0</v>
      </c>
      <c r="P354" s="574">
        <f>0+táj2!P354</f>
        <v>0</v>
      </c>
      <c r="Q354" s="578">
        <f t="shared" si="29"/>
        <v>0</v>
      </c>
    </row>
    <row r="355" spans="1:17" ht="15" customHeight="1" x14ac:dyDescent="0.2">
      <c r="A355" s="438"/>
      <c r="B355" s="438"/>
      <c r="C355" s="469" t="s">
        <v>915</v>
      </c>
      <c r="D355" s="411" t="s">
        <v>847</v>
      </c>
      <c r="E355" s="116">
        <v>1</v>
      </c>
      <c r="F355" s="116">
        <v>164446</v>
      </c>
      <c r="G355" s="574">
        <f>0+táj2!G355</f>
        <v>0</v>
      </c>
      <c r="H355" s="574">
        <f>0+táj2!H355</f>
        <v>0</v>
      </c>
      <c r="I355" s="574">
        <f>0+táj2!I355</f>
        <v>0</v>
      </c>
      <c r="J355" s="574">
        <f>0+táj2!J355</f>
        <v>0</v>
      </c>
      <c r="K355" s="574">
        <f>0+táj2!K355</f>
        <v>0</v>
      </c>
      <c r="L355" s="574">
        <f>0+táj2!L355</f>
        <v>0</v>
      </c>
      <c r="M355" s="574">
        <f>9596900+táj2!M355</f>
        <v>9596900</v>
      </c>
      <c r="N355" s="574">
        <f>0+táj2!N355</f>
        <v>0</v>
      </c>
      <c r="O355" s="574">
        <f>0+táj2!O355</f>
        <v>0</v>
      </c>
      <c r="P355" s="574">
        <f>0+táj2!P355</f>
        <v>0</v>
      </c>
      <c r="Q355" s="578">
        <f t="shared" si="29"/>
        <v>9596900</v>
      </c>
    </row>
    <row r="356" spans="1:17" ht="15" customHeight="1" x14ac:dyDescent="0.2">
      <c r="A356" s="438"/>
      <c r="B356" s="438"/>
      <c r="C356" s="469" t="s">
        <v>919</v>
      </c>
      <c r="D356" s="527" t="s">
        <v>920</v>
      </c>
      <c r="E356" s="201">
        <v>1</v>
      </c>
      <c r="F356" s="201">
        <v>162450</v>
      </c>
      <c r="G356" s="574">
        <f>0+táj2!G356</f>
        <v>0</v>
      </c>
      <c r="H356" s="574">
        <f>0+táj2!H356</f>
        <v>0</v>
      </c>
      <c r="I356" s="574">
        <f>0+táj2!I356</f>
        <v>0</v>
      </c>
      <c r="J356" s="574">
        <f>0+táj2!J356</f>
        <v>0</v>
      </c>
      <c r="K356" s="574">
        <f>0+táj2!K356</f>
        <v>0</v>
      </c>
      <c r="L356" s="574">
        <f>700000+táj2!L356</f>
        <v>0</v>
      </c>
      <c r="M356" s="574">
        <f>0+táj2!M356</f>
        <v>0</v>
      </c>
      <c r="N356" s="574">
        <f>0+táj2!N356</f>
        <v>0</v>
      </c>
      <c r="O356" s="574">
        <f>0+táj2!O356</f>
        <v>0</v>
      </c>
      <c r="P356" s="574">
        <f>0+táj2!P356</f>
        <v>0</v>
      </c>
      <c r="Q356" s="578">
        <f t="shared" si="29"/>
        <v>0</v>
      </c>
    </row>
    <row r="357" spans="1:17" ht="15" customHeight="1" x14ac:dyDescent="0.2">
      <c r="A357" s="207"/>
      <c r="B357" s="207"/>
      <c r="C357" s="273"/>
      <c r="D357" s="208" t="s">
        <v>746</v>
      </c>
      <c r="E357" s="201"/>
      <c r="F357" s="201"/>
      <c r="G357" s="574"/>
      <c r="H357" s="592"/>
      <c r="I357" s="592"/>
      <c r="J357" s="592"/>
      <c r="K357" s="592"/>
      <c r="L357" s="592"/>
      <c r="M357" s="592"/>
      <c r="N357" s="592"/>
      <c r="O357" s="592"/>
      <c r="P357" s="592"/>
      <c r="Q357" s="578"/>
    </row>
    <row r="358" spans="1:17" ht="15.4" customHeight="1" x14ac:dyDescent="0.2">
      <c r="A358" s="45"/>
      <c r="B358" s="45"/>
      <c r="C358" s="529" t="s">
        <v>854</v>
      </c>
      <c r="D358" s="314" t="s">
        <v>651</v>
      </c>
      <c r="E358" s="46">
        <v>1</v>
      </c>
      <c r="F358" s="48">
        <v>162419</v>
      </c>
      <c r="G358" s="574">
        <f>0+táj2!G358</f>
        <v>0</v>
      </c>
      <c r="H358" s="574">
        <f>0+táj2!H358</f>
        <v>0</v>
      </c>
      <c r="I358" s="574">
        <f>2025000+táj2!I358</f>
        <v>2025000</v>
      </c>
      <c r="J358" s="574">
        <f>0+táj2!J358</f>
        <v>0</v>
      </c>
      <c r="K358" s="574">
        <f>0+táj2!K358</f>
        <v>0</v>
      </c>
      <c r="L358" s="574">
        <f>0+táj2!L358</f>
        <v>0</v>
      </c>
      <c r="M358" s="574">
        <f>0+táj2!M358</f>
        <v>0</v>
      </c>
      <c r="N358" s="574">
        <f>0+táj2!N358</f>
        <v>0</v>
      </c>
      <c r="O358" s="574">
        <f>0+táj2!O358</f>
        <v>0</v>
      </c>
      <c r="P358" s="574">
        <f>0+táj2!P358</f>
        <v>0</v>
      </c>
      <c r="Q358" s="578">
        <f t="shared" ref="Q358:Q370" si="30">SUM(G358:P358)</f>
        <v>2025000</v>
      </c>
    </row>
    <row r="359" spans="1:17" ht="39" customHeight="1" x14ac:dyDescent="0.2">
      <c r="A359" s="45"/>
      <c r="B359" s="76"/>
      <c r="C359" s="529" t="s">
        <v>856</v>
      </c>
      <c r="D359" s="505" t="s">
        <v>652</v>
      </c>
      <c r="E359" s="46">
        <v>1</v>
      </c>
      <c r="F359" s="48">
        <v>162441</v>
      </c>
      <c r="G359" s="574">
        <f>0+táj2!G359</f>
        <v>0</v>
      </c>
      <c r="H359" s="574">
        <f>0+táj2!H359</f>
        <v>0</v>
      </c>
      <c r="I359" s="574">
        <f>0+táj2!I359</f>
        <v>0</v>
      </c>
      <c r="J359" s="574">
        <f>0+táj2!J359</f>
        <v>0</v>
      </c>
      <c r="K359" s="574">
        <f>0+táj2!K359</f>
        <v>0</v>
      </c>
      <c r="L359" s="574">
        <f>1944408+táj2!L359</f>
        <v>1944408</v>
      </c>
      <c r="M359" s="574">
        <f>0+táj2!M359</f>
        <v>0</v>
      </c>
      <c r="N359" s="574">
        <f>0+táj2!N359</f>
        <v>0</v>
      </c>
      <c r="O359" s="574">
        <f>0+táj2!O359</f>
        <v>0</v>
      </c>
      <c r="P359" s="574">
        <f>0+táj2!P359</f>
        <v>0</v>
      </c>
      <c r="Q359" s="578">
        <f t="shared" si="30"/>
        <v>1944408</v>
      </c>
    </row>
    <row r="360" spans="1:17" ht="16.899999999999999" customHeight="1" x14ac:dyDescent="0.2">
      <c r="A360" s="45"/>
      <c r="B360" s="76"/>
      <c r="C360" s="529" t="s">
        <v>857</v>
      </c>
      <c r="D360" s="517" t="s">
        <v>721</v>
      </c>
      <c r="E360" s="46">
        <v>1</v>
      </c>
      <c r="F360" s="46">
        <v>154474</v>
      </c>
      <c r="G360" s="574">
        <f>0+táj2!G360</f>
        <v>0</v>
      </c>
      <c r="H360" s="574">
        <f>0+táj2!H360</f>
        <v>0</v>
      </c>
      <c r="I360" s="574">
        <f>0+táj2!I360</f>
        <v>0</v>
      </c>
      <c r="J360" s="574">
        <f>0+táj2!J360</f>
        <v>0</v>
      </c>
      <c r="K360" s="574">
        <f>0+táj2!K360</f>
        <v>0</v>
      </c>
      <c r="L360" s="574">
        <f>0+táj2!L360</f>
        <v>0</v>
      </c>
      <c r="M360" s="574">
        <f>40862000+táj2!M360</f>
        <v>40862000</v>
      </c>
      <c r="N360" s="574">
        <f>0+táj2!N360</f>
        <v>0</v>
      </c>
      <c r="O360" s="574">
        <f>0+táj2!O360</f>
        <v>0</v>
      </c>
      <c r="P360" s="574">
        <f>0+táj2!P360</f>
        <v>0</v>
      </c>
      <c r="Q360" s="578">
        <f t="shared" si="30"/>
        <v>40862000</v>
      </c>
    </row>
    <row r="361" spans="1:17" ht="15.4" customHeight="1" x14ac:dyDescent="0.2">
      <c r="A361" s="45"/>
      <c r="B361" s="76"/>
      <c r="C361" s="529" t="s">
        <v>858</v>
      </c>
      <c r="D361" s="62" t="s">
        <v>546</v>
      </c>
      <c r="E361" s="46">
        <v>1</v>
      </c>
      <c r="F361" s="46">
        <v>162402</v>
      </c>
      <c r="G361" s="574">
        <f>0+táj2!G361</f>
        <v>0</v>
      </c>
      <c r="H361" s="574">
        <f>0+táj2!H361</f>
        <v>0</v>
      </c>
      <c r="I361" s="574">
        <f>0+táj2!I361</f>
        <v>0</v>
      </c>
      <c r="J361" s="574">
        <f>0+táj2!J361</f>
        <v>0</v>
      </c>
      <c r="K361" s="574">
        <f>0+táj2!K361</f>
        <v>0</v>
      </c>
      <c r="L361" s="574">
        <f>0+táj2!L361</f>
        <v>0</v>
      </c>
      <c r="M361" s="574">
        <f>1450000+táj2!M361</f>
        <v>2150000</v>
      </c>
      <c r="N361" s="574">
        <f>0+táj2!N361</f>
        <v>0</v>
      </c>
      <c r="O361" s="574">
        <f>0+táj2!O361</f>
        <v>0</v>
      </c>
      <c r="P361" s="574">
        <f>0+táj2!P361</f>
        <v>0</v>
      </c>
      <c r="Q361" s="578">
        <f t="shared" si="30"/>
        <v>2150000</v>
      </c>
    </row>
    <row r="362" spans="1:17" ht="17.25" customHeight="1" x14ac:dyDescent="0.2">
      <c r="A362" s="45"/>
      <c r="B362" s="76"/>
      <c r="C362" s="529" t="s">
        <v>859</v>
      </c>
      <c r="D362" s="518" t="s">
        <v>623</v>
      </c>
      <c r="E362" s="46">
        <v>1</v>
      </c>
      <c r="F362" s="46">
        <v>152467</v>
      </c>
      <c r="G362" s="574">
        <f>0+táj2!G362</f>
        <v>0</v>
      </c>
      <c r="H362" s="574">
        <f>0+táj2!H362</f>
        <v>0</v>
      </c>
      <c r="I362" s="574">
        <f>0+táj2!I362</f>
        <v>0</v>
      </c>
      <c r="J362" s="574">
        <f>0+táj2!J362</f>
        <v>0</v>
      </c>
      <c r="K362" s="574">
        <f>0+táj2!K362</f>
        <v>0</v>
      </c>
      <c r="L362" s="574">
        <f>2071624+táj2!L362</f>
        <v>2071624</v>
      </c>
      <c r="M362" s="574">
        <f>0+táj2!M362</f>
        <v>0</v>
      </c>
      <c r="N362" s="574">
        <f>0+táj2!N362</f>
        <v>0</v>
      </c>
      <c r="O362" s="574">
        <f>0+táj2!O362</f>
        <v>0</v>
      </c>
      <c r="P362" s="574">
        <f>0+táj2!P362</f>
        <v>0</v>
      </c>
      <c r="Q362" s="578">
        <f t="shared" si="30"/>
        <v>2071624</v>
      </c>
    </row>
    <row r="363" spans="1:17" ht="15.4" customHeight="1" x14ac:dyDescent="0.2">
      <c r="A363" s="45"/>
      <c r="B363" s="76"/>
      <c r="C363" s="529" t="s">
        <v>860</v>
      </c>
      <c r="D363" s="42" t="s">
        <v>624</v>
      </c>
      <c r="E363" s="46">
        <v>1</v>
      </c>
      <c r="F363" s="46">
        <v>154456</v>
      </c>
      <c r="G363" s="574">
        <f>0+táj2!G363</f>
        <v>0</v>
      </c>
      <c r="H363" s="574">
        <f>0+táj2!H363</f>
        <v>0</v>
      </c>
      <c r="I363" s="574">
        <f>339080+táj2!I363</f>
        <v>339080</v>
      </c>
      <c r="J363" s="574">
        <f>0+táj2!J363</f>
        <v>0</v>
      </c>
      <c r="K363" s="574">
        <f>0+táj2!K363</f>
        <v>0</v>
      </c>
      <c r="L363" s="574">
        <f>0+táj2!L363</f>
        <v>0</v>
      </c>
      <c r="M363" s="574">
        <f>1410920+táj2!M363</f>
        <v>1410920</v>
      </c>
      <c r="N363" s="574">
        <f>0+táj2!N363</f>
        <v>0</v>
      </c>
      <c r="O363" s="574">
        <f>0+táj2!O363</f>
        <v>0</v>
      </c>
      <c r="P363" s="574">
        <f>0+táj2!P363</f>
        <v>0</v>
      </c>
      <c r="Q363" s="578">
        <f t="shared" si="30"/>
        <v>1750000</v>
      </c>
    </row>
    <row r="364" spans="1:17" ht="15.4" customHeight="1" x14ac:dyDescent="0.2">
      <c r="A364" s="45"/>
      <c r="B364" s="76"/>
      <c r="C364" s="529" t="s">
        <v>73</v>
      </c>
      <c r="D364" s="77" t="s">
        <v>392</v>
      </c>
      <c r="E364" s="46"/>
      <c r="F364" s="46"/>
      <c r="G364" s="574"/>
      <c r="H364" s="574"/>
      <c r="I364" s="574"/>
      <c r="J364" s="574"/>
      <c r="K364" s="574"/>
      <c r="L364" s="574"/>
      <c r="M364" s="574"/>
      <c r="N364" s="574"/>
      <c r="O364" s="574"/>
      <c r="P364" s="574"/>
      <c r="Q364" s="578"/>
    </row>
    <row r="365" spans="1:17" ht="15.4" customHeight="1" x14ac:dyDescent="0.2">
      <c r="A365" s="45"/>
      <c r="B365" s="76"/>
      <c r="C365" s="530" t="s">
        <v>72</v>
      </c>
      <c r="D365" s="75" t="s">
        <v>409</v>
      </c>
      <c r="E365" s="46"/>
      <c r="F365" s="46"/>
      <c r="G365" s="574"/>
      <c r="H365" s="578"/>
      <c r="I365" s="578"/>
      <c r="J365" s="578"/>
      <c r="K365" s="578"/>
      <c r="L365" s="574"/>
      <c r="M365" s="578"/>
      <c r="N365" s="578"/>
      <c r="O365" s="578"/>
      <c r="P365" s="578"/>
      <c r="Q365" s="578"/>
    </row>
    <row r="366" spans="1:17" ht="15.4" customHeight="1" x14ac:dyDescent="0.2">
      <c r="A366" s="207"/>
      <c r="B366" s="199"/>
      <c r="C366" s="531"/>
      <c r="D366" s="208" t="s">
        <v>746</v>
      </c>
      <c r="E366" s="201"/>
      <c r="F366" s="201"/>
      <c r="G366" s="574"/>
      <c r="H366" s="580"/>
      <c r="I366" s="580"/>
      <c r="J366" s="580"/>
      <c r="K366" s="580"/>
      <c r="L366" s="592"/>
      <c r="M366" s="580"/>
      <c r="N366" s="580"/>
      <c r="O366" s="580"/>
      <c r="P366" s="580"/>
      <c r="Q366" s="580"/>
    </row>
    <row r="367" spans="1:17" ht="15.4" customHeight="1" x14ac:dyDescent="0.2">
      <c r="A367" s="45"/>
      <c r="B367" s="45"/>
      <c r="C367" s="532" t="s">
        <v>869</v>
      </c>
      <c r="D367" s="519" t="s">
        <v>625</v>
      </c>
      <c r="E367" s="439">
        <v>1</v>
      </c>
      <c r="F367" s="46">
        <v>162637</v>
      </c>
      <c r="G367" s="574">
        <f>0+táj2!G367</f>
        <v>0</v>
      </c>
      <c r="H367" s="574">
        <f>0+táj2!H367</f>
        <v>0</v>
      </c>
      <c r="I367" s="574">
        <f>0+táj2!I367</f>
        <v>0</v>
      </c>
      <c r="J367" s="574">
        <f>0+táj2!J367</f>
        <v>0</v>
      </c>
      <c r="K367" s="574">
        <f>0+táj2!K367</f>
        <v>0</v>
      </c>
      <c r="L367" s="574">
        <f>0+táj2!L367</f>
        <v>0</v>
      </c>
      <c r="M367" s="574">
        <f>7117600+táj2!M367</f>
        <v>7117600</v>
      </c>
      <c r="N367" s="574">
        <f>0+táj2!N367</f>
        <v>0</v>
      </c>
      <c r="O367" s="574">
        <f>0+táj2!O367</f>
        <v>0</v>
      </c>
      <c r="P367" s="574">
        <f>0+táj2!P367</f>
        <v>0</v>
      </c>
      <c r="Q367" s="578">
        <f t="shared" si="30"/>
        <v>7117600</v>
      </c>
    </row>
    <row r="368" spans="1:17" ht="15.4" customHeight="1" x14ac:dyDescent="0.2">
      <c r="A368" s="45"/>
      <c r="B368" s="45"/>
      <c r="C368" s="532" t="s">
        <v>870</v>
      </c>
      <c r="D368" s="477" t="s">
        <v>656</v>
      </c>
      <c r="E368" s="439">
        <v>1</v>
      </c>
      <c r="F368" s="46">
        <v>162621</v>
      </c>
      <c r="G368" s="574">
        <f>0+táj2!G368</f>
        <v>0</v>
      </c>
      <c r="H368" s="574">
        <f>0+táj2!H368</f>
        <v>0</v>
      </c>
      <c r="I368" s="574">
        <f>0+táj2!I368</f>
        <v>0</v>
      </c>
      <c r="J368" s="574">
        <f>0+táj2!J368</f>
        <v>0</v>
      </c>
      <c r="K368" s="574">
        <f>0+táj2!K368</f>
        <v>0</v>
      </c>
      <c r="L368" s="574">
        <f>1460500+táj2!L368</f>
        <v>1460500</v>
      </c>
      <c r="M368" s="574">
        <f>2413000+táj2!M368</f>
        <v>2413000</v>
      </c>
      <c r="N368" s="574">
        <f>0+táj2!N368</f>
        <v>0</v>
      </c>
      <c r="O368" s="574">
        <f>0+táj2!O368</f>
        <v>0</v>
      </c>
      <c r="P368" s="574">
        <f>0+táj2!P368</f>
        <v>0</v>
      </c>
      <c r="Q368" s="578">
        <f t="shared" si="30"/>
        <v>3873500</v>
      </c>
    </row>
    <row r="369" spans="1:17" ht="15.4" customHeight="1" x14ac:dyDescent="0.2">
      <c r="A369" s="45"/>
      <c r="B369" s="45"/>
      <c r="C369" s="532" t="s">
        <v>871</v>
      </c>
      <c r="D369" s="519" t="s">
        <v>410</v>
      </c>
      <c r="E369" s="439">
        <v>1</v>
      </c>
      <c r="F369" s="46">
        <v>162601</v>
      </c>
      <c r="G369" s="574">
        <f>0+táj2!G369</f>
        <v>0</v>
      </c>
      <c r="H369" s="574">
        <f>0+táj2!H369</f>
        <v>0</v>
      </c>
      <c r="I369" s="574">
        <f>0+táj2!I369</f>
        <v>0</v>
      </c>
      <c r="J369" s="574">
        <f>0+táj2!J369</f>
        <v>0</v>
      </c>
      <c r="K369" s="574">
        <f>0+táj2!K369</f>
        <v>0</v>
      </c>
      <c r="L369" s="574">
        <f>394000+táj2!L369</f>
        <v>394000</v>
      </c>
      <c r="M369" s="574">
        <f>0+táj2!M369</f>
        <v>0</v>
      </c>
      <c r="N369" s="574">
        <f>0+táj2!N369</f>
        <v>0</v>
      </c>
      <c r="O369" s="574">
        <f>0+táj2!O369</f>
        <v>0</v>
      </c>
      <c r="P369" s="574">
        <f>0+táj2!P369</f>
        <v>0</v>
      </c>
      <c r="Q369" s="578">
        <f t="shared" si="30"/>
        <v>394000</v>
      </c>
    </row>
    <row r="370" spans="1:17" ht="20.25" customHeight="1" x14ac:dyDescent="0.2">
      <c r="A370" s="45"/>
      <c r="B370" s="45"/>
      <c r="C370" s="532" t="s">
        <v>872</v>
      </c>
      <c r="D370" s="479" t="s">
        <v>654</v>
      </c>
      <c r="E370" s="439">
        <v>1</v>
      </c>
      <c r="F370" s="46">
        <v>162636</v>
      </c>
      <c r="G370" s="574">
        <f>0+táj2!G370</f>
        <v>0</v>
      </c>
      <c r="H370" s="574">
        <f>0+táj2!H370</f>
        <v>0</v>
      </c>
      <c r="I370" s="574">
        <f>1143000+táj2!I370</f>
        <v>1143000</v>
      </c>
      <c r="J370" s="574">
        <f>0+táj2!J370</f>
        <v>0</v>
      </c>
      <c r="K370" s="574">
        <f>0+táj2!K370</f>
        <v>0</v>
      </c>
      <c r="L370" s="574">
        <f>11330940+táj2!L370</f>
        <v>11330940</v>
      </c>
      <c r="M370" s="574">
        <f>10871060+táj2!M370</f>
        <v>10871060</v>
      </c>
      <c r="N370" s="574">
        <f>0+táj2!N370</f>
        <v>0</v>
      </c>
      <c r="O370" s="574">
        <f>0+táj2!O370</f>
        <v>0</v>
      </c>
      <c r="P370" s="574">
        <f>0+táj2!P370</f>
        <v>0</v>
      </c>
      <c r="Q370" s="578">
        <f t="shared" si="30"/>
        <v>23345000</v>
      </c>
    </row>
    <row r="371" spans="1:17" ht="15.6" customHeight="1" x14ac:dyDescent="0.2">
      <c r="A371" s="45"/>
      <c r="B371" s="45"/>
      <c r="C371" s="529" t="s">
        <v>74</v>
      </c>
      <c r="D371" s="75" t="s">
        <v>394</v>
      </c>
      <c r="E371" s="46"/>
      <c r="F371" s="46"/>
      <c r="G371" s="574"/>
      <c r="H371" s="574"/>
      <c r="I371" s="574"/>
      <c r="J371" s="574"/>
      <c r="K371" s="574"/>
      <c r="L371" s="574"/>
      <c r="M371" s="574"/>
      <c r="N371" s="574"/>
      <c r="O371" s="574"/>
      <c r="P371" s="574"/>
      <c r="Q371" s="578"/>
    </row>
    <row r="372" spans="1:17" ht="14.45" customHeight="1" x14ac:dyDescent="0.2">
      <c r="A372" s="45"/>
      <c r="B372" s="45"/>
      <c r="C372" s="533" t="s">
        <v>75</v>
      </c>
      <c r="D372" s="274" t="s">
        <v>395</v>
      </c>
      <c r="E372" s="46"/>
      <c r="F372" s="46"/>
      <c r="G372" s="574"/>
      <c r="H372" s="574"/>
      <c r="I372" s="574"/>
      <c r="J372" s="574"/>
      <c r="K372" s="574"/>
      <c r="L372" s="574"/>
      <c r="M372" s="574"/>
      <c r="N372" s="574"/>
      <c r="O372" s="574"/>
      <c r="P372" s="574"/>
      <c r="Q372" s="578"/>
    </row>
    <row r="373" spans="1:17" ht="15" customHeight="1" x14ac:dyDescent="0.2">
      <c r="A373" s="45"/>
      <c r="B373" s="45"/>
      <c r="C373" s="476" t="s">
        <v>76</v>
      </c>
      <c r="D373" s="274" t="s">
        <v>948</v>
      </c>
      <c r="E373" s="46"/>
      <c r="F373" s="46"/>
      <c r="G373" s="574"/>
      <c r="H373" s="574"/>
      <c r="I373" s="574"/>
      <c r="J373" s="574"/>
      <c r="K373" s="574"/>
      <c r="L373" s="574"/>
      <c r="M373" s="574"/>
      <c r="N373" s="574"/>
      <c r="O373" s="574"/>
      <c r="P373" s="574"/>
      <c r="Q373" s="578"/>
    </row>
    <row r="374" spans="1:17" ht="15" customHeight="1" x14ac:dyDescent="0.2">
      <c r="A374" s="438"/>
      <c r="B374" s="438"/>
      <c r="C374" s="528" t="s">
        <v>916</v>
      </c>
      <c r="D374" s="411" t="s">
        <v>843</v>
      </c>
      <c r="E374" s="201">
        <v>2</v>
      </c>
      <c r="F374" s="201">
        <v>161914</v>
      </c>
      <c r="G374" s="574">
        <f>0+táj2!G374</f>
        <v>0</v>
      </c>
      <c r="H374" s="574">
        <f>0+táj2!H374</f>
        <v>0</v>
      </c>
      <c r="I374" s="574">
        <f>25400000+táj2!I374</f>
        <v>20050000</v>
      </c>
      <c r="J374" s="574">
        <f>0+táj2!J374</f>
        <v>0</v>
      </c>
      <c r="K374" s="574">
        <f>0+táj2!K374</f>
        <v>0</v>
      </c>
      <c r="L374" s="574">
        <f>0+táj2!L374</f>
        <v>0</v>
      </c>
      <c r="M374" s="574">
        <f>0+táj2!M374</f>
        <v>0</v>
      </c>
      <c r="N374" s="574">
        <f>0+táj2!N374</f>
        <v>0</v>
      </c>
      <c r="O374" s="574">
        <f>0+táj2!O374</f>
        <v>0</v>
      </c>
      <c r="P374" s="574">
        <f>0+táj2!P374</f>
        <v>0</v>
      </c>
      <c r="Q374" s="578">
        <f t="shared" ref="Q374:Q379" si="31">SUM(G374:P374)</f>
        <v>20050000</v>
      </c>
    </row>
    <row r="375" spans="1:17" ht="15" customHeight="1" x14ac:dyDescent="0.2">
      <c r="A375" s="438"/>
      <c r="B375" s="438"/>
      <c r="C375" s="528" t="s">
        <v>917</v>
      </c>
      <c r="D375" s="411" t="s">
        <v>844</v>
      </c>
      <c r="E375" s="201">
        <v>2</v>
      </c>
      <c r="F375" s="201">
        <v>161915</v>
      </c>
      <c r="G375" s="574">
        <f>0+táj2!G375</f>
        <v>0</v>
      </c>
      <c r="H375" s="574">
        <f>0+táj2!H375</f>
        <v>0</v>
      </c>
      <c r="I375" s="574">
        <f>2540000+táj2!I375</f>
        <v>2540000</v>
      </c>
      <c r="J375" s="574">
        <f>0+táj2!J375</f>
        <v>0</v>
      </c>
      <c r="K375" s="574">
        <f>0+táj2!K375</f>
        <v>0</v>
      </c>
      <c r="L375" s="574">
        <f>0+táj2!L375</f>
        <v>0</v>
      </c>
      <c r="M375" s="574">
        <f>0+táj2!M375</f>
        <v>0</v>
      </c>
      <c r="N375" s="574">
        <f>0+táj2!N375</f>
        <v>0</v>
      </c>
      <c r="O375" s="574">
        <f>0+táj2!O375</f>
        <v>0</v>
      </c>
      <c r="P375" s="574">
        <f>0+táj2!P375</f>
        <v>0</v>
      </c>
      <c r="Q375" s="578">
        <f t="shared" si="31"/>
        <v>2540000</v>
      </c>
    </row>
    <row r="376" spans="1:17" ht="15" customHeight="1" x14ac:dyDescent="0.2">
      <c r="A376" s="438"/>
      <c r="B376" s="438"/>
      <c r="C376" s="528" t="s">
        <v>918</v>
      </c>
      <c r="D376" s="411" t="s">
        <v>909</v>
      </c>
      <c r="E376" s="201">
        <v>1</v>
      </c>
      <c r="F376" s="201">
        <v>164447</v>
      </c>
      <c r="G376" s="574">
        <f>0+táj2!G376</f>
        <v>0</v>
      </c>
      <c r="H376" s="574">
        <f>0+táj2!H376</f>
        <v>0</v>
      </c>
      <c r="I376" s="574">
        <f>0+táj2!I376</f>
        <v>0</v>
      </c>
      <c r="J376" s="574">
        <f>0+táj2!J376</f>
        <v>0</v>
      </c>
      <c r="K376" s="574">
        <f>0+táj2!K376</f>
        <v>0</v>
      </c>
      <c r="L376" s="574">
        <f>0+táj2!L376</f>
        <v>0</v>
      </c>
      <c r="M376" s="574">
        <f>1805635+táj2!M376</f>
        <v>1805635</v>
      </c>
      <c r="N376" s="574">
        <f>0+táj2!N376</f>
        <v>0</v>
      </c>
      <c r="O376" s="574">
        <f>0+táj2!O376</f>
        <v>0</v>
      </c>
      <c r="P376" s="574">
        <f>0+táj2!P376</f>
        <v>0</v>
      </c>
      <c r="Q376" s="578">
        <f t="shared" si="31"/>
        <v>1805635</v>
      </c>
    </row>
    <row r="377" spans="1:17" ht="15" customHeight="1" x14ac:dyDescent="0.2">
      <c r="A377" s="634"/>
      <c r="B377" s="634"/>
      <c r="C377" s="691" t="s">
        <v>1017</v>
      </c>
      <c r="D377" s="692" t="s">
        <v>1019</v>
      </c>
      <c r="E377" s="687">
        <v>2</v>
      </c>
      <c r="F377" s="687">
        <v>164960</v>
      </c>
      <c r="G377" s="678">
        <f>0+táj2!G377</f>
        <v>0</v>
      </c>
      <c r="H377" s="678">
        <f>0+táj2!H377</f>
        <v>0</v>
      </c>
      <c r="I377" s="678">
        <f>0+táj2!I377</f>
        <v>0</v>
      </c>
      <c r="J377" s="678">
        <f>0+táj2!J377</f>
        <v>0</v>
      </c>
      <c r="K377" s="678">
        <f>0+táj2!K377</f>
        <v>0</v>
      </c>
      <c r="L377" s="678">
        <f>0+táj2!L377</f>
        <v>0</v>
      </c>
      <c r="M377" s="678">
        <f>2500000+táj2!M377</f>
        <v>2500000</v>
      </c>
      <c r="N377" s="678">
        <f>0+táj2!N377</f>
        <v>0</v>
      </c>
      <c r="O377" s="678">
        <f>0+táj2!O377</f>
        <v>0</v>
      </c>
      <c r="P377" s="678">
        <f>0+táj2!P377</f>
        <v>0</v>
      </c>
      <c r="Q377" s="578">
        <f t="shared" si="31"/>
        <v>2500000</v>
      </c>
    </row>
    <row r="378" spans="1:17" ht="15" customHeight="1" x14ac:dyDescent="0.2">
      <c r="A378" s="634"/>
      <c r="B378" s="634"/>
      <c r="C378" s="691" t="s">
        <v>1018</v>
      </c>
      <c r="D378" s="692" t="s">
        <v>1020</v>
      </c>
      <c r="E378" s="687">
        <v>2</v>
      </c>
      <c r="F378" s="687">
        <v>164961</v>
      </c>
      <c r="G378" s="678">
        <f>0+táj2!G378</f>
        <v>0</v>
      </c>
      <c r="H378" s="678">
        <f>0+táj2!H378</f>
        <v>0</v>
      </c>
      <c r="I378" s="678">
        <f>0+táj2!I378</f>
        <v>0</v>
      </c>
      <c r="J378" s="678">
        <f>0+táj2!J378</f>
        <v>0</v>
      </c>
      <c r="K378" s="678">
        <f>0+táj2!K378</f>
        <v>0</v>
      </c>
      <c r="L378" s="678">
        <f>0+táj2!L378</f>
        <v>0</v>
      </c>
      <c r="M378" s="678">
        <f>6324600+táj2!M378</f>
        <v>6324600</v>
      </c>
      <c r="N378" s="678">
        <f>0+táj2!N378</f>
        <v>0</v>
      </c>
      <c r="O378" s="678">
        <f>0+táj2!O378</f>
        <v>0</v>
      </c>
      <c r="P378" s="678">
        <f>0+táj2!P378</f>
        <v>0</v>
      </c>
      <c r="Q378" s="578">
        <f t="shared" si="31"/>
        <v>6324600</v>
      </c>
    </row>
    <row r="379" spans="1:17" ht="15" customHeight="1" x14ac:dyDescent="0.2">
      <c r="A379" s="634"/>
      <c r="B379" s="634"/>
      <c r="C379" s="691" t="s">
        <v>1028</v>
      </c>
      <c r="D379" s="692" t="s">
        <v>1030</v>
      </c>
      <c r="E379" s="687">
        <v>2</v>
      </c>
      <c r="F379" s="687">
        <v>162919</v>
      </c>
      <c r="G379" s="678">
        <f>0+táj2!G379</f>
        <v>0</v>
      </c>
      <c r="H379" s="678">
        <f>0+táj2!H379</f>
        <v>0</v>
      </c>
      <c r="I379" s="678">
        <f>0+táj2!I379</f>
        <v>0</v>
      </c>
      <c r="J379" s="678">
        <f>0+táj2!J379</f>
        <v>0</v>
      </c>
      <c r="K379" s="678">
        <f>0+táj2!K379</f>
        <v>0</v>
      </c>
      <c r="L379" s="678">
        <f>2245704+táj2!L379</f>
        <v>5003933</v>
      </c>
      <c r="M379" s="678">
        <f>0+táj2!M379</f>
        <v>0</v>
      </c>
      <c r="N379" s="678">
        <f>0+táj2!N379</f>
        <v>0</v>
      </c>
      <c r="O379" s="678">
        <f>0+táj2!O379</f>
        <v>0</v>
      </c>
      <c r="P379" s="678">
        <f>0+táj2!P379</f>
        <v>0</v>
      </c>
      <c r="Q379" s="578">
        <f t="shared" si="31"/>
        <v>5003933</v>
      </c>
    </row>
    <row r="380" spans="1:17" ht="15" customHeight="1" x14ac:dyDescent="0.2">
      <c r="A380" s="207"/>
      <c r="B380" s="207"/>
      <c r="C380" s="534"/>
      <c r="D380" s="439" t="s">
        <v>746</v>
      </c>
      <c r="E380" s="201"/>
      <c r="F380" s="201"/>
      <c r="G380" s="574"/>
      <c r="H380" s="592"/>
      <c r="I380" s="592"/>
      <c r="J380" s="592"/>
      <c r="K380" s="592"/>
      <c r="L380" s="592"/>
      <c r="M380" s="592"/>
      <c r="N380" s="592"/>
      <c r="O380" s="592"/>
      <c r="P380" s="592"/>
      <c r="Q380" s="578"/>
    </row>
    <row r="381" spans="1:17" ht="15" customHeight="1" x14ac:dyDescent="0.2">
      <c r="A381" s="438"/>
      <c r="B381" s="438"/>
      <c r="C381" s="535" t="s">
        <v>921</v>
      </c>
      <c r="D381" s="520" t="s">
        <v>335</v>
      </c>
      <c r="E381" s="201">
        <v>1</v>
      </c>
      <c r="F381" s="106">
        <v>134908</v>
      </c>
      <c r="G381" s="574">
        <f>0+táj2!G381</f>
        <v>0</v>
      </c>
      <c r="H381" s="574">
        <f>0+táj2!H381</f>
        <v>0</v>
      </c>
      <c r="I381" s="574">
        <f>0+táj2!I381</f>
        <v>0</v>
      </c>
      <c r="J381" s="574">
        <f>0+táj2!J381</f>
        <v>0</v>
      </c>
      <c r="K381" s="574">
        <f>0+táj2!K381</f>
        <v>0</v>
      </c>
      <c r="L381" s="574">
        <f>0+táj2!L381</f>
        <v>0</v>
      </c>
      <c r="M381" s="574">
        <f>1594000+táj2!M381</f>
        <v>1594000</v>
      </c>
      <c r="N381" s="574">
        <f>0+táj2!N381</f>
        <v>0</v>
      </c>
      <c r="O381" s="574">
        <f>0+táj2!O381</f>
        <v>0</v>
      </c>
      <c r="P381" s="574">
        <f>0+táj2!P381</f>
        <v>0</v>
      </c>
      <c r="Q381" s="578">
        <f t="shared" ref="Q381:Q393" si="32">SUM(G381:P381)</f>
        <v>1594000</v>
      </c>
    </row>
    <row r="382" spans="1:17" ht="29.25" customHeight="1" x14ac:dyDescent="0.2">
      <c r="A382" s="438"/>
      <c r="B382" s="438"/>
      <c r="C382" s="528" t="s">
        <v>922</v>
      </c>
      <c r="D382" s="520" t="s">
        <v>851</v>
      </c>
      <c r="E382" s="201">
        <v>1</v>
      </c>
      <c r="F382" s="439">
        <v>131902</v>
      </c>
      <c r="G382" s="574">
        <f>0+táj2!G382</f>
        <v>0</v>
      </c>
      <c r="H382" s="574">
        <f>0+táj2!H382</f>
        <v>0</v>
      </c>
      <c r="I382" s="574">
        <f>0+táj2!I382</f>
        <v>0</v>
      </c>
      <c r="J382" s="574">
        <f>0+táj2!J382</f>
        <v>0</v>
      </c>
      <c r="K382" s="574">
        <f>0+táj2!K382</f>
        <v>0</v>
      </c>
      <c r="L382" s="574">
        <f>0+táj2!L382</f>
        <v>0</v>
      </c>
      <c r="M382" s="574">
        <f>18300000+táj2!M382</f>
        <v>18300000</v>
      </c>
      <c r="N382" s="574">
        <f>0+táj2!N382</f>
        <v>0</v>
      </c>
      <c r="O382" s="574">
        <f>0+táj2!O382</f>
        <v>0</v>
      </c>
      <c r="P382" s="574">
        <f>0+táj2!P382</f>
        <v>0</v>
      </c>
      <c r="Q382" s="578">
        <f t="shared" si="32"/>
        <v>18300000</v>
      </c>
    </row>
    <row r="383" spans="1:17" ht="15" customHeight="1" x14ac:dyDescent="0.2">
      <c r="A383" s="438"/>
      <c r="B383" s="438"/>
      <c r="C383" s="535" t="s">
        <v>923</v>
      </c>
      <c r="D383" s="477" t="s">
        <v>622</v>
      </c>
      <c r="E383" s="201">
        <v>2</v>
      </c>
      <c r="F383" s="439">
        <v>132947</v>
      </c>
      <c r="G383" s="574">
        <f>0+táj2!G383</f>
        <v>0</v>
      </c>
      <c r="H383" s="574">
        <f>0+táj2!H383</f>
        <v>0</v>
      </c>
      <c r="I383" s="574">
        <f>0+táj2!I383</f>
        <v>0</v>
      </c>
      <c r="J383" s="574">
        <f>0+táj2!J383</f>
        <v>0</v>
      </c>
      <c r="K383" s="574">
        <f>0+táj2!K383</f>
        <v>0</v>
      </c>
      <c r="L383" s="574">
        <f>26817000+táj2!L383</f>
        <v>26817000</v>
      </c>
      <c r="M383" s="574">
        <f>0+táj2!M383</f>
        <v>0</v>
      </c>
      <c r="N383" s="574">
        <f>0+táj2!N383</f>
        <v>0</v>
      </c>
      <c r="O383" s="574">
        <f>0+táj2!O383</f>
        <v>0</v>
      </c>
      <c r="P383" s="574">
        <f>0+táj2!P383</f>
        <v>0</v>
      </c>
      <c r="Q383" s="578">
        <f t="shared" si="32"/>
        <v>26817000</v>
      </c>
    </row>
    <row r="384" spans="1:17" ht="15" customHeight="1" x14ac:dyDescent="0.2">
      <c r="A384" s="438"/>
      <c r="B384" s="438"/>
      <c r="C384" s="528" t="s">
        <v>924</v>
      </c>
      <c r="D384" s="411" t="s">
        <v>1021</v>
      </c>
      <c r="E384" s="201">
        <v>2</v>
      </c>
      <c r="F384" s="439">
        <v>134957</v>
      </c>
      <c r="G384" s="574">
        <f>0+táj2!G384</f>
        <v>0</v>
      </c>
      <c r="H384" s="574">
        <f>0+táj2!H384</f>
        <v>0</v>
      </c>
      <c r="I384" s="574">
        <f>0+táj2!I384</f>
        <v>0</v>
      </c>
      <c r="J384" s="574">
        <f>0+táj2!J384</f>
        <v>0</v>
      </c>
      <c r="K384" s="574">
        <f>0+táj2!K384</f>
        <v>0</v>
      </c>
      <c r="L384" s="574">
        <f>0+táj2!L384</f>
        <v>0</v>
      </c>
      <c r="M384" s="574">
        <f>26659270+táj2!M384</f>
        <v>26659270</v>
      </c>
      <c r="N384" s="574">
        <f>0+táj2!N384</f>
        <v>0</v>
      </c>
      <c r="O384" s="574">
        <f>0+táj2!O384</f>
        <v>0</v>
      </c>
      <c r="P384" s="574">
        <f>0+táj2!P384</f>
        <v>0</v>
      </c>
      <c r="Q384" s="578">
        <f t="shared" si="32"/>
        <v>26659270</v>
      </c>
    </row>
    <row r="385" spans="1:17" ht="15" customHeight="1" x14ac:dyDescent="0.2">
      <c r="A385" s="438"/>
      <c r="B385" s="438"/>
      <c r="C385" s="535" t="s">
        <v>925</v>
      </c>
      <c r="D385" s="411" t="s">
        <v>705</v>
      </c>
      <c r="E385" s="201">
        <v>2</v>
      </c>
      <c r="F385" s="439">
        <v>134958</v>
      </c>
      <c r="G385" s="574">
        <f>0+táj2!G385</f>
        <v>0</v>
      </c>
      <c r="H385" s="574">
        <f>0+táj2!H385</f>
        <v>0</v>
      </c>
      <c r="I385" s="574">
        <f>1524000+táj2!I385</f>
        <v>1524000</v>
      </c>
      <c r="J385" s="574">
        <f>0+táj2!J385</f>
        <v>0</v>
      </c>
      <c r="K385" s="574">
        <f>0+táj2!K385</f>
        <v>0</v>
      </c>
      <c r="L385" s="574">
        <f>0+táj2!L385</f>
        <v>0</v>
      </c>
      <c r="M385" s="574">
        <f>0+táj2!M385</f>
        <v>0</v>
      </c>
      <c r="N385" s="574">
        <f>0+táj2!N385</f>
        <v>0</v>
      </c>
      <c r="O385" s="574">
        <f>0+táj2!O385</f>
        <v>0</v>
      </c>
      <c r="P385" s="574">
        <f>0+táj2!P385</f>
        <v>0</v>
      </c>
      <c r="Q385" s="578">
        <f t="shared" si="32"/>
        <v>1524000</v>
      </c>
    </row>
    <row r="386" spans="1:17" ht="15" customHeight="1" x14ac:dyDescent="0.2">
      <c r="A386" s="438"/>
      <c r="B386" s="438"/>
      <c r="C386" s="528" t="s">
        <v>926</v>
      </c>
      <c r="D386" s="521" t="s">
        <v>805</v>
      </c>
      <c r="E386" s="201">
        <v>2</v>
      </c>
      <c r="F386" s="439">
        <v>132931</v>
      </c>
      <c r="G386" s="574">
        <f>0+táj2!G386</f>
        <v>0</v>
      </c>
      <c r="H386" s="574">
        <f>0+táj2!H386</f>
        <v>0</v>
      </c>
      <c r="I386" s="574">
        <f>0+táj2!I386</f>
        <v>0</v>
      </c>
      <c r="J386" s="574">
        <f>0+táj2!J386</f>
        <v>0</v>
      </c>
      <c r="K386" s="574">
        <f>0+táj2!K386</f>
        <v>0</v>
      </c>
      <c r="L386" s="574">
        <f>0+táj2!L386</f>
        <v>0</v>
      </c>
      <c r="M386" s="574">
        <f>12000000+táj2!M386</f>
        <v>12000000</v>
      </c>
      <c r="N386" s="574">
        <f>0+táj2!N386</f>
        <v>0</v>
      </c>
      <c r="O386" s="574">
        <f>0+táj2!O386</f>
        <v>0</v>
      </c>
      <c r="P386" s="574">
        <f>0+táj2!P386</f>
        <v>0</v>
      </c>
      <c r="Q386" s="578">
        <f t="shared" si="32"/>
        <v>12000000</v>
      </c>
    </row>
    <row r="387" spans="1:17" ht="15" customHeight="1" x14ac:dyDescent="0.2">
      <c r="A387" s="45"/>
      <c r="B387" s="45"/>
      <c r="C387" s="535" t="s">
        <v>927</v>
      </c>
      <c r="D387" s="522" t="s">
        <v>722</v>
      </c>
      <c r="E387" s="201">
        <v>1</v>
      </c>
      <c r="F387" s="46">
        <v>164952</v>
      </c>
      <c r="G387" s="574">
        <f>0+táj2!G387</f>
        <v>0</v>
      </c>
      <c r="H387" s="574">
        <f>0+táj2!H387</f>
        <v>0</v>
      </c>
      <c r="I387" s="574">
        <f>943000+táj2!I387</f>
        <v>943000</v>
      </c>
      <c r="J387" s="574">
        <f>0+táj2!J387</f>
        <v>0</v>
      </c>
      <c r="K387" s="574">
        <f>0+táj2!K387</f>
        <v>0</v>
      </c>
      <c r="L387" s="574">
        <f>22910400+táj2!L387</f>
        <v>22910400</v>
      </c>
      <c r="M387" s="574">
        <f>0+táj2!M387</f>
        <v>0</v>
      </c>
      <c r="N387" s="574">
        <f>8299000+táj2!N387</f>
        <v>8299000</v>
      </c>
      <c r="O387" s="574">
        <f>0+táj2!O387</f>
        <v>0</v>
      </c>
      <c r="P387" s="574">
        <f>0+táj2!P387</f>
        <v>0</v>
      </c>
      <c r="Q387" s="578">
        <f t="shared" si="32"/>
        <v>32152400</v>
      </c>
    </row>
    <row r="388" spans="1:17" ht="15" customHeight="1" x14ac:dyDescent="0.2">
      <c r="A388" s="438"/>
      <c r="B388" s="438"/>
      <c r="C388" s="528" t="s">
        <v>928</v>
      </c>
      <c r="D388" s="477" t="s">
        <v>848</v>
      </c>
      <c r="E388" s="201">
        <v>2</v>
      </c>
      <c r="F388" s="439">
        <v>162986</v>
      </c>
      <c r="G388" s="574">
        <f>0+táj2!G388</f>
        <v>0</v>
      </c>
      <c r="H388" s="574">
        <f>0+táj2!H388</f>
        <v>0</v>
      </c>
      <c r="I388" s="574">
        <f>0+táj2!I388</f>
        <v>0</v>
      </c>
      <c r="J388" s="574">
        <f>0+táj2!J388</f>
        <v>0</v>
      </c>
      <c r="K388" s="574">
        <f>0+táj2!K388</f>
        <v>0</v>
      </c>
      <c r="L388" s="574">
        <f>3800000+táj2!L388</f>
        <v>3800000</v>
      </c>
      <c r="M388" s="574">
        <f>0+táj2!M388</f>
        <v>0</v>
      </c>
      <c r="N388" s="574">
        <f>0+táj2!N388</f>
        <v>0</v>
      </c>
      <c r="O388" s="574">
        <f>0+táj2!O388</f>
        <v>0</v>
      </c>
      <c r="P388" s="574">
        <f>0+táj2!P388</f>
        <v>0</v>
      </c>
      <c r="Q388" s="578">
        <f t="shared" si="32"/>
        <v>3800000</v>
      </c>
    </row>
    <row r="389" spans="1:17" ht="36" customHeight="1" x14ac:dyDescent="0.2">
      <c r="A389" s="45"/>
      <c r="B389" s="45"/>
      <c r="C389" s="535" t="s">
        <v>929</v>
      </c>
      <c r="D389" s="460" t="s">
        <v>723</v>
      </c>
      <c r="E389" s="201">
        <v>2</v>
      </c>
      <c r="F389" s="46">
        <v>164955</v>
      </c>
      <c r="G389" s="574">
        <f>0+táj2!G389</f>
        <v>0</v>
      </c>
      <c r="H389" s="574">
        <f>0+táj2!H389</f>
        <v>0</v>
      </c>
      <c r="I389" s="574">
        <f>0+táj2!I389</f>
        <v>0</v>
      </c>
      <c r="J389" s="574">
        <f>0+táj2!J389</f>
        <v>0</v>
      </c>
      <c r="K389" s="574">
        <f>0+táj2!K389</f>
        <v>0</v>
      </c>
      <c r="L389" s="574">
        <f>0+táj2!L389</f>
        <v>0</v>
      </c>
      <c r="M389" s="574">
        <f>15000000+táj2!M389</f>
        <v>15000000</v>
      </c>
      <c r="N389" s="574">
        <f>0+táj2!N389</f>
        <v>0</v>
      </c>
      <c r="O389" s="574">
        <f>0+táj2!O389</f>
        <v>0</v>
      </c>
      <c r="P389" s="574">
        <f>0+táj2!P389</f>
        <v>0</v>
      </c>
      <c r="Q389" s="578">
        <f t="shared" si="32"/>
        <v>15000000</v>
      </c>
    </row>
    <row r="390" spans="1:17" ht="18.600000000000001" customHeight="1" x14ac:dyDescent="0.2">
      <c r="A390" s="45"/>
      <c r="B390" s="45"/>
      <c r="C390" s="528" t="s">
        <v>930</v>
      </c>
      <c r="D390" s="460" t="s">
        <v>724</v>
      </c>
      <c r="E390" s="201">
        <v>2</v>
      </c>
      <c r="F390" s="46">
        <v>164956</v>
      </c>
      <c r="G390" s="574">
        <f>0+táj2!G390</f>
        <v>0</v>
      </c>
      <c r="H390" s="574">
        <f>0+táj2!H390</f>
        <v>0</v>
      </c>
      <c r="I390" s="574">
        <f>0+táj2!I390</f>
        <v>0</v>
      </c>
      <c r="J390" s="574">
        <f>0+táj2!J390</f>
        <v>0</v>
      </c>
      <c r="K390" s="574">
        <f>0+táj2!K390</f>
        <v>0</v>
      </c>
      <c r="L390" s="574">
        <f>0+táj2!L390</f>
        <v>0</v>
      </c>
      <c r="M390" s="574">
        <f>990600+táj2!M390</f>
        <v>990600</v>
      </c>
      <c r="N390" s="574">
        <f>0+táj2!N390</f>
        <v>0</v>
      </c>
      <c r="O390" s="574">
        <f>0+táj2!O390</f>
        <v>0</v>
      </c>
      <c r="P390" s="574">
        <f>0+táj2!P390</f>
        <v>0</v>
      </c>
      <c r="Q390" s="578">
        <f t="shared" si="32"/>
        <v>990600</v>
      </c>
    </row>
    <row r="391" spans="1:17" ht="24" customHeight="1" x14ac:dyDescent="0.2">
      <c r="A391" s="45"/>
      <c r="B391" s="45"/>
      <c r="C391" s="535" t="s">
        <v>931</v>
      </c>
      <c r="D391" s="460" t="s">
        <v>725</v>
      </c>
      <c r="E391" s="201">
        <v>2</v>
      </c>
      <c r="F391" s="46">
        <v>152516</v>
      </c>
      <c r="G391" s="574">
        <f>0+táj2!G391</f>
        <v>0</v>
      </c>
      <c r="H391" s="574">
        <f>0+táj2!H391</f>
        <v>0</v>
      </c>
      <c r="I391" s="574">
        <f>0+táj2!I391</f>
        <v>0</v>
      </c>
      <c r="J391" s="574">
        <f>0+táj2!J391</f>
        <v>0</v>
      </c>
      <c r="K391" s="574">
        <f>0+táj2!K391</f>
        <v>0</v>
      </c>
      <c r="L391" s="574">
        <f>1000000+táj2!L391</f>
        <v>1000000</v>
      </c>
      <c r="M391" s="574">
        <f>0+táj2!M391</f>
        <v>0</v>
      </c>
      <c r="N391" s="574">
        <f>0+táj2!N391</f>
        <v>0</v>
      </c>
      <c r="O391" s="574">
        <f>0+táj2!O391</f>
        <v>0</v>
      </c>
      <c r="P391" s="574">
        <f>0+táj2!P391</f>
        <v>0</v>
      </c>
      <c r="Q391" s="578">
        <f t="shared" si="32"/>
        <v>1000000</v>
      </c>
    </row>
    <row r="392" spans="1:17" ht="24" customHeight="1" x14ac:dyDescent="0.2">
      <c r="A392" s="45"/>
      <c r="B392" s="45"/>
      <c r="C392" s="528" t="s">
        <v>932</v>
      </c>
      <c r="D392" s="460" t="s">
        <v>726</v>
      </c>
      <c r="E392" s="201">
        <v>2</v>
      </c>
      <c r="F392" s="46">
        <v>162624</v>
      </c>
      <c r="G392" s="574">
        <f>0+táj2!G392</f>
        <v>0</v>
      </c>
      <c r="H392" s="574">
        <f>0+táj2!H392</f>
        <v>0</v>
      </c>
      <c r="I392" s="574">
        <f>0+táj2!I392</f>
        <v>0</v>
      </c>
      <c r="J392" s="574">
        <f>0+táj2!J392</f>
        <v>0</v>
      </c>
      <c r="K392" s="574">
        <f>0+táj2!K392</f>
        <v>0</v>
      </c>
      <c r="L392" s="574">
        <f>6754152+táj2!L392</f>
        <v>6754152</v>
      </c>
      <c r="M392" s="574">
        <f>0+táj2!M392</f>
        <v>0</v>
      </c>
      <c r="N392" s="574">
        <f>0+táj2!N392</f>
        <v>0</v>
      </c>
      <c r="O392" s="574">
        <f>0+táj2!O392</f>
        <v>0</v>
      </c>
      <c r="P392" s="574">
        <f>0+táj2!P392</f>
        <v>0</v>
      </c>
      <c r="Q392" s="578">
        <f t="shared" si="32"/>
        <v>6754152</v>
      </c>
    </row>
    <row r="393" spans="1:17" ht="35.25" customHeight="1" x14ac:dyDescent="0.2">
      <c r="A393" s="45"/>
      <c r="B393" s="45"/>
      <c r="C393" s="535" t="s">
        <v>933</v>
      </c>
      <c r="D393" s="460" t="s">
        <v>727</v>
      </c>
      <c r="E393" s="201">
        <v>2</v>
      </c>
      <c r="F393" s="46">
        <v>162989</v>
      </c>
      <c r="G393" s="574">
        <f>0+táj2!G393</f>
        <v>0</v>
      </c>
      <c r="H393" s="574">
        <f>0+táj2!H393</f>
        <v>0</v>
      </c>
      <c r="I393" s="574">
        <f>0+táj2!I393</f>
        <v>0</v>
      </c>
      <c r="J393" s="574">
        <f>0+táj2!J393</f>
        <v>0</v>
      </c>
      <c r="K393" s="574">
        <f>0+táj2!K393</f>
        <v>0</v>
      </c>
      <c r="L393" s="574">
        <f>53974000+táj2!L393</f>
        <v>53974000</v>
      </c>
      <c r="M393" s="574">
        <f>0+táj2!M393</f>
        <v>0</v>
      </c>
      <c r="N393" s="574">
        <f>0+táj2!N393</f>
        <v>0</v>
      </c>
      <c r="O393" s="574">
        <f>0+táj2!O393</f>
        <v>0</v>
      </c>
      <c r="P393" s="574">
        <f>0+táj2!P393</f>
        <v>0</v>
      </c>
      <c r="Q393" s="578">
        <f t="shared" si="32"/>
        <v>53974000</v>
      </c>
    </row>
    <row r="394" spans="1:17" ht="42" customHeight="1" x14ac:dyDescent="0.2">
      <c r="A394" s="45"/>
      <c r="B394" s="45"/>
      <c r="C394" s="528" t="s">
        <v>934</v>
      </c>
      <c r="D394" s="523" t="s">
        <v>662</v>
      </c>
      <c r="E394" s="201">
        <v>1</v>
      </c>
      <c r="F394" s="46">
        <v>174902</v>
      </c>
      <c r="G394" s="574">
        <f>0+táj2!G394</f>
        <v>0</v>
      </c>
      <c r="H394" s="574">
        <f>0+táj2!H394</f>
        <v>0</v>
      </c>
      <c r="I394" s="574">
        <f>0+táj2!I394</f>
        <v>0</v>
      </c>
      <c r="J394" s="574">
        <f>0+táj2!J394</f>
        <v>0</v>
      </c>
      <c r="K394" s="574">
        <f>0+táj2!K394</f>
        <v>0</v>
      </c>
      <c r="L394" s="574">
        <f>0+táj2!L394</f>
        <v>0</v>
      </c>
      <c r="M394" s="574">
        <f>40056418+táj2!M394</f>
        <v>40056418</v>
      </c>
      <c r="N394" s="574">
        <f>0+táj2!N394</f>
        <v>0</v>
      </c>
      <c r="O394" s="574">
        <f>0+táj2!O394</f>
        <v>0</v>
      </c>
      <c r="P394" s="574">
        <f>0+táj2!P394</f>
        <v>0</v>
      </c>
      <c r="Q394" s="578">
        <f>SUM(G394:P394)</f>
        <v>40056418</v>
      </c>
    </row>
    <row r="395" spans="1:17" ht="16.149999999999999" customHeight="1" x14ac:dyDescent="0.2">
      <c r="A395" s="45"/>
      <c r="B395" s="45"/>
      <c r="C395" s="535" t="s">
        <v>935</v>
      </c>
      <c r="D395" s="439" t="s">
        <v>638</v>
      </c>
      <c r="E395" s="201">
        <v>1</v>
      </c>
      <c r="F395" s="46">
        <v>162942</v>
      </c>
      <c r="G395" s="574">
        <f>0+táj2!G395</f>
        <v>0</v>
      </c>
      <c r="H395" s="574">
        <f>0+táj2!H395</f>
        <v>0</v>
      </c>
      <c r="I395" s="574">
        <f>0+táj2!I395</f>
        <v>0</v>
      </c>
      <c r="J395" s="574">
        <f>0+táj2!J395</f>
        <v>0</v>
      </c>
      <c r="K395" s="574">
        <f>0+táj2!K395</f>
        <v>0</v>
      </c>
      <c r="L395" s="574">
        <f>0+táj2!L395</f>
        <v>0</v>
      </c>
      <c r="M395" s="574">
        <f>30141790+táj2!M395</f>
        <v>30141790</v>
      </c>
      <c r="N395" s="574">
        <f>0+táj2!N395</f>
        <v>0</v>
      </c>
      <c r="O395" s="574">
        <f>0+táj2!O395</f>
        <v>0</v>
      </c>
      <c r="P395" s="574">
        <f>0+táj2!P395</f>
        <v>0</v>
      </c>
      <c r="Q395" s="578">
        <f t="shared" ref="Q395:Q450" si="33">SUM(G395:P395)</f>
        <v>30141790</v>
      </c>
    </row>
    <row r="396" spans="1:17" ht="33.75" customHeight="1" x14ac:dyDescent="0.2">
      <c r="A396" s="45"/>
      <c r="B396" s="45"/>
      <c r="C396" s="528" t="s">
        <v>936</v>
      </c>
      <c r="D396" s="520" t="s">
        <v>581</v>
      </c>
      <c r="E396" s="201">
        <v>2</v>
      </c>
      <c r="F396" s="46">
        <v>162903</v>
      </c>
      <c r="G396" s="574">
        <f>0+táj2!G396</f>
        <v>0</v>
      </c>
      <c r="H396" s="574">
        <f>0+táj2!H396</f>
        <v>0</v>
      </c>
      <c r="I396" s="574">
        <f>749597+táj2!I396</f>
        <v>749597</v>
      </c>
      <c r="J396" s="574">
        <f>0+táj2!J396</f>
        <v>0</v>
      </c>
      <c r="K396" s="574">
        <f>0+táj2!K396</f>
        <v>0</v>
      </c>
      <c r="L396" s="574">
        <f>93563+táj2!L396</f>
        <v>93563</v>
      </c>
      <c r="M396" s="574">
        <f>46598084+táj2!M396</f>
        <v>46598084</v>
      </c>
      <c r="N396" s="574">
        <f>0+táj2!N396</f>
        <v>0</v>
      </c>
      <c r="O396" s="574">
        <f>0+táj2!O396</f>
        <v>0</v>
      </c>
      <c r="P396" s="574">
        <f>0+táj2!P396</f>
        <v>0</v>
      </c>
      <c r="Q396" s="578">
        <f t="shared" si="33"/>
        <v>47441244</v>
      </c>
    </row>
    <row r="397" spans="1:17" ht="15.4" customHeight="1" x14ac:dyDescent="0.2">
      <c r="A397" s="45"/>
      <c r="B397" s="45"/>
      <c r="C397" s="535" t="s">
        <v>937</v>
      </c>
      <c r="D397" s="478" t="s">
        <v>806</v>
      </c>
      <c r="E397" s="201">
        <v>1</v>
      </c>
      <c r="F397" s="46">
        <v>162976</v>
      </c>
      <c r="G397" s="574">
        <f>0+táj2!G397</f>
        <v>0</v>
      </c>
      <c r="H397" s="574">
        <f>0+táj2!H397</f>
        <v>0</v>
      </c>
      <c r="I397" s="574">
        <f>0+táj2!I397</f>
        <v>0</v>
      </c>
      <c r="J397" s="574">
        <f>0+táj2!J397</f>
        <v>0</v>
      </c>
      <c r="K397" s="574">
        <f>0+táj2!K397</f>
        <v>0</v>
      </c>
      <c r="L397" s="574">
        <f>8913632+táj2!L397</f>
        <v>8913632</v>
      </c>
      <c r="M397" s="574">
        <f>0+táj2!M397</f>
        <v>0</v>
      </c>
      <c r="N397" s="574">
        <f>0+táj2!N397</f>
        <v>0</v>
      </c>
      <c r="O397" s="574">
        <f>0+táj2!O397</f>
        <v>0</v>
      </c>
      <c r="P397" s="574">
        <f>0+táj2!P397</f>
        <v>0</v>
      </c>
      <c r="Q397" s="578">
        <f t="shared" si="33"/>
        <v>8913632</v>
      </c>
    </row>
    <row r="398" spans="1:17" ht="17.45" customHeight="1" x14ac:dyDescent="0.2">
      <c r="A398" s="45"/>
      <c r="B398" s="45"/>
      <c r="C398" s="528" t="s">
        <v>938</v>
      </c>
      <c r="D398" s="478" t="s">
        <v>799</v>
      </c>
      <c r="E398" s="201">
        <v>2</v>
      </c>
      <c r="F398" s="46">
        <v>162981</v>
      </c>
      <c r="G398" s="574">
        <f>0+táj2!G398</f>
        <v>0</v>
      </c>
      <c r="H398" s="574">
        <f>0+táj2!H398</f>
        <v>0</v>
      </c>
      <c r="I398" s="574">
        <f>2000000+táj2!I398</f>
        <v>4540000</v>
      </c>
      <c r="J398" s="574">
        <f>0+táj2!J398</f>
        <v>0</v>
      </c>
      <c r="K398" s="574">
        <f>0+táj2!K398</f>
        <v>0</v>
      </c>
      <c r="L398" s="574">
        <f>2484380+táj2!L398</f>
        <v>2484380</v>
      </c>
      <c r="M398" s="574">
        <f>0+táj2!M398</f>
        <v>0</v>
      </c>
      <c r="N398" s="574">
        <f>0+táj2!N398</f>
        <v>0</v>
      </c>
      <c r="O398" s="574">
        <f>0+táj2!O398</f>
        <v>0</v>
      </c>
      <c r="P398" s="574">
        <f>0+táj2!P398</f>
        <v>0</v>
      </c>
      <c r="Q398" s="578">
        <f t="shared" si="33"/>
        <v>7024380</v>
      </c>
    </row>
    <row r="399" spans="1:17" ht="15.6" customHeight="1" x14ac:dyDescent="0.2">
      <c r="A399" s="45"/>
      <c r="B399" s="45"/>
      <c r="C399" s="535" t="s">
        <v>939</v>
      </c>
      <c r="D399" s="519" t="s">
        <v>599</v>
      </c>
      <c r="E399" s="201">
        <v>2</v>
      </c>
      <c r="F399" s="46">
        <v>164945</v>
      </c>
      <c r="G399" s="574">
        <f>0+táj2!G399</f>
        <v>0</v>
      </c>
      <c r="H399" s="574">
        <f>0+táj2!H399</f>
        <v>0</v>
      </c>
      <c r="I399" s="574">
        <f>1206500+táj2!I399</f>
        <v>1206500</v>
      </c>
      <c r="J399" s="574">
        <f>0+táj2!J399</f>
        <v>0</v>
      </c>
      <c r="K399" s="574">
        <f>0+táj2!K399</f>
        <v>0</v>
      </c>
      <c r="L399" s="574">
        <f>0+táj2!L399</f>
        <v>0</v>
      </c>
      <c r="M399" s="574">
        <f>1451372+táj2!M399</f>
        <v>1451372</v>
      </c>
      <c r="N399" s="574">
        <f>0+táj2!N399</f>
        <v>0</v>
      </c>
      <c r="O399" s="574">
        <f>0+táj2!O399</f>
        <v>0</v>
      </c>
      <c r="P399" s="574">
        <f>0+táj2!P399</f>
        <v>0</v>
      </c>
      <c r="Q399" s="578">
        <f t="shared" si="33"/>
        <v>2657872</v>
      </c>
    </row>
    <row r="400" spans="1:17" ht="17.45" customHeight="1" x14ac:dyDescent="0.2">
      <c r="A400" s="45"/>
      <c r="B400" s="45"/>
      <c r="C400" s="56" t="s">
        <v>20</v>
      </c>
      <c r="D400" s="77" t="s">
        <v>411</v>
      </c>
      <c r="E400" s="46"/>
      <c r="F400" s="46"/>
      <c r="G400" s="574"/>
      <c r="H400" s="574"/>
      <c r="I400" s="574"/>
      <c r="J400" s="574"/>
      <c r="K400" s="574"/>
      <c r="L400" s="574"/>
      <c r="M400" s="574"/>
      <c r="N400" s="574"/>
      <c r="O400" s="574"/>
      <c r="P400" s="574"/>
      <c r="Q400" s="578"/>
    </row>
    <row r="401" spans="1:17" ht="15.6" customHeight="1" x14ac:dyDescent="0.2">
      <c r="A401" s="45"/>
      <c r="B401" s="45"/>
      <c r="C401" s="45" t="s">
        <v>412</v>
      </c>
      <c r="D401" s="275" t="s">
        <v>603</v>
      </c>
      <c r="E401" s="46"/>
      <c r="F401" s="46"/>
      <c r="G401" s="574"/>
      <c r="H401" s="574"/>
      <c r="I401" s="574"/>
      <c r="J401" s="574"/>
      <c r="K401" s="574"/>
      <c r="L401" s="574"/>
      <c r="M401" s="574"/>
      <c r="N401" s="574"/>
      <c r="O401" s="574"/>
      <c r="P401" s="574"/>
      <c r="Q401" s="578"/>
    </row>
    <row r="402" spans="1:17" ht="15.6" customHeight="1" x14ac:dyDescent="0.2">
      <c r="A402" s="634"/>
      <c r="B402" s="634"/>
      <c r="C402" s="634" t="s">
        <v>984</v>
      </c>
      <c r="D402" s="467" t="s">
        <v>979</v>
      </c>
      <c r="E402" s="116"/>
      <c r="F402" s="116">
        <v>163690</v>
      </c>
      <c r="G402" s="574">
        <f>0+táj2!G402</f>
        <v>0</v>
      </c>
      <c r="H402" s="574">
        <f>0+táj2!H402</f>
        <v>0</v>
      </c>
      <c r="I402" s="574">
        <f>100098860+táj2!I402</f>
        <v>100098860</v>
      </c>
      <c r="J402" s="574">
        <f>0+táj2!J402</f>
        <v>0</v>
      </c>
      <c r="K402" s="574">
        <f>0+táj2!K402</f>
        <v>0</v>
      </c>
      <c r="L402" s="574">
        <f>111658400+táj2!L402</f>
        <v>111658400</v>
      </c>
      <c r="M402" s="574">
        <f>0+táj2!M402</f>
        <v>0</v>
      </c>
      <c r="N402" s="574">
        <f>0+táj2!N402</f>
        <v>0</v>
      </c>
      <c r="O402" s="574">
        <f>0+táj2!O402</f>
        <v>0</v>
      </c>
      <c r="P402" s="574">
        <f>0+táj2!P402</f>
        <v>0</v>
      </c>
      <c r="Q402" s="578">
        <f t="shared" si="33"/>
        <v>211757260</v>
      </c>
    </row>
    <row r="403" spans="1:17" ht="15.6" customHeight="1" x14ac:dyDescent="0.2">
      <c r="A403" s="207"/>
      <c r="B403" s="207"/>
      <c r="C403" s="276"/>
      <c r="D403" s="208" t="s">
        <v>746</v>
      </c>
      <c r="E403" s="201"/>
      <c r="F403" s="201"/>
      <c r="G403" s="574"/>
      <c r="H403" s="592"/>
      <c r="I403" s="592"/>
      <c r="J403" s="592"/>
      <c r="K403" s="592"/>
      <c r="L403" s="592"/>
      <c r="M403" s="592"/>
      <c r="N403" s="592"/>
      <c r="O403" s="592"/>
      <c r="P403" s="592"/>
      <c r="Q403" s="578"/>
    </row>
    <row r="404" spans="1:17" ht="22.5" customHeight="1" x14ac:dyDescent="0.2">
      <c r="A404" s="45"/>
      <c r="B404" s="45"/>
      <c r="C404" s="45" t="s">
        <v>873</v>
      </c>
      <c r="D404" s="460" t="s">
        <v>132</v>
      </c>
      <c r="E404" s="439">
        <v>2</v>
      </c>
      <c r="F404" s="46">
        <v>163625</v>
      </c>
      <c r="G404" s="574">
        <f>0+táj2!G404</f>
        <v>0</v>
      </c>
      <c r="H404" s="574">
        <f>0+táj2!H404</f>
        <v>0</v>
      </c>
      <c r="I404" s="574">
        <f>58092003+táj2!I404</f>
        <v>58092003</v>
      </c>
      <c r="J404" s="574">
        <f>0+táj2!J404</f>
        <v>0</v>
      </c>
      <c r="K404" s="574">
        <f>0+táj2!K404</f>
        <v>0</v>
      </c>
      <c r="L404" s="574">
        <f>0+táj2!L404</f>
        <v>0</v>
      </c>
      <c r="M404" s="574">
        <f>0+táj2!M404</f>
        <v>0</v>
      </c>
      <c r="N404" s="574">
        <f>0+táj2!N404</f>
        <v>0</v>
      </c>
      <c r="O404" s="574">
        <f>0+táj2!O404</f>
        <v>0</v>
      </c>
      <c r="P404" s="574">
        <f>0+táj2!P404</f>
        <v>0</v>
      </c>
      <c r="Q404" s="578">
        <f t="shared" si="33"/>
        <v>58092003</v>
      </c>
    </row>
    <row r="405" spans="1:17" ht="15.6" customHeight="1" x14ac:dyDescent="0.2">
      <c r="A405" s="45"/>
      <c r="B405" s="45"/>
      <c r="C405" s="45" t="s">
        <v>874</v>
      </c>
      <c r="D405" s="461" t="s">
        <v>607</v>
      </c>
      <c r="E405" s="439">
        <v>2</v>
      </c>
      <c r="F405" s="46">
        <v>163658</v>
      </c>
      <c r="G405" s="574">
        <f>0+táj2!G405</f>
        <v>0</v>
      </c>
      <c r="H405" s="574">
        <f>0+táj2!H405</f>
        <v>0</v>
      </c>
      <c r="I405" s="574">
        <f>17929860+táj2!I405</f>
        <v>17929860</v>
      </c>
      <c r="J405" s="574">
        <f>0+táj2!J405</f>
        <v>0</v>
      </c>
      <c r="K405" s="574">
        <f>0+táj2!K405</f>
        <v>0</v>
      </c>
      <c r="L405" s="574">
        <f>0+táj2!L405</f>
        <v>0</v>
      </c>
      <c r="M405" s="574">
        <f>0+táj2!M405</f>
        <v>0</v>
      </c>
      <c r="N405" s="574">
        <f>0+táj2!N405</f>
        <v>0</v>
      </c>
      <c r="O405" s="574">
        <f>0+táj2!O405</f>
        <v>0</v>
      </c>
      <c r="P405" s="574">
        <f>0+táj2!P405</f>
        <v>0</v>
      </c>
      <c r="Q405" s="578">
        <f t="shared" si="33"/>
        <v>17929860</v>
      </c>
    </row>
    <row r="406" spans="1:17" ht="29.45" customHeight="1" x14ac:dyDescent="0.2">
      <c r="A406" s="45"/>
      <c r="B406" s="45"/>
      <c r="C406" s="45" t="s">
        <v>875</v>
      </c>
      <c r="D406" s="461" t="s">
        <v>558</v>
      </c>
      <c r="E406" s="439">
        <v>1</v>
      </c>
      <c r="F406" s="46">
        <v>163662</v>
      </c>
      <c r="G406" s="574">
        <f>37160694+táj2!G406</f>
        <v>37160694</v>
      </c>
      <c r="H406" s="574">
        <f>4830890+táj2!H406</f>
        <v>4830890</v>
      </c>
      <c r="I406" s="574">
        <f>3000000+táj2!I406</f>
        <v>3000000</v>
      </c>
      <c r="J406" s="574">
        <f>0+táj2!J406</f>
        <v>0</v>
      </c>
      <c r="K406" s="574">
        <f>0+táj2!K406</f>
        <v>0</v>
      </c>
      <c r="L406" s="574">
        <f>200000+táj2!L406</f>
        <v>200000</v>
      </c>
      <c r="M406" s="574">
        <f>0+táj2!M406</f>
        <v>0</v>
      </c>
      <c r="N406" s="574">
        <f>0+táj2!N406</f>
        <v>0</v>
      </c>
      <c r="O406" s="574">
        <f>0+táj2!O406</f>
        <v>0</v>
      </c>
      <c r="P406" s="574">
        <f>0+táj2!P406</f>
        <v>0</v>
      </c>
      <c r="Q406" s="578">
        <f t="shared" si="33"/>
        <v>45191584</v>
      </c>
    </row>
    <row r="407" spans="1:17" ht="27.75" customHeight="1" x14ac:dyDescent="0.2">
      <c r="A407" s="45"/>
      <c r="B407" s="45"/>
      <c r="C407" s="45" t="s">
        <v>876</v>
      </c>
      <c r="D407" s="460" t="s">
        <v>696</v>
      </c>
      <c r="E407" s="439">
        <v>1</v>
      </c>
      <c r="F407" s="46">
        <v>163679</v>
      </c>
      <c r="G407" s="574">
        <f>1309656+táj2!G407</f>
        <v>1309656</v>
      </c>
      <c r="H407" s="574">
        <f>0+táj2!H407</f>
        <v>0</v>
      </c>
      <c r="I407" s="574">
        <f>6756400+táj2!I407</f>
        <v>6756400</v>
      </c>
      <c r="J407" s="574">
        <f>0+táj2!J407</f>
        <v>0</v>
      </c>
      <c r="K407" s="574">
        <f>0+táj2!K407</f>
        <v>0</v>
      </c>
      <c r="L407" s="574">
        <f>91933944+táj2!L407</f>
        <v>91933944</v>
      </c>
      <c r="M407" s="574">
        <f>0+táj2!M407</f>
        <v>0</v>
      </c>
      <c r="N407" s="574">
        <f>0+táj2!N407</f>
        <v>0</v>
      </c>
      <c r="O407" s="574">
        <f>0+táj2!O407</f>
        <v>0</v>
      </c>
      <c r="P407" s="574">
        <f>0+táj2!P407</f>
        <v>0</v>
      </c>
      <c r="Q407" s="578">
        <f t="shared" si="33"/>
        <v>100000000</v>
      </c>
    </row>
    <row r="408" spans="1:17" ht="22.5" customHeight="1" x14ac:dyDescent="0.2">
      <c r="A408" s="45"/>
      <c r="B408" s="45"/>
      <c r="C408" s="45" t="s">
        <v>877</v>
      </c>
      <c r="D408" s="460" t="s">
        <v>626</v>
      </c>
      <c r="E408" s="439">
        <v>1</v>
      </c>
      <c r="F408" s="46">
        <v>163680</v>
      </c>
      <c r="G408" s="574">
        <f>1250000+táj2!G408</f>
        <v>1250000</v>
      </c>
      <c r="H408" s="574">
        <f>160585+táj2!H408</f>
        <v>160585</v>
      </c>
      <c r="I408" s="574">
        <f>98277110+táj2!I408</f>
        <v>98277110</v>
      </c>
      <c r="J408" s="574">
        <f>0+táj2!J408</f>
        <v>0</v>
      </c>
      <c r="K408" s="574">
        <f>0+táj2!K408</f>
        <v>0</v>
      </c>
      <c r="L408" s="574">
        <f>275648564+táj2!L408</f>
        <v>275648564</v>
      </c>
      <c r="M408" s="574">
        <f>0+táj2!M408</f>
        <v>0</v>
      </c>
      <c r="N408" s="574">
        <f>0+táj2!N408</f>
        <v>0</v>
      </c>
      <c r="O408" s="574">
        <f>0+táj2!O408</f>
        <v>0</v>
      </c>
      <c r="P408" s="574">
        <f>0+táj2!P408</f>
        <v>0</v>
      </c>
      <c r="Q408" s="578">
        <f t="shared" si="33"/>
        <v>375336259</v>
      </c>
    </row>
    <row r="409" spans="1:17" ht="22.5" customHeight="1" x14ac:dyDescent="0.2">
      <c r="A409" s="45"/>
      <c r="B409" s="45"/>
      <c r="C409" s="45" t="s">
        <v>878</v>
      </c>
      <c r="D409" s="460" t="s">
        <v>627</v>
      </c>
      <c r="E409" s="439">
        <v>1</v>
      </c>
      <c r="F409" s="46">
        <v>163681</v>
      </c>
      <c r="G409" s="574">
        <f>2320000+táj2!G409</f>
        <v>2320000</v>
      </c>
      <c r="H409" s="574">
        <f>297553+táj2!H409</f>
        <v>297553</v>
      </c>
      <c r="I409" s="574">
        <f>60530540+táj2!I409</f>
        <v>60530540</v>
      </c>
      <c r="J409" s="574">
        <f>0+táj2!J409</f>
        <v>0</v>
      </c>
      <c r="K409" s="574">
        <f>0+táj2!K409</f>
        <v>0</v>
      </c>
      <c r="L409" s="574">
        <f>12700000+táj2!L409</f>
        <v>12700000</v>
      </c>
      <c r="M409" s="574">
        <f>208066895+táj2!M409</f>
        <v>208066895</v>
      </c>
      <c r="N409" s="574">
        <f>0+táj2!N409</f>
        <v>0</v>
      </c>
      <c r="O409" s="574">
        <f>0+táj2!O409</f>
        <v>0</v>
      </c>
      <c r="P409" s="574">
        <f>0+táj2!P409</f>
        <v>0</v>
      </c>
      <c r="Q409" s="578">
        <f t="shared" si="33"/>
        <v>283914988</v>
      </c>
    </row>
    <row r="410" spans="1:17" ht="36" customHeight="1" x14ac:dyDescent="0.2">
      <c r="A410" s="45"/>
      <c r="B410" s="45"/>
      <c r="C410" s="45" t="s">
        <v>879</v>
      </c>
      <c r="D410" s="460" t="s">
        <v>628</v>
      </c>
      <c r="E410" s="439">
        <v>1</v>
      </c>
      <c r="F410" s="46">
        <v>163682</v>
      </c>
      <c r="G410" s="574">
        <f>2036584+táj2!G410</f>
        <v>2036584</v>
      </c>
      <c r="H410" s="574">
        <f>264756+táj2!H410</f>
        <v>264756</v>
      </c>
      <c r="I410" s="574">
        <f>10751800+táj2!I410</f>
        <v>7894300</v>
      </c>
      <c r="J410" s="574">
        <f>0+táj2!J410</f>
        <v>0</v>
      </c>
      <c r="K410" s="574">
        <f>0+táj2!K410</f>
        <v>0</v>
      </c>
      <c r="L410" s="574">
        <f>47231277+táj2!L410</f>
        <v>47231277</v>
      </c>
      <c r="M410" s="574">
        <f>189715583+táj2!M410</f>
        <v>189715583</v>
      </c>
      <c r="N410" s="574">
        <f>0+táj2!N410</f>
        <v>0</v>
      </c>
      <c r="O410" s="574">
        <f>0+táj2!O410</f>
        <v>0</v>
      </c>
      <c r="P410" s="574">
        <f>0+táj2!P410</f>
        <v>0</v>
      </c>
      <c r="Q410" s="578">
        <f t="shared" si="33"/>
        <v>247142500</v>
      </c>
    </row>
    <row r="411" spans="1:17" ht="33" customHeight="1" x14ac:dyDescent="0.2">
      <c r="A411" s="45"/>
      <c r="B411" s="45"/>
      <c r="C411" s="45" t="s">
        <v>880</v>
      </c>
      <c r="D411" s="481" t="s">
        <v>728</v>
      </c>
      <c r="E411" s="439">
        <v>1</v>
      </c>
      <c r="F411" s="46">
        <v>163666</v>
      </c>
      <c r="G411" s="574">
        <f>1250000+táj2!G411</f>
        <v>1250000</v>
      </c>
      <c r="H411" s="574">
        <f>168928+táj2!H411</f>
        <v>168928</v>
      </c>
      <c r="I411" s="574">
        <f>106898895+táj2!I411</f>
        <v>106898895</v>
      </c>
      <c r="J411" s="574">
        <f>0+táj2!J411</f>
        <v>0</v>
      </c>
      <c r="K411" s="574">
        <f>0+táj2!K411</f>
        <v>0</v>
      </c>
      <c r="L411" s="574">
        <f>387287930+táj2!L411</f>
        <v>387287930</v>
      </c>
      <c r="M411" s="574">
        <f>0+táj2!M411</f>
        <v>0</v>
      </c>
      <c r="N411" s="574">
        <f>0+táj2!N411</f>
        <v>0</v>
      </c>
      <c r="O411" s="574">
        <f>0+táj2!O411</f>
        <v>0</v>
      </c>
      <c r="P411" s="574">
        <f>0+táj2!P411</f>
        <v>0</v>
      </c>
      <c r="Q411" s="578">
        <f t="shared" si="33"/>
        <v>495605753</v>
      </c>
    </row>
    <row r="412" spans="1:17" ht="29.25" customHeight="1" x14ac:dyDescent="0.2">
      <c r="A412" s="45"/>
      <c r="B412" s="45"/>
      <c r="C412" s="45" t="s">
        <v>881</v>
      </c>
      <c r="D412" s="481" t="s">
        <v>683</v>
      </c>
      <c r="E412" s="439">
        <v>2</v>
      </c>
      <c r="F412" s="46">
        <v>163671</v>
      </c>
      <c r="G412" s="574">
        <f>698280+táj2!G412</f>
        <v>698280</v>
      </c>
      <c r="H412" s="574">
        <f>90776+táj2!H412</f>
        <v>90776</v>
      </c>
      <c r="I412" s="574">
        <f>4721000+táj2!I412</f>
        <v>4721000</v>
      </c>
      <c r="J412" s="574">
        <f>0+táj2!J412</f>
        <v>0</v>
      </c>
      <c r="K412" s="574">
        <f>0+táj2!K412</f>
        <v>0</v>
      </c>
      <c r="L412" s="574">
        <f>92889944+táj2!L412</f>
        <v>92889944</v>
      </c>
      <c r="M412" s="574">
        <f>0+táj2!M412</f>
        <v>0</v>
      </c>
      <c r="N412" s="574">
        <f>0+táj2!N412</f>
        <v>0</v>
      </c>
      <c r="O412" s="574">
        <f>0+táj2!O412</f>
        <v>0</v>
      </c>
      <c r="P412" s="574">
        <f>0+táj2!P412</f>
        <v>0</v>
      </c>
      <c r="Q412" s="578">
        <f t="shared" si="33"/>
        <v>98400000</v>
      </c>
    </row>
    <row r="413" spans="1:17" ht="27.75" customHeight="1" x14ac:dyDescent="0.2">
      <c r="A413" s="45"/>
      <c r="B413" s="45"/>
      <c r="C413" s="45" t="s">
        <v>882</v>
      </c>
      <c r="D413" s="481" t="s">
        <v>729</v>
      </c>
      <c r="E413" s="439">
        <v>1</v>
      </c>
      <c r="F413" s="46">
        <v>163672</v>
      </c>
      <c r="G413" s="574">
        <f>94951+táj2!G413</f>
        <v>94951</v>
      </c>
      <c r="H413" s="574">
        <f>0+táj2!H413</f>
        <v>0</v>
      </c>
      <c r="I413" s="574">
        <f>8833049+táj2!I413</f>
        <v>8833049</v>
      </c>
      <c r="J413" s="574">
        <f>0+táj2!J413</f>
        <v>0</v>
      </c>
      <c r="K413" s="574">
        <f>0+táj2!K413</f>
        <v>0</v>
      </c>
      <c r="L413" s="574">
        <f>0+táj2!L413</f>
        <v>0</v>
      </c>
      <c r="M413" s="574">
        <f>195072000+táj2!M413</f>
        <v>195072000</v>
      </c>
      <c r="N413" s="574">
        <f>0+táj2!N413</f>
        <v>0</v>
      </c>
      <c r="O413" s="574">
        <f>0+táj2!O413</f>
        <v>0</v>
      </c>
      <c r="P413" s="574">
        <f>0+táj2!P413</f>
        <v>0</v>
      </c>
      <c r="Q413" s="578">
        <f t="shared" si="33"/>
        <v>204000000</v>
      </c>
    </row>
    <row r="414" spans="1:17" ht="27.75" customHeight="1" x14ac:dyDescent="0.2">
      <c r="A414" s="45"/>
      <c r="B414" s="45"/>
      <c r="C414" s="45" t="s">
        <v>883</v>
      </c>
      <c r="D414" s="481" t="s">
        <v>730</v>
      </c>
      <c r="E414" s="439">
        <v>2</v>
      </c>
      <c r="F414" s="46">
        <v>163665</v>
      </c>
      <c r="G414" s="574">
        <f>38886775+táj2!G414</f>
        <v>38886775</v>
      </c>
      <c r="H414" s="574">
        <f>5055281+táj2!H414</f>
        <v>5055281</v>
      </c>
      <c r="I414" s="574">
        <f>23876000+táj2!I414</f>
        <v>23876000</v>
      </c>
      <c r="J414" s="574">
        <f>0+táj2!J414</f>
        <v>0</v>
      </c>
      <c r="K414" s="574">
        <f>0+táj2!K414</f>
        <v>0</v>
      </c>
      <c r="L414" s="574">
        <f>1144526469+táj2!L414</f>
        <v>1144526469</v>
      </c>
      <c r="M414" s="574">
        <f>0+táj2!M414</f>
        <v>0</v>
      </c>
      <c r="N414" s="574">
        <f>0+táj2!N414</f>
        <v>0</v>
      </c>
      <c r="O414" s="574">
        <f>0+táj2!O414</f>
        <v>0</v>
      </c>
      <c r="P414" s="574">
        <f>0+táj2!P414</f>
        <v>0</v>
      </c>
      <c r="Q414" s="578">
        <f t="shared" si="33"/>
        <v>1212344525</v>
      </c>
    </row>
    <row r="415" spans="1:17" ht="27" customHeight="1" x14ac:dyDescent="0.2">
      <c r="A415" s="45"/>
      <c r="B415" s="45"/>
      <c r="C415" s="45" t="s">
        <v>884</v>
      </c>
      <c r="D415" s="481" t="s">
        <v>731</v>
      </c>
      <c r="E415" s="439">
        <v>1</v>
      </c>
      <c r="F415" s="46">
        <v>163685</v>
      </c>
      <c r="G415" s="574">
        <f>500000+táj2!G415</f>
        <v>500000</v>
      </c>
      <c r="H415" s="574">
        <f>104009+táj2!H415</f>
        <v>104009</v>
      </c>
      <c r="I415" s="574">
        <f>9722689+táj2!I415</f>
        <v>9722689</v>
      </c>
      <c r="J415" s="574">
        <f>0+táj2!J415</f>
        <v>0</v>
      </c>
      <c r="K415" s="574">
        <f>0+táj2!K415</f>
        <v>0</v>
      </c>
      <c r="L415" s="574">
        <f>0+táj2!L415</f>
        <v>0</v>
      </c>
      <c r="M415" s="574">
        <f>190056312+táj2!M415</f>
        <v>190056312</v>
      </c>
      <c r="N415" s="574">
        <f>0+táj2!N415</f>
        <v>0</v>
      </c>
      <c r="O415" s="574">
        <f>0+táj2!O415</f>
        <v>0</v>
      </c>
      <c r="P415" s="574">
        <f>0+táj2!P415</f>
        <v>0</v>
      </c>
      <c r="Q415" s="578">
        <f t="shared" si="33"/>
        <v>200383010</v>
      </c>
    </row>
    <row r="416" spans="1:17" ht="28.5" customHeight="1" x14ac:dyDescent="0.2">
      <c r="A416" s="45"/>
      <c r="B416" s="45"/>
      <c r="C416" s="45" t="s">
        <v>885</v>
      </c>
      <c r="D416" s="481" t="s">
        <v>732</v>
      </c>
      <c r="E416" s="439">
        <v>1</v>
      </c>
      <c r="F416" s="46">
        <v>163684</v>
      </c>
      <c r="G416" s="574">
        <f>4690489+táj2!G416</f>
        <v>4690489</v>
      </c>
      <c r="H416" s="574">
        <f>609763+táj2!H416</f>
        <v>609763</v>
      </c>
      <c r="I416" s="574">
        <f>16346150+táj2!I416</f>
        <v>16346150</v>
      </c>
      <c r="J416" s="574">
        <f>0+táj2!J416</f>
        <v>0</v>
      </c>
      <c r="K416" s="574">
        <f>0+táj2!K416</f>
        <v>0</v>
      </c>
      <c r="L416" s="574">
        <f>5053838+táj2!L416</f>
        <v>5053838</v>
      </c>
      <c r="M416" s="574">
        <f>333299760+táj2!M416</f>
        <v>333299760</v>
      </c>
      <c r="N416" s="574">
        <f>0+táj2!N416</f>
        <v>0</v>
      </c>
      <c r="O416" s="574">
        <f>0+táj2!O416</f>
        <v>0</v>
      </c>
      <c r="P416" s="574">
        <f>0+táj2!P416</f>
        <v>0</v>
      </c>
      <c r="Q416" s="578">
        <f t="shared" si="33"/>
        <v>360000000</v>
      </c>
    </row>
    <row r="417" spans="1:17" ht="27.75" customHeight="1" x14ac:dyDescent="0.2">
      <c r="A417" s="45"/>
      <c r="B417" s="45"/>
      <c r="C417" s="45" t="s">
        <v>886</v>
      </c>
      <c r="D417" s="521" t="s">
        <v>689</v>
      </c>
      <c r="E417" s="439">
        <v>1</v>
      </c>
      <c r="F417" s="46">
        <v>163673</v>
      </c>
      <c r="G417" s="574">
        <f>2860301+táj2!G417</f>
        <v>2860301</v>
      </c>
      <c r="H417" s="574">
        <f>0+táj2!H417</f>
        <v>0</v>
      </c>
      <c r="I417" s="574">
        <f>5486400+táj2!I417</f>
        <v>5486400</v>
      </c>
      <c r="J417" s="574">
        <f>0+táj2!J417</f>
        <v>0</v>
      </c>
      <c r="K417" s="574">
        <f>0+táj2!K417</f>
        <v>0</v>
      </c>
      <c r="L417" s="574">
        <f>171653299+táj2!L417</f>
        <v>171653299</v>
      </c>
      <c r="M417" s="574">
        <f>0+táj2!M417</f>
        <v>0</v>
      </c>
      <c r="N417" s="574">
        <f>0+táj2!N417</f>
        <v>0</v>
      </c>
      <c r="O417" s="574">
        <f>0+táj2!O417</f>
        <v>0</v>
      </c>
      <c r="P417" s="574">
        <f>0+táj2!P417</f>
        <v>0</v>
      </c>
      <c r="Q417" s="578">
        <f t="shared" si="33"/>
        <v>180000000</v>
      </c>
    </row>
    <row r="418" spans="1:17" ht="26.25" customHeight="1" x14ac:dyDescent="0.2">
      <c r="A418" s="45"/>
      <c r="B418" s="45"/>
      <c r="C418" s="45" t="s">
        <v>887</v>
      </c>
      <c r="D418" s="521" t="s">
        <v>690</v>
      </c>
      <c r="E418" s="439">
        <v>2</v>
      </c>
      <c r="F418" s="46">
        <v>163687</v>
      </c>
      <c r="G418" s="574">
        <f>0+táj2!G418</f>
        <v>0</v>
      </c>
      <c r="H418" s="574">
        <f>0+táj2!H418</f>
        <v>0</v>
      </c>
      <c r="I418" s="574">
        <f>8584111+táj2!I418</f>
        <v>8584111</v>
      </c>
      <c r="J418" s="574">
        <f>0+táj2!J418</f>
        <v>0</v>
      </c>
      <c r="K418" s="574">
        <f>0+táj2!K418</f>
        <v>0</v>
      </c>
      <c r="L418" s="574">
        <f>191415889+táj2!L418</f>
        <v>191415889</v>
      </c>
      <c r="M418" s="574">
        <f>0+táj2!M418</f>
        <v>0</v>
      </c>
      <c r="N418" s="574">
        <f>0+táj2!N418</f>
        <v>0</v>
      </c>
      <c r="O418" s="574">
        <f>0+táj2!O418</f>
        <v>0</v>
      </c>
      <c r="P418" s="574">
        <f>0+táj2!P418</f>
        <v>0</v>
      </c>
      <c r="Q418" s="578">
        <f t="shared" si="33"/>
        <v>200000000</v>
      </c>
    </row>
    <row r="419" spans="1:17" ht="36" customHeight="1" x14ac:dyDescent="0.2">
      <c r="A419" s="45"/>
      <c r="B419" s="45"/>
      <c r="C419" s="45" t="s">
        <v>888</v>
      </c>
      <c r="D419" s="521" t="s">
        <v>691</v>
      </c>
      <c r="E419" s="439">
        <v>2</v>
      </c>
      <c r="F419" s="46">
        <v>163678</v>
      </c>
      <c r="G419" s="574">
        <f>7322223+táj2!G419</f>
        <v>7322223</v>
      </c>
      <c r="H419" s="574">
        <f>951889+táj2!H419</f>
        <v>951889</v>
      </c>
      <c r="I419" s="574">
        <f>58244188+táj2!I419</f>
        <v>58244188</v>
      </c>
      <c r="J419" s="574">
        <f>0+táj2!J419</f>
        <v>0</v>
      </c>
      <c r="K419" s="574">
        <f>0+táj2!K419</f>
        <v>0</v>
      </c>
      <c r="L419" s="574">
        <f>14298610+táj2!L419</f>
        <v>14298610</v>
      </c>
      <c r="M419" s="574">
        <f>0+táj2!M419</f>
        <v>0</v>
      </c>
      <c r="N419" s="574">
        <f>0+táj2!N419</f>
        <v>0</v>
      </c>
      <c r="O419" s="574">
        <f>0+táj2!O419</f>
        <v>0</v>
      </c>
      <c r="P419" s="574">
        <f>0+táj2!P419</f>
        <v>0</v>
      </c>
      <c r="Q419" s="578">
        <f t="shared" si="33"/>
        <v>80816910</v>
      </c>
    </row>
    <row r="420" spans="1:17" ht="24.75" customHeight="1" x14ac:dyDescent="0.2">
      <c r="A420" s="45"/>
      <c r="B420" s="45"/>
      <c r="C420" s="45" t="s">
        <v>889</v>
      </c>
      <c r="D420" s="521" t="s">
        <v>688</v>
      </c>
      <c r="E420" s="439">
        <v>1</v>
      </c>
      <c r="F420" s="46">
        <v>163686</v>
      </c>
      <c r="G420" s="574">
        <f>3014593+táj2!G420</f>
        <v>3014593</v>
      </c>
      <c r="H420" s="574">
        <f>391897+táj2!H420</f>
        <v>391897</v>
      </c>
      <c r="I420" s="574">
        <f>13440800+táj2!I420</f>
        <v>13440800</v>
      </c>
      <c r="J420" s="574">
        <f>0+táj2!J420</f>
        <v>0</v>
      </c>
      <c r="K420" s="574">
        <f>0+táj2!K420</f>
        <v>0</v>
      </c>
      <c r="L420" s="574">
        <f>0+táj2!L420</f>
        <v>0</v>
      </c>
      <c r="M420" s="574">
        <f>354358710+táj2!M420</f>
        <v>354358710</v>
      </c>
      <c r="N420" s="574">
        <f>0+táj2!N420</f>
        <v>0</v>
      </c>
      <c r="O420" s="574">
        <f>0+táj2!O420</f>
        <v>0</v>
      </c>
      <c r="P420" s="574">
        <f>0+táj2!P420</f>
        <v>0</v>
      </c>
      <c r="Q420" s="578">
        <f t="shared" si="33"/>
        <v>371206000</v>
      </c>
    </row>
    <row r="421" spans="1:17" ht="27" customHeight="1" x14ac:dyDescent="0.2">
      <c r="A421" s="45"/>
      <c r="B421" s="45"/>
      <c r="C421" s="45" t="s">
        <v>890</v>
      </c>
      <c r="D421" s="521" t="s">
        <v>693</v>
      </c>
      <c r="E421" s="439">
        <v>2</v>
      </c>
      <c r="F421" s="46">
        <v>163688</v>
      </c>
      <c r="G421" s="574">
        <f>0+táj2!G421</f>
        <v>0</v>
      </c>
      <c r="H421" s="574">
        <f>0+táj2!H421</f>
        <v>0</v>
      </c>
      <c r="I421" s="574">
        <f>122629159+táj2!I421</f>
        <v>123526639</v>
      </c>
      <c r="J421" s="574">
        <f>0+táj2!J421</f>
        <v>0</v>
      </c>
      <c r="K421" s="574">
        <f>0+táj2!K421</f>
        <v>0</v>
      </c>
      <c r="L421" s="574">
        <f>380680213+táj2!L421</f>
        <v>410840767</v>
      </c>
      <c r="M421" s="574">
        <f>0+táj2!M421</f>
        <v>0</v>
      </c>
      <c r="N421" s="574">
        <f>0+táj2!N421</f>
        <v>0</v>
      </c>
      <c r="O421" s="574">
        <f>0+táj2!O421</f>
        <v>0</v>
      </c>
      <c r="P421" s="574">
        <f>0+táj2!P421</f>
        <v>0</v>
      </c>
      <c r="Q421" s="578">
        <f t="shared" si="33"/>
        <v>534367406</v>
      </c>
    </row>
    <row r="422" spans="1:17" ht="26.25" customHeight="1" x14ac:dyDescent="0.2">
      <c r="A422" s="45"/>
      <c r="B422" s="45"/>
      <c r="C422" s="45" t="s">
        <v>891</v>
      </c>
      <c r="D422" s="521" t="s">
        <v>694</v>
      </c>
      <c r="E422" s="439">
        <v>2</v>
      </c>
      <c r="F422" s="46">
        <v>163689</v>
      </c>
      <c r="G422" s="574">
        <f>0+táj2!G422</f>
        <v>0</v>
      </c>
      <c r="H422" s="574">
        <f>0+táj2!H422</f>
        <v>0</v>
      </c>
      <c r="I422" s="574">
        <f>187961676+táj2!I422</f>
        <v>187961676</v>
      </c>
      <c r="J422" s="574">
        <f>0+táj2!J422</f>
        <v>0</v>
      </c>
      <c r="K422" s="574">
        <f>0+táj2!K422</f>
        <v>0</v>
      </c>
      <c r="L422" s="574">
        <f>786038324+táj2!L422</f>
        <v>786038324</v>
      </c>
      <c r="M422" s="574">
        <f>0+táj2!M422</f>
        <v>0</v>
      </c>
      <c r="N422" s="574">
        <f>0+táj2!N422</f>
        <v>0</v>
      </c>
      <c r="O422" s="574">
        <f>0+táj2!O422</f>
        <v>0</v>
      </c>
      <c r="P422" s="574">
        <f>0+táj2!P422</f>
        <v>0</v>
      </c>
      <c r="Q422" s="578">
        <f t="shared" si="33"/>
        <v>974000000</v>
      </c>
    </row>
    <row r="423" spans="1:17" ht="16.899999999999999" customHeight="1" x14ac:dyDescent="0.2">
      <c r="A423" s="45"/>
      <c r="B423" s="45"/>
      <c r="C423" s="480" t="s">
        <v>562</v>
      </c>
      <c r="D423" s="277" t="s">
        <v>414</v>
      </c>
      <c r="E423" s="46"/>
      <c r="F423" s="46"/>
      <c r="G423" s="574"/>
      <c r="H423" s="574"/>
      <c r="I423" s="574"/>
      <c r="J423" s="574"/>
      <c r="K423" s="574"/>
      <c r="L423" s="574"/>
      <c r="M423" s="574"/>
      <c r="N423" s="574"/>
      <c r="O423" s="574"/>
      <c r="P423" s="574"/>
      <c r="Q423" s="578"/>
    </row>
    <row r="424" spans="1:17" ht="15" customHeight="1" x14ac:dyDescent="0.2">
      <c r="A424" s="45"/>
      <c r="B424" s="45"/>
      <c r="C424" s="225"/>
      <c r="D424" s="61" t="s">
        <v>746</v>
      </c>
      <c r="E424" s="46"/>
      <c r="F424" s="46"/>
      <c r="G424" s="574"/>
      <c r="H424" s="574"/>
      <c r="I424" s="574"/>
      <c r="J424" s="574"/>
      <c r="K424" s="574"/>
      <c r="L424" s="574"/>
      <c r="M424" s="574"/>
      <c r="N424" s="574"/>
      <c r="O424" s="574"/>
      <c r="P424" s="574"/>
      <c r="Q424" s="578"/>
    </row>
    <row r="425" spans="1:17" ht="26.25" customHeight="1" x14ac:dyDescent="0.2">
      <c r="A425" s="45"/>
      <c r="B425" s="45"/>
      <c r="C425" s="225" t="s">
        <v>563</v>
      </c>
      <c r="D425" s="481" t="s">
        <v>416</v>
      </c>
      <c r="E425" s="439">
        <v>2</v>
      </c>
      <c r="F425" s="46">
        <v>163702</v>
      </c>
      <c r="G425" s="574">
        <f>0+táj2!G425</f>
        <v>0</v>
      </c>
      <c r="H425" s="574">
        <f>0+táj2!H425</f>
        <v>0</v>
      </c>
      <c r="I425" s="574">
        <f>0+táj2!I425</f>
        <v>0</v>
      </c>
      <c r="J425" s="574">
        <f>0+táj2!J425</f>
        <v>0</v>
      </c>
      <c r="K425" s="574">
        <f>0+táj2!K425</f>
        <v>0</v>
      </c>
      <c r="L425" s="574">
        <f>0+táj2!L425</f>
        <v>0</v>
      </c>
      <c r="M425" s="574">
        <f>0+táj2!M425</f>
        <v>0</v>
      </c>
      <c r="N425" s="574">
        <f>33054732+táj2!N425</f>
        <v>33054732</v>
      </c>
      <c r="O425" s="574">
        <f>0+táj2!O425</f>
        <v>0</v>
      </c>
      <c r="P425" s="574">
        <f>0+táj2!P425</f>
        <v>0</v>
      </c>
      <c r="Q425" s="578">
        <f t="shared" si="33"/>
        <v>33054732</v>
      </c>
    </row>
    <row r="426" spans="1:17" ht="39" customHeight="1" x14ac:dyDescent="0.2">
      <c r="A426" s="45"/>
      <c r="B426" s="45"/>
      <c r="C426" s="225" t="s">
        <v>564</v>
      </c>
      <c r="D426" s="481" t="s">
        <v>415</v>
      </c>
      <c r="E426" s="439">
        <v>2</v>
      </c>
      <c r="F426" s="46">
        <v>163621</v>
      </c>
      <c r="G426" s="574">
        <f>514000+táj2!G426</f>
        <v>514000</v>
      </c>
      <c r="H426" s="574">
        <f>121000+táj2!H426</f>
        <v>121000</v>
      </c>
      <c r="I426" s="574">
        <f>129564015+táj2!I426</f>
        <v>129564015</v>
      </c>
      <c r="J426" s="574">
        <f>0+táj2!J426</f>
        <v>0</v>
      </c>
      <c r="K426" s="574">
        <f>0+táj2!K426</f>
        <v>0</v>
      </c>
      <c r="L426" s="574">
        <f>17001416+táj2!L426</f>
        <v>17001416</v>
      </c>
      <c r="M426" s="574">
        <f>398116049+táj2!M426</f>
        <v>398116049</v>
      </c>
      <c r="N426" s="574">
        <f>0+táj2!N426</f>
        <v>0</v>
      </c>
      <c r="O426" s="574">
        <f>0+táj2!O426</f>
        <v>0</v>
      </c>
      <c r="P426" s="574">
        <f>0+táj2!P426</f>
        <v>0</v>
      </c>
      <c r="Q426" s="578">
        <f t="shared" si="33"/>
        <v>545316480</v>
      </c>
    </row>
    <row r="427" spans="1:17" ht="39" customHeight="1" x14ac:dyDescent="0.2">
      <c r="A427" s="45"/>
      <c r="B427" s="45"/>
      <c r="C427" s="225" t="s">
        <v>663</v>
      </c>
      <c r="D427" s="461" t="s">
        <v>573</v>
      </c>
      <c r="E427" s="439">
        <v>1</v>
      </c>
      <c r="F427" s="46">
        <v>163650</v>
      </c>
      <c r="G427" s="574">
        <f>0+táj2!G427</f>
        <v>0</v>
      </c>
      <c r="H427" s="574">
        <f>0+táj2!H427</f>
        <v>0</v>
      </c>
      <c r="I427" s="574">
        <f>179055977+táj2!I427</f>
        <v>174555920</v>
      </c>
      <c r="J427" s="574">
        <f>0+táj2!J427</f>
        <v>0</v>
      </c>
      <c r="K427" s="574">
        <f>0+táj2!K427</f>
        <v>0</v>
      </c>
      <c r="L427" s="574">
        <f>192030808+táj2!L427</f>
        <v>191970695</v>
      </c>
      <c r="M427" s="574">
        <f>476415634+táj2!M427</f>
        <v>480975804</v>
      </c>
      <c r="N427" s="574">
        <f>0+táj2!N427</f>
        <v>0</v>
      </c>
      <c r="O427" s="574">
        <f>0+táj2!O427</f>
        <v>0</v>
      </c>
      <c r="P427" s="574">
        <f>0+táj2!P427</f>
        <v>0</v>
      </c>
      <c r="Q427" s="578">
        <f t="shared" si="33"/>
        <v>847502419</v>
      </c>
    </row>
    <row r="428" spans="1:17" ht="18" customHeight="1" x14ac:dyDescent="0.2">
      <c r="A428" s="45"/>
      <c r="B428" s="45"/>
      <c r="C428" s="188" t="s">
        <v>413</v>
      </c>
      <c r="D428" s="323" t="s">
        <v>801</v>
      </c>
      <c r="E428" s="284"/>
      <c r="F428" s="285"/>
      <c r="G428" s="574"/>
      <c r="H428" s="593"/>
      <c r="I428" s="593"/>
      <c r="J428" s="593"/>
      <c r="K428" s="593"/>
      <c r="L428" s="593"/>
      <c r="M428" s="593"/>
      <c r="N428" s="593"/>
      <c r="O428" s="593"/>
      <c r="P428" s="593"/>
      <c r="Q428" s="594"/>
    </row>
    <row r="429" spans="1:17" ht="33.75" customHeight="1" x14ac:dyDescent="0.2">
      <c r="A429" s="634"/>
      <c r="B429" s="634"/>
      <c r="C429" s="677" t="s">
        <v>1007</v>
      </c>
      <c r="D429" s="680" t="s">
        <v>1003</v>
      </c>
      <c r="E429" s="681">
        <v>1</v>
      </c>
      <c r="F429" s="560">
        <v>163691</v>
      </c>
      <c r="G429" s="678">
        <f>0+táj2!G429</f>
        <v>0</v>
      </c>
      <c r="H429" s="678">
        <f>0+táj2!H429</f>
        <v>0</v>
      </c>
      <c r="I429" s="678">
        <f>16510000+táj2!I429</f>
        <v>16510000</v>
      </c>
      <c r="J429" s="678">
        <f>0+táj2!J429</f>
        <v>0</v>
      </c>
      <c r="K429" s="678">
        <f>0+táj2!K429</f>
        <v>0</v>
      </c>
      <c r="L429" s="678">
        <f>0+táj2!L429</f>
        <v>0</v>
      </c>
      <c r="M429" s="678">
        <f>173000043+táj2!M429</f>
        <v>173000043</v>
      </c>
      <c r="N429" s="678">
        <f>0+táj2!N429</f>
        <v>0</v>
      </c>
      <c r="O429" s="678">
        <f>0+táj2!O429</f>
        <v>0</v>
      </c>
      <c r="P429" s="678">
        <f>0+táj2!P429</f>
        <v>0</v>
      </c>
      <c r="Q429" s="684">
        <f>SUM(G429:P429)</f>
        <v>189510043</v>
      </c>
    </row>
    <row r="430" spans="1:17" ht="39" customHeight="1" x14ac:dyDescent="0.2">
      <c r="A430" s="634"/>
      <c r="B430" s="634"/>
      <c r="C430" s="677" t="s">
        <v>1008</v>
      </c>
      <c r="D430" s="680" t="s">
        <v>1004</v>
      </c>
      <c r="E430" s="682">
        <v>1</v>
      </c>
      <c r="F430" s="560">
        <v>163692</v>
      </c>
      <c r="G430" s="678">
        <f>0+táj2!G430</f>
        <v>0</v>
      </c>
      <c r="H430" s="678">
        <f>0+táj2!H430</f>
        <v>0</v>
      </c>
      <c r="I430" s="678">
        <f>0+táj2!I430</f>
        <v>0</v>
      </c>
      <c r="J430" s="678">
        <f>0+táj2!J430</f>
        <v>0</v>
      </c>
      <c r="K430" s="678">
        <f>0+táj2!K430</f>
        <v>0</v>
      </c>
      <c r="L430" s="678">
        <f>0+táj2!L430</f>
        <v>0</v>
      </c>
      <c r="M430" s="678">
        <f>89999999+táj2!M430</f>
        <v>89999999</v>
      </c>
      <c r="N430" s="678">
        <f>0+táj2!N430</f>
        <v>0</v>
      </c>
      <c r="O430" s="678">
        <f>0+táj2!O430</f>
        <v>0</v>
      </c>
      <c r="P430" s="678">
        <f>0+táj2!P430</f>
        <v>0</v>
      </c>
      <c r="Q430" s="684">
        <f>SUM(G430:P430)</f>
        <v>89999999</v>
      </c>
    </row>
    <row r="431" spans="1:17" ht="18" customHeight="1" x14ac:dyDescent="0.2">
      <c r="A431" s="45"/>
      <c r="B431" s="45"/>
      <c r="C431" s="290"/>
      <c r="D431" s="111" t="s">
        <v>746</v>
      </c>
      <c r="E431" s="284"/>
      <c r="F431" s="285"/>
      <c r="G431" s="574"/>
      <c r="H431" s="593"/>
      <c r="I431" s="593"/>
      <c r="J431" s="593"/>
      <c r="K431" s="593"/>
      <c r="L431" s="593"/>
      <c r="M431" s="593"/>
      <c r="N431" s="593"/>
      <c r="O431" s="593"/>
      <c r="P431" s="593"/>
      <c r="Q431" s="594"/>
    </row>
    <row r="432" spans="1:17" ht="28.15" customHeight="1" x14ac:dyDescent="0.2">
      <c r="A432" s="45"/>
      <c r="B432" s="45"/>
      <c r="C432" s="225" t="s">
        <v>892</v>
      </c>
      <c r="D432" s="461" t="s">
        <v>697</v>
      </c>
      <c r="E432" s="439">
        <v>1</v>
      </c>
      <c r="F432" s="48">
        <v>164959</v>
      </c>
      <c r="G432" s="574">
        <f>0+táj2!G432</f>
        <v>0</v>
      </c>
      <c r="H432" s="574">
        <f>0+táj2!H432</f>
        <v>0</v>
      </c>
      <c r="I432" s="574">
        <f>0+táj2!I432</f>
        <v>0</v>
      </c>
      <c r="J432" s="574">
        <f>0+táj2!J432</f>
        <v>0</v>
      </c>
      <c r="K432" s="574">
        <f>0+táj2!K432</f>
        <v>0</v>
      </c>
      <c r="L432" s="574">
        <f>0+táj2!L432</f>
        <v>0</v>
      </c>
      <c r="M432" s="574">
        <f>96708728+táj2!M432</f>
        <v>96708728</v>
      </c>
      <c r="N432" s="574">
        <f>0+táj2!N432</f>
        <v>0</v>
      </c>
      <c r="O432" s="574">
        <f>0+táj2!O432</f>
        <v>0</v>
      </c>
      <c r="P432" s="574">
        <f>0+táj2!P432</f>
        <v>0</v>
      </c>
      <c r="Q432" s="578">
        <f t="shared" si="33"/>
        <v>96708728</v>
      </c>
    </row>
    <row r="433" spans="1:17" ht="28.15" customHeight="1" x14ac:dyDescent="0.2">
      <c r="A433" s="45"/>
      <c r="B433" s="45"/>
      <c r="C433" s="225" t="s">
        <v>893</v>
      </c>
      <c r="D433" s="461" t="s">
        <v>698</v>
      </c>
      <c r="E433" s="439">
        <v>1</v>
      </c>
      <c r="F433" s="48">
        <v>164958</v>
      </c>
      <c r="G433" s="574">
        <f>0+táj2!G433</f>
        <v>0</v>
      </c>
      <c r="H433" s="574">
        <f>0+táj2!H433</f>
        <v>0</v>
      </c>
      <c r="I433" s="574">
        <f>0+táj2!I433</f>
        <v>0</v>
      </c>
      <c r="J433" s="574">
        <f>0+táj2!J433</f>
        <v>0</v>
      </c>
      <c r="K433" s="574">
        <f>0+táj2!K433</f>
        <v>0</v>
      </c>
      <c r="L433" s="574">
        <f>0+táj2!L433</f>
        <v>0</v>
      </c>
      <c r="M433" s="574">
        <f>184641564+táj2!M433</f>
        <v>184641564</v>
      </c>
      <c r="N433" s="574">
        <f>0+táj2!N433</f>
        <v>0</v>
      </c>
      <c r="O433" s="574">
        <f>0+táj2!O433</f>
        <v>0</v>
      </c>
      <c r="P433" s="574">
        <f>0+táj2!P433</f>
        <v>0</v>
      </c>
      <c r="Q433" s="578">
        <f t="shared" si="33"/>
        <v>184641564</v>
      </c>
    </row>
    <row r="434" spans="1:17" ht="15" customHeight="1" x14ac:dyDescent="0.2">
      <c r="A434" s="45"/>
      <c r="B434" s="45"/>
      <c r="C434" s="225" t="s">
        <v>417</v>
      </c>
      <c r="D434" s="324" t="s">
        <v>418</v>
      </c>
      <c r="E434" s="116"/>
      <c r="F434" s="48"/>
      <c r="G434" s="574"/>
      <c r="H434" s="574"/>
      <c r="I434" s="574"/>
      <c r="J434" s="574"/>
      <c r="K434" s="574"/>
      <c r="L434" s="574"/>
      <c r="M434" s="574"/>
      <c r="N434" s="574"/>
      <c r="O434" s="574"/>
      <c r="P434" s="574"/>
      <c r="Q434" s="578"/>
    </row>
    <row r="435" spans="1:17" ht="39" customHeight="1" x14ac:dyDescent="0.2">
      <c r="A435" s="634"/>
      <c r="B435" s="634"/>
      <c r="C435" s="685" t="s">
        <v>1009</v>
      </c>
      <c r="D435" s="680" t="s">
        <v>1005</v>
      </c>
      <c r="E435" s="560">
        <v>1</v>
      </c>
      <c r="F435" s="687">
        <v>163693</v>
      </c>
      <c r="G435" s="678">
        <f>0+táj2!G435</f>
        <v>0</v>
      </c>
      <c r="H435" s="678">
        <f>0+táj2!H435</f>
        <v>0</v>
      </c>
      <c r="I435" s="678">
        <f>62815036+táj2!I435</f>
        <v>62815036</v>
      </c>
      <c r="J435" s="678">
        <f>0+táj2!J435</f>
        <v>0</v>
      </c>
      <c r="K435" s="678">
        <f>0+táj2!K435</f>
        <v>0</v>
      </c>
      <c r="L435" s="678">
        <f>2136040964+táj2!L435</f>
        <v>2136040964</v>
      </c>
      <c r="M435" s="678">
        <f>0+táj2!M435</f>
        <v>0</v>
      </c>
      <c r="N435" s="678">
        <f>0+táj2!N435</f>
        <v>0</v>
      </c>
      <c r="O435" s="678">
        <f>0+táj2!O435</f>
        <v>0</v>
      </c>
      <c r="P435" s="678">
        <f>0+táj2!P435</f>
        <v>0</v>
      </c>
      <c r="Q435" s="684">
        <f>SUM(G435:P435)</f>
        <v>2198856000</v>
      </c>
    </row>
    <row r="436" spans="1:17" ht="32.25" customHeight="1" x14ac:dyDescent="0.2">
      <c r="A436" s="634"/>
      <c r="B436" s="634"/>
      <c r="C436" s="679" t="s">
        <v>1010</v>
      </c>
      <c r="D436" s="680" t="s">
        <v>1006</v>
      </c>
      <c r="E436" s="560">
        <v>1</v>
      </c>
      <c r="F436" s="687">
        <v>163694</v>
      </c>
      <c r="G436" s="678">
        <f>0+táj2!G436</f>
        <v>0</v>
      </c>
      <c r="H436" s="678">
        <f>0+táj2!H436</f>
        <v>0</v>
      </c>
      <c r="I436" s="678">
        <f>0+táj2!I436</f>
        <v>0</v>
      </c>
      <c r="J436" s="678">
        <f>0+táj2!J436</f>
        <v>0</v>
      </c>
      <c r="K436" s="678">
        <f>0+táj2!K436</f>
        <v>0</v>
      </c>
      <c r="L436" s="678">
        <f>0+táj2!L436</f>
        <v>0</v>
      </c>
      <c r="M436" s="678">
        <f>230000000+táj2!M436</f>
        <v>230000000</v>
      </c>
      <c r="N436" s="678">
        <f>0+táj2!N436</f>
        <v>0</v>
      </c>
      <c r="O436" s="678">
        <f>0+táj2!O436</f>
        <v>0</v>
      </c>
      <c r="P436" s="678">
        <f>0+táj2!P436</f>
        <v>0</v>
      </c>
      <c r="Q436" s="684">
        <f>SUM(G436:P436)</f>
        <v>230000000</v>
      </c>
    </row>
    <row r="437" spans="1:17" ht="15" customHeight="1" x14ac:dyDescent="0.2">
      <c r="A437" s="207"/>
      <c r="B437" s="207"/>
      <c r="C437" s="278"/>
      <c r="D437" s="61" t="s">
        <v>746</v>
      </c>
      <c r="E437" s="116"/>
      <c r="F437" s="116"/>
      <c r="G437" s="574"/>
      <c r="H437" s="574"/>
      <c r="I437" s="574"/>
      <c r="J437" s="574"/>
      <c r="K437" s="574"/>
      <c r="L437" s="574"/>
      <c r="M437" s="574"/>
      <c r="N437" s="574"/>
      <c r="O437" s="574"/>
      <c r="P437" s="574"/>
      <c r="Q437" s="578"/>
    </row>
    <row r="438" spans="1:17" ht="33.75" customHeight="1" x14ac:dyDescent="0.2">
      <c r="A438" s="45"/>
      <c r="B438" s="45"/>
      <c r="C438" s="225" t="s">
        <v>565</v>
      </c>
      <c r="D438" s="460" t="s">
        <v>602</v>
      </c>
      <c r="E438" s="439">
        <v>1</v>
      </c>
      <c r="F438" s="46">
        <v>163664</v>
      </c>
      <c r="G438" s="574">
        <f>0+táj2!G438</f>
        <v>0</v>
      </c>
      <c r="H438" s="574">
        <f>0+táj2!H438</f>
        <v>0</v>
      </c>
      <c r="I438" s="574">
        <f>89000+táj2!I438</f>
        <v>89000</v>
      </c>
      <c r="J438" s="574">
        <f>0+táj2!J438</f>
        <v>0</v>
      </c>
      <c r="K438" s="574">
        <f>0+táj2!K438</f>
        <v>0</v>
      </c>
      <c r="L438" s="574">
        <f>0+táj2!L438</f>
        <v>0</v>
      </c>
      <c r="M438" s="574">
        <f>0+táj2!M438</f>
        <v>0</v>
      </c>
      <c r="N438" s="574">
        <f>0+táj2!N438</f>
        <v>0</v>
      </c>
      <c r="O438" s="574">
        <f>0+táj2!O438</f>
        <v>0</v>
      </c>
      <c r="P438" s="574">
        <f>0+táj2!P438</f>
        <v>0</v>
      </c>
      <c r="Q438" s="580">
        <f t="shared" si="33"/>
        <v>89000</v>
      </c>
    </row>
    <row r="439" spans="1:17" ht="54" customHeight="1" x14ac:dyDescent="0.2">
      <c r="A439" s="45"/>
      <c r="B439" s="45"/>
      <c r="C439" s="225" t="s">
        <v>419</v>
      </c>
      <c r="D439" s="481" t="s">
        <v>559</v>
      </c>
      <c r="E439" s="439">
        <v>1</v>
      </c>
      <c r="F439" s="294">
        <v>163654</v>
      </c>
      <c r="G439" s="574">
        <f>0+táj2!G439</f>
        <v>0</v>
      </c>
      <c r="H439" s="574">
        <f>0+táj2!H439</f>
        <v>0</v>
      </c>
      <c r="I439" s="574">
        <f>478730998+táj2!I439</f>
        <v>478730998</v>
      </c>
      <c r="J439" s="574">
        <f>0+táj2!J439</f>
        <v>0</v>
      </c>
      <c r="K439" s="574">
        <f>0+táj2!K439</f>
        <v>0</v>
      </c>
      <c r="L439" s="574">
        <f>1594225233+táj2!L439</f>
        <v>1594225233</v>
      </c>
      <c r="M439" s="574">
        <f>0+táj2!M439</f>
        <v>0</v>
      </c>
      <c r="N439" s="574">
        <f>0+táj2!N439</f>
        <v>0</v>
      </c>
      <c r="O439" s="574">
        <f>0+táj2!O439</f>
        <v>0</v>
      </c>
      <c r="P439" s="574">
        <f>0+táj2!P439</f>
        <v>0</v>
      </c>
      <c r="Q439" s="580">
        <f t="shared" si="33"/>
        <v>2072956231</v>
      </c>
    </row>
    <row r="440" spans="1:17" ht="53.25" customHeight="1" x14ac:dyDescent="0.2">
      <c r="A440" s="207"/>
      <c r="B440" s="207"/>
      <c r="C440" s="225" t="s">
        <v>894</v>
      </c>
      <c r="D440" s="481" t="s">
        <v>560</v>
      </c>
      <c r="E440" s="439">
        <v>1</v>
      </c>
      <c r="F440" s="295">
        <v>163661</v>
      </c>
      <c r="G440" s="574">
        <f>0+táj2!G440</f>
        <v>0</v>
      </c>
      <c r="H440" s="574">
        <f>0+táj2!H440</f>
        <v>0</v>
      </c>
      <c r="I440" s="574">
        <f>17135508+táj2!I440</f>
        <v>17135508</v>
      </c>
      <c r="J440" s="574">
        <f>0+táj2!J440</f>
        <v>0</v>
      </c>
      <c r="K440" s="574">
        <f>0+táj2!K440</f>
        <v>0</v>
      </c>
      <c r="L440" s="574">
        <f>24000+táj2!L440</f>
        <v>24000</v>
      </c>
      <c r="M440" s="574">
        <f>0+táj2!M440</f>
        <v>0</v>
      </c>
      <c r="N440" s="574">
        <f>0+táj2!N440</f>
        <v>0</v>
      </c>
      <c r="O440" s="574">
        <f>0+táj2!O440</f>
        <v>0</v>
      </c>
      <c r="P440" s="574">
        <f>0+táj2!P440</f>
        <v>0</v>
      </c>
      <c r="Q440" s="578">
        <f t="shared" si="33"/>
        <v>17159508</v>
      </c>
    </row>
    <row r="441" spans="1:17" ht="53.25" customHeight="1" x14ac:dyDescent="0.2">
      <c r="A441" s="45"/>
      <c r="B441" s="45"/>
      <c r="C441" s="225" t="s">
        <v>895</v>
      </c>
      <c r="D441" s="481" t="s">
        <v>642</v>
      </c>
      <c r="E441" s="439">
        <v>1</v>
      </c>
      <c r="F441" s="295">
        <v>163683</v>
      </c>
      <c r="G441" s="574">
        <f>0+táj2!G441</f>
        <v>0</v>
      </c>
      <c r="H441" s="574">
        <f>0+táj2!H441</f>
        <v>0</v>
      </c>
      <c r="I441" s="574">
        <f>174885604+táj2!I441</f>
        <v>174885604</v>
      </c>
      <c r="J441" s="574">
        <f>0+táj2!J441</f>
        <v>0</v>
      </c>
      <c r="K441" s="574">
        <f>0+táj2!K441</f>
        <v>0</v>
      </c>
      <c r="L441" s="574">
        <f>589033293+táj2!L441</f>
        <v>589033293</v>
      </c>
      <c r="M441" s="574">
        <f>0+táj2!M441</f>
        <v>0</v>
      </c>
      <c r="N441" s="574">
        <f>0+táj2!N441</f>
        <v>0</v>
      </c>
      <c r="O441" s="574">
        <f>0+táj2!O441</f>
        <v>0</v>
      </c>
      <c r="P441" s="574">
        <f>0+táj2!P441</f>
        <v>0</v>
      </c>
      <c r="Q441" s="578">
        <f t="shared" si="33"/>
        <v>763918897</v>
      </c>
    </row>
    <row r="442" spans="1:17" ht="25.5" customHeight="1" x14ac:dyDescent="0.2">
      <c r="A442" s="45"/>
      <c r="B442" s="45"/>
      <c r="C442" s="225" t="s">
        <v>896</v>
      </c>
      <c r="D442" s="520" t="s">
        <v>601</v>
      </c>
      <c r="E442" s="439">
        <v>1</v>
      </c>
      <c r="F442" s="48">
        <v>132937</v>
      </c>
      <c r="G442" s="574">
        <f>2621860+táj2!G442</f>
        <v>2621860</v>
      </c>
      <c r="H442" s="574">
        <f>340840+táj2!H442</f>
        <v>340840</v>
      </c>
      <c r="I442" s="574">
        <f>6456579+táj2!I442</f>
        <v>6456579</v>
      </c>
      <c r="J442" s="574">
        <f>0+táj2!J442</f>
        <v>0</v>
      </c>
      <c r="K442" s="574">
        <f>0+táj2!K442</f>
        <v>0</v>
      </c>
      <c r="L442" s="574">
        <f>14392292+táj2!L442</f>
        <v>14392292</v>
      </c>
      <c r="M442" s="574">
        <f>0+táj2!M442</f>
        <v>0</v>
      </c>
      <c r="N442" s="574">
        <f>0+táj2!N442</f>
        <v>0</v>
      </c>
      <c r="O442" s="574">
        <f>0+táj2!O442</f>
        <v>0</v>
      </c>
      <c r="P442" s="574">
        <f>0+táj2!P442</f>
        <v>0</v>
      </c>
      <c r="Q442" s="578">
        <f t="shared" si="33"/>
        <v>23811571</v>
      </c>
    </row>
    <row r="443" spans="1:17" ht="34.5" customHeight="1" x14ac:dyDescent="0.2">
      <c r="A443" s="45"/>
      <c r="B443" s="45"/>
      <c r="C443" s="225" t="s">
        <v>897</v>
      </c>
      <c r="D443" s="521" t="s">
        <v>692</v>
      </c>
      <c r="E443" s="439">
        <v>2</v>
      </c>
      <c r="F443" s="46">
        <v>163676</v>
      </c>
      <c r="G443" s="574">
        <f>0+táj2!G443</f>
        <v>0</v>
      </c>
      <c r="H443" s="574">
        <f>0+táj2!H443</f>
        <v>0</v>
      </c>
      <c r="I443" s="574">
        <f>11696948+táj2!I443</f>
        <v>11696948</v>
      </c>
      <c r="J443" s="574">
        <f>0+táj2!J443</f>
        <v>0</v>
      </c>
      <c r="K443" s="574">
        <f>0+táj2!K443</f>
        <v>0</v>
      </c>
      <c r="L443" s="574">
        <f>0+táj2!L443</f>
        <v>0</v>
      </c>
      <c r="M443" s="574">
        <f>43322029+táj2!M443</f>
        <v>43322029</v>
      </c>
      <c r="N443" s="574">
        <f>0+táj2!N443</f>
        <v>0</v>
      </c>
      <c r="O443" s="574">
        <f>0+táj2!O443</f>
        <v>0</v>
      </c>
      <c r="P443" s="574">
        <f>0+táj2!P443</f>
        <v>0</v>
      </c>
      <c r="Q443" s="578">
        <f t="shared" si="33"/>
        <v>55018977</v>
      </c>
    </row>
    <row r="444" spans="1:17" ht="25.5" customHeight="1" x14ac:dyDescent="0.2">
      <c r="A444" s="45"/>
      <c r="B444" s="45"/>
      <c r="C444" s="225" t="s">
        <v>898</v>
      </c>
      <c r="D444" s="521" t="s">
        <v>733</v>
      </c>
      <c r="E444" s="439">
        <v>2</v>
      </c>
      <c r="F444" s="46">
        <v>163675</v>
      </c>
      <c r="G444" s="574">
        <f>11179134+táj2!G444</f>
        <v>11179134</v>
      </c>
      <c r="H444" s="574">
        <f>1453266+táj2!H444</f>
        <v>1453266</v>
      </c>
      <c r="I444" s="574">
        <f>132782410+táj2!I444</f>
        <v>130242410</v>
      </c>
      <c r="J444" s="574">
        <f>0+táj2!J444</f>
        <v>0</v>
      </c>
      <c r="K444" s="574">
        <f>0+táj2!K444</f>
        <v>0</v>
      </c>
      <c r="L444" s="574">
        <f>83018960+táj2!L444</f>
        <v>83018960</v>
      </c>
      <c r="M444" s="574">
        <f>0+táj2!M444</f>
        <v>0</v>
      </c>
      <c r="N444" s="574">
        <f>0+táj2!N444</f>
        <v>0</v>
      </c>
      <c r="O444" s="574">
        <f>0+táj2!O444</f>
        <v>0</v>
      </c>
      <c r="P444" s="574">
        <f>0+táj2!P444</f>
        <v>0</v>
      </c>
      <c r="Q444" s="578">
        <f t="shared" si="33"/>
        <v>225893770</v>
      </c>
    </row>
    <row r="445" spans="1:17" ht="15" customHeight="1" x14ac:dyDescent="0.2">
      <c r="A445" s="45"/>
      <c r="B445" s="45"/>
      <c r="C445" s="56" t="s">
        <v>899</v>
      </c>
      <c r="D445" s="279" t="s">
        <v>420</v>
      </c>
      <c r="E445" s="46"/>
      <c r="F445" s="46"/>
      <c r="G445" s="574"/>
      <c r="H445" s="574"/>
      <c r="I445" s="574"/>
      <c r="J445" s="574"/>
      <c r="K445" s="574"/>
      <c r="L445" s="574"/>
      <c r="M445" s="574"/>
      <c r="N445" s="574"/>
      <c r="O445" s="574"/>
      <c r="P445" s="574"/>
      <c r="Q445" s="578"/>
    </row>
    <row r="446" spans="1:17" ht="32.25" customHeight="1" x14ac:dyDescent="0.2">
      <c r="A446" s="438"/>
      <c r="B446" s="438"/>
      <c r="C446" s="466" t="s">
        <v>900</v>
      </c>
      <c r="D446" s="481" t="s">
        <v>940</v>
      </c>
      <c r="E446" s="439">
        <v>2</v>
      </c>
      <c r="F446" s="439">
        <v>171923</v>
      </c>
      <c r="G446" s="574">
        <f>0+táj2!G446</f>
        <v>0</v>
      </c>
      <c r="H446" s="574">
        <f>0+táj2!H446</f>
        <v>0</v>
      </c>
      <c r="I446" s="574">
        <f>31000000+táj2!I446</f>
        <v>31000000</v>
      </c>
      <c r="J446" s="574">
        <f>0+táj2!J446</f>
        <v>0</v>
      </c>
      <c r="K446" s="574">
        <f>0+táj2!K446</f>
        <v>0</v>
      </c>
      <c r="L446" s="574">
        <f>10000000+táj2!L446</f>
        <v>10000000</v>
      </c>
      <c r="M446" s="574">
        <f>0+táj2!M446</f>
        <v>0</v>
      </c>
      <c r="N446" s="574">
        <f>0+táj2!N446</f>
        <v>0</v>
      </c>
      <c r="O446" s="574">
        <f>0+táj2!O446</f>
        <v>0</v>
      </c>
      <c r="P446" s="574">
        <f>0+táj2!P446</f>
        <v>0</v>
      </c>
      <c r="Q446" s="578">
        <f t="shared" si="33"/>
        <v>41000000</v>
      </c>
    </row>
    <row r="447" spans="1:17" ht="15" customHeight="1" x14ac:dyDescent="0.2">
      <c r="A447" s="45"/>
      <c r="B447" s="45"/>
      <c r="C447" s="226"/>
      <c r="D447" s="61" t="s">
        <v>746</v>
      </c>
      <c r="E447" s="280"/>
      <c r="F447" s="116"/>
      <c r="G447" s="574"/>
      <c r="H447" s="574"/>
      <c r="I447" s="574"/>
      <c r="J447" s="574"/>
      <c r="K447" s="574"/>
      <c r="L447" s="574"/>
      <c r="M447" s="574"/>
      <c r="N447" s="574"/>
      <c r="O447" s="574"/>
      <c r="P447" s="574"/>
      <c r="Q447" s="578"/>
    </row>
    <row r="448" spans="1:17" ht="38.25" customHeight="1" x14ac:dyDescent="0.2">
      <c r="A448" s="45"/>
      <c r="B448" s="45"/>
      <c r="C448" s="56" t="s">
        <v>901</v>
      </c>
      <c r="D448" s="481" t="s">
        <v>734</v>
      </c>
      <c r="E448" s="439">
        <v>2</v>
      </c>
      <c r="F448" s="48">
        <v>164954</v>
      </c>
      <c r="G448" s="574">
        <f>0+táj2!G448</f>
        <v>0</v>
      </c>
      <c r="H448" s="574">
        <f>0+táj2!H448</f>
        <v>0</v>
      </c>
      <c r="I448" s="574">
        <f>1905000+táj2!I448</f>
        <v>1920240</v>
      </c>
      <c r="J448" s="574">
        <f>0+táj2!J448</f>
        <v>0</v>
      </c>
      <c r="K448" s="574">
        <f>0+táj2!K448</f>
        <v>0</v>
      </c>
      <c r="L448" s="574">
        <f>0+táj2!L448</f>
        <v>0</v>
      </c>
      <c r="M448" s="574">
        <f>12083563+táj2!M448</f>
        <v>12068323</v>
      </c>
      <c r="N448" s="574">
        <f>0+táj2!N448</f>
        <v>0</v>
      </c>
      <c r="O448" s="574">
        <f>0+táj2!O448</f>
        <v>0</v>
      </c>
      <c r="P448" s="574">
        <f>0+táj2!P448</f>
        <v>0</v>
      </c>
      <c r="Q448" s="578">
        <f t="shared" si="33"/>
        <v>13988563</v>
      </c>
    </row>
    <row r="449" spans="1:17" ht="24" customHeight="1" x14ac:dyDescent="0.2">
      <c r="A449" s="45"/>
      <c r="B449" s="45"/>
      <c r="C449" s="56" t="s">
        <v>902</v>
      </c>
      <c r="D449" s="460" t="s">
        <v>421</v>
      </c>
      <c r="E449" s="439">
        <v>2</v>
      </c>
      <c r="F449" s="46">
        <v>162633</v>
      </c>
      <c r="G449" s="574">
        <f>0+táj2!G449</f>
        <v>0</v>
      </c>
      <c r="H449" s="574">
        <f>0+táj2!H449</f>
        <v>0</v>
      </c>
      <c r="I449" s="574">
        <f>13239431+táj2!I449</f>
        <v>16096931</v>
      </c>
      <c r="J449" s="574">
        <f>0+táj2!J449</f>
        <v>0</v>
      </c>
      <c r="K449" s="574">
        <f>0+táj2!K449</f>
        <v>0</v>
      </c>
      <c r="L449" s="574">
        <f>33403090+táj2!L449</f>
        <v>33403090</v>
      </c>
      <c r="M449" s="574">
        <f>0+táj2!M449</f>
        <v>0</v>
      </c>
      <c r="N449" s="574">
        <f>0+táj2!N449</f>
        <v>0</v>
      </c>
      <c r="O449" s="574">
        <f>0+táj2!O449</f>
        <v>0</v>
      </c>
      <c r="P449" s="574">
        <f>0+táj2!P449</f>
        <v>0</v>
      </c>
      <c r="Q449" s="578">
        <f t="shared" si="33"/>
        <v>49500021</v>
      </c>
    </row>
    <row r="450" spans="1:17" ht="31.5" customHeight="1" x14ac:dyDescent="0.2">
      <c r="A450" s="45"/>
      <c r="B450" s="45"/>
      <c r="C450" s="56" t="s">
        <v>903</v>
      </c>
      <c r="D450" s="460" t="s">
        <v>422</v>
      </c>
      <c r="E450" s="439">
        <v>2</v>
      </c>
      <c r="F450" s="46">
        <v>163631</v>
      </c>
      <c r="G450" s="574">
        <f>0+táj2!G450</f>
        <v>0</v>
      </c>
      <c r="H450" s="574">
        <f>0+táj2!H450</f>
        <v>0</v>
      </c>
      <c r="I450" s="574">
        <f>350000+táj2!I450</f>
        <v>365240</v>
      </c>
      <c r="J450" s="574">
        <f>0+táj2!J450</f>
        <v>0</v>
      </c>
      <c r="K450" s="574">
        <f>0+táj2!K450</f>
        <v>0</v>
      </c>
      <c r="L450" s="574">
        <f>24374033+táj2!L450</f>
        <v>16644751</v>
      </c>
      <c r="M450" s="574">
        <f>0+táj2!M450</f>
        <v>7714042</v>
      </c>
      <c r="N450" s="574">
        <f>0+táj2!N450</f>
        <v>0</v>
      </c>
      <c r="O450" s="574">
        <f>0+táj2!O450</f>
        <v>0</v>
      </c>
      <c r="P450" s="574">
        <f>0+táj2!P450</f>
        <v>0</v>
      </c>
      <c r="Q450" s="578">
        <f t="shared" si="33"/>
        <v>24724033</v>
      </c>
    </row>
    <row r="451" spans="1:17" ht="14.1" customHeight="1" x14ac:dyDescent="0.2">
      <c r="A451" s="227"/>
      <c r="B451" s="227"/>
      <c r="C451" s="228"/>
      <c r="D451" s="40" t="s">
        <v>423</v>
      </c>
      <c r="E451" s="41"/>
      <c r="F451" s="229"/>
      <c r="G451" s="595">
        <f t="shared" ref="G451:Q451" si="34">SUM(G336:G450)</f>
        <v>117709540</v>
      </c>
      <c r="H451" s="595">
        <f t="shared" si="34"/>
        <v>14876076</v>
      </c>
      <c r="I451" s="595">
        <f t="shared" si="34"/>
        <v>2430605533</v>
      </c>
      <c r="J451" s="595">
        <f t="shared" si="34"/>
        <v>0</v>
      </c>
      <c r="K451" s="595">
        <f t="shared" si="34"/>
        <v>1996249</v>
      </c>
      <c r="L451" s="595">
        <f t="shared" si="34"/>
        <v>8614380057</v>
      </c>
      <c r="M451" s="595">
        <f t="shared" si="34"/>
        <v>4279216508</v>
      </c>
      <c r="N451" s="595">
        <f t="shared" si="34"/>
        <v>41353732</v>
      </c>
      <c r="O451" s="595">
        <f t="shared" si="34"/>
        <v>0</v>
      </c>
      <c r="P451" s="595">
        <f t="shared" si="34"/>
        <v>0</v>
      </c>
      <c r="Q451" s="595">
        <f t="shared" si="34"/>
        <v>15500137695</v>
      </c>
    </row>
    <row r="452" spans="1:17" ht="15" customHeight="1" x14ac:dyDescent="0.2">
      <c r="A452" s="45">
        <v>1</v>
      </c>
      <c r="B452" s="45">
        <v>17</v>
      </c>
      <c r="C452" s="56"/>
      <c r="D452" s="53" t="s">
        <v>424</v>
      </c>
      <c r="E452" s="46"/>
      <c r="F452" s="48"/>
      <c r="G452" s="578"/>
      <c r="H452" s="574"/>
      <c r="I452" s="574"/>
      <c r="J452" s="574"/>
      <c r="K452" s="574"/>
      <c r="L452" s="574"/>
      <c r="M452" s="578"/>
      <c r="N452" s="578"/>
      <c r="O452" s="578"/>
      <c r="P452" s="578"/>
      <c r="Q452" s="578"/>
    </row>
    <row r="453" spans="1:17" ht="15" customHeight="1" x14ac:dyDescent="0.2">
      <c r="A453" s="45"/>
      <c r="B453" s="45"/>
      <c r="C453" s="56"/>
      <c r="D453" s="87" t="s">
        <v>172</v>
      </c>
      <c r="E453" s="65"/>
      <c r="F453" s="69"/>
      <c r="G453" s="578"/>
      <c r="H453" s="574"/>
      <c r="I453" s="574"/>
      <c r="J453" s="574"/>
      <c r="K453" s="574"/>
      <c r="L453" s="574"/>
      <c r="M453" s="578"/>
      <c r="N453" s="578"/>
      <c r="O453" s="578"/>
      <c r="P453" s="578"/>
      <c r="Q453" s="578"/>
    </row>
    <row r="454" spans="1:17" ht="15" customHeight="1" x14ac:dyDescent="0.2">
      <c r="A454" s="45"/>
      <c r="B454" s="45"/>
      <c r="C454" s="56"/>
      <c r="D454" s="111" t="s">
        <v>425</v>
      </c>
      <c r="E454" s="48">
        <v>1</v>
      </c>
      <c r="F454" s="48">
        <v>171905</v>
      </c>
      <c r="G454" s="578">
        <f>0+táj2!G454</f>
        <v>0</v>
      </c>
      <c r="H454" s="578">
        <f>0+táj2!H454</f>
        <v>0</v>
      </c>
      <c r="I454" s="578">
        <f>66050443+táj2!I454</f>
        <v>66050443</v>
      </c>
      <c r="J454" s="578">
        <f>0+táj2!J454</f>
        <v>0</v>
      </c>
      <c r="K454" s="578">
        <f>0+táj2!K454</f>
        <v>0</v>
      </c>
      <c r="L454" s="578">
        <f>0+táj2!L454</f>
        <v>0</v>
      </c>
      <c r="M454" s="578">
        <f>2500000+táj2!M454</f>
        <v>7240000</v>
      </c>
      <c r="N454" s="578">
        <f>0+táj2!N454</f>
        <v>0</v>
      </c>
      <c r="O454" s="578">
        <f>0+táj2!O454</f>
        <v>0</v>
      </c>
      <c r="P454" s="578">
        <f>0+táj2!P454</f>
        <v>0</v>
      </c>
      <c r="Q454" s="578">
        <f t="shared" ref="Q454:Q462" si="35">SUM(G454:P454)</f>
        <v>73290443</v>
      </c>
    </row>
    <row r="455" spans="1:17" ht="15" customHeight="1" x14ac:dyDescent="0.2">
      <c r="A455" s="45"/>
      <c r="B455" s="45"/>
      <c r="C455" s="56"/>
      <c r="D455" s="111" t="s">
        <v>426</v>
      </c>
      <c r="E455" s="69">
        <v>2</v>
      </c>
      <c r="F455" s="48">
        <v>171920</v>
      </c>
      <c r="G455" s="578">
        <f>0+táj2!G455</f>
        <v>0</v>
      </c>
      <c r="H455" s="578">
        <f>0+táj2!H455</f>
        <v>0</v>
      </c>
      <c r="I455" s="578">
        <f>6164350+táj2!I455</f>
        <v>6164350</v>
      </c>
      <c r="J455" s="578">
        <f>0+táj2!J455</f>
        <v>0</v>
      </c>
      <c r="K455" s="578">
        <f>0+táj2!K455</f>
        <v>0</v>
      </c>
      <c r="L455" s="578">
        <f>0+táj2!L455</f>
        <v>0</v>
      </c>
      <c r="M455" s="578">
        <f>0+táj2!M455</f>
        <v>0</v>
      </c>
      <c r="N455" s="578">
        <f>0+táj2!N455</f>
        <v>0</v>
      </c>
      <c r="O455" s="578">
        <f>0+táj2!O455</f>
        <v>0</v>
      </c>
      <c r="P455" s="578">
        <f>0+táj2!P455</f>
        <v>0</v>
      </c>
      <c r="Q455" s="578">
        <f t="shared" si="35"/>
        <v>6164350</v>
      </c>
    </row>
    <row r="456" spans="1:17" ht="26.25" customHeight="1" x14ac:dyDescent="0.2">
      <c r="A456" s="45"/>
      <c r="B456" s="45"/>
      <c r="C456" s="56"/>
      <c r="D456" s="149" t="s">
        <v>427</v>
      </c>
      <c r="E456" s="69">
        <v>1</v>
      </c>
      <c r="F456" s="48">
        <v>171956</v>
      </c>
      <c r="G456" s="578">
        <f>0+táj2!G456</f>
        <v>0</v>
      </c>
      <c r="H456" s="578">
        <f>0+táj2!H456</f>
        <v>0</v>
      </c>
      <c r="I456" s="578">
        <f>8961734+táj2!I456</f>
        <v>8961734</v>
      </c>
      <c r="J456" s="578">
        <f>0+táj2!J456</f>
        <v>0</v>
      </c>
      <c r="K456" s="578">
        <f>0+táj2!K456</f>
        <v>0</v>
      </c>
      <c r="L456" s="578">
        <f>0+táj2!L456</f>
        <v>0</v>
      </c>
      <c r="M456" s="578">
        <f>0+táj2!M456</f>
        <v>0</v>
      </c>
      <c r="N456" s="578">
        <f>0+táj2!N456</f>
        <v>0</v>
      </c>
      <c r="O456" s="578">
        <f>0+táj2!O456</f>
        <v>0</v>
      </c>
      <c r="P456" s="578">
        <f>0+táj2!P456</f>
        <v>0</v>
      </c>
      <c r="Q456" s="578">
        <f t="shared" si="35"/>
        <v>8961734</v>
      </c>
    </row>
    <row r="457" spans="1:17" ht="15" customHeight="1" x14ac:dyDescent="0.2">
      <c r="A457" s="45"/>
      <c r="B457" s="45"/>
      <c r="C457" s="56"/>
      <c r="D457" s="149" t="s">
        <v>428</v>
      </c>
      <c r="E457" s="69">
        <v>2</v>
      </c>
      <c r="F457" s="48">
        <v>171958</v>
      </c>
      <c r="G457" s="578">
        <f>0+táj2!G457</f>
        <v>0</v>
      </c>
      <c r="H457" s="578">
        <f>0+táj2!H457</f>
        <v>0</v>
      </c>
      <c r="I457" s="578">
        <f>820065+táj2!I457</f>
        <v>820065</v>
      </c>
      <c r="J457" s="578">
        <f>0+táj2!J457</f>
        <v>0</v>
      </c>
      <c r="K457" s="578">
        <f>0+táj2!K457</f>
        <v>0</v>
      </c>
      <c r="L457" s="578">
        <f>0+táj2!L457</f>
        <v>0</v>
      </c>
      <c r="M457" s="578">
        <f>0+táj2!M457</f>
        <v>0</v>
      </c>
      <c r="N457" s="578">
        <f>0+táj2!N457</f>
        <v>0</v>
      </c>
      <c r="O457" s="578">
        <f>0+táj2!O457</f>
        <v>0</v>
      </c>
      <c r="P457" s="578">
        <f>0+táj2!P457</f>
        <v>0</v>
      </c>
      <c r="Q457" s="578">
        <f t="shared" si="35"/>
        <v>820065</v>
      </c>
    </row>
    <row r="458" spans="1:17" ht="15" customHeight="1" x14ac:dyDescent="0.2">
      <c r="A458" s="45"/>
      <c r="B458" s="45"/>
      <c r="C458" s="56"/>
      <c r="D458" s="149" t="s">
        <v>429</v>
      </c>
      <c r="E458" s="69">
        <v>2</v>
      </c>
      <c r="F458" s="48">
        <v>171904</v>
      </c>
      <c r="G458" s="578">
        <f>0+táj2!G458</f>
        <v>0</v>
      </c>
      <c r="H458" s="578">
        <f>0+táj2!H458</f>
        <v>0</v>
      </c>
      <c r="I458" s="578">
        <f>2000000+táj2!I458</f>
        <v>2000000</v>
      </c>
      <c r="J458" s="578">
        <f>0+táj2!J458</f>
        <v>0</v>
      </c>
      <c r="K458" s="578">
        <f>0+táj2!K458</f>
        <v>0</v>
      </c>
      <c r="L458" s="578">
        <f>0+táj2!L458</f>
        <v>0</v>
      </c>
      <c r="M458" s="578">
        <f>0+táj2!M458</f>
        <v>0</v>
      </c>
      <c r="N458" s="578">
        <f>0+táj2!N458</f>
        <v>0</v>
      </c>
      <c r="O458" s="578">
        <f>0+táj2!O458</f>
        <v>0</v>
      </c>
      <c r="P458" s="578">
        <f>0+táj2!P458</f>
        <v>0</v>
      </c>
      <c r="Q458" s="578">
        <f t="shared" si="35"/>
        <v>2000000</v>
      </c>
    </row>
    <row r="459" spans="1:17" ht="30.75" customHeight="1" x14ac:dyDescent="0.2">
      <c r="A459" s="45"/>
      <c r="B459" s="45"/>
      <c r="C459" s="56"/>
      <c r="D459" s="149" t="s">
        <v>430</v>
      </c>
      <c r="E459" s="48">
        <v>1</v>
      </c>
      <c r="F459" s="48">
        <v>171902</v>
      </c>
      <c r="G459" s="578">
        <f>0+táj2!G459</f>
        <v>0</v>
      </c>
      <c r="H459" s="578">
        <f>0+táj2!H459</f>
        <v>0</v>
      </c>
      <c r="I459" s="578">
        <f>38189100+táj2!I459</f>
        <v>36149100</v>
      </c>
      <c r="J459" s="578">
        <f>0+táj2!J459</f>
        <v>0</v>
      </c>
      <c r="K459" s="578">
        <f>0+táj2!K459</f>
        <v>0</v>
      </c>
      <c r="L459" s="578">
        <f>0+táj2!L459</f>
        <v>0</v>
      </c>
      <c r="M459" s="578">
        <f>0+táj2!M459</f>
        <v>0</v>
      </c>
      <c r="N459" s="578">
        <f>0+táj2!N459</f>
        <v>0</v>
      </c>
      <c r="O459" s="578">
        <f>0+táj2!O459</f>
        <v>0</v>
      </c>
      <c r="P459" s="578">
        <f>0+táj2!P459</f>
        <v>0</v>
      </c>
      <c r="Q459" s="578">
        <f t="shared" si="35"/>
        <v>36149100</v>
      </c>
    </row>
    <row r="460" spans="1:17" ht="15" customHeight="1" x14ac:dyDescent="0.2">
      <c r="A460" s="45"/>
      <c r="B460" s="45"/>
      <c r="C460" s="56"/>
      <c r="D460" s="111" t="s">
        <v>431</v>
      </c>
      <c r="E460" s="48">
        <v>2</v>
      </c>
      <c r="F460" s="48">
        <v>171925</v>
      </c>
      <c r="G460" s="578">
        <f>0+táj2!G460</f>
        <v>0</v>
      </c>
      <c r="H460" s="578">
        <f>0+táj2!H460</f>
        <v>0</v>
      </c>
      <c r="I460" s="578">
        <f>1000000+táj2!I460</f>
        <v>1000000</v>
      </c>
      <c r="J460" s="578">
        <f>0+táj2!J460</f>
        <v>0</v>
      </c>
      <c r="K460" s="578">
        <f>0+táj2!K460</f>
        <v>0</v>
      </c>
      <c r="L460" s="578">
        <f>0+táj2!L460</f>
        <v>0</v>
      </c>
      <c r="M460" s="578">
        <f>0+táj2!M460</f>
        <v>0</v>
      </c>
      <c r="N460" s="578">
        <f>0+táj2!N460</f>
        <v>0</v>
      </c>
      <c r="O460" s="578">
        <f>0+táj2!O460</f>
        <v>0</v>
      </c>
      <c r="P460" s="578">
        <f>0+táj2!P460</f>
        <v>0</v>
      </c>
      <c r="Q460" s="578">
        <f t="shared" si="35"/>
        <v>1000000</v>
      </c>
    </row>
    <row r="461" spans="1:17" ht="23.25" customHeight="1" x14ac:dyDescent="0.2">
      <c r="A461" s="45"/>
      <c r="B461" s="45"/>
      <c r="C461" s="56"/>
      <c r="D461" s="149" t="s">
        <v>735</v>
      </c>
      <c r="E461" s="48">
        <v>1</v>
      </c>
      <c r="F461" s="48">
        <v>171987</v>
      </c>
      <c r="G461" s="578">
        <f>0+táj2!G461</f>
        <v>0</v>
      </c>
      <c r="H461" s="578">
        <f>0+táj2!H461</f>
        <v>0</v>
      </c>
      <c r="I461" s="578">
        <f>11294030+táj2!I461</f>
        <v>11294030</v>
      </c>
      <c r="J461" s="578">
        <f>0+táj2!J461</f>
        <v>0</v>
      </c>
      <c r="K461" s="578">
        <f>0+táj2!K461</f>
        <v>0</v>
      </c>
      <c r="L461" s="578">
        <f>0+táj2!L461</f>
        <v>0</v>
      </c>
      <c r="M461" s="578">
        <f>0+táj2!M461</f>
        <v>0</v>
      </c>
      <c r="N461" s="578">
        <f>0+táj2!N461</f>
        <v>0</v>
      </c>
      <c r="O461" s="578">
        <f>0+táj2!O461</f>
        <v>0</v>
      </c>
      <c r="P461" s="578">
        <f>0+táj2!P461</f>
        <v>0</v>
      </c>
      <c r="Q461" s="578">
        <f t="shared" si="35"/>
        <v>11294030</v>
      </c>
    </row>
    <row r="462" spans="1:17" ht="15" customHeight="1" x14ac:dyDescent="0.2">
      <c r="A462" s="45"/>
      <c r="B462" s="45"/>
      <c r="C462" s="95"/>
      <c r="D462" s="149" t="s">
        <v>804</v>
      </c>
      <c r="E462" s="48">
        <v>2</v>
      </c>
      <c r="F462" s="48">
        <v>172901</v>
      </c>
      <c r="G462" s="578">
        <f>0+táj2!G462</f>
        <v>0</v>
      </c>
      <c r="H462" s="578">
        <f>0+táj2!H462</f>
        <v>0</v>
      </c>
      <c r="I462" s="578">
        <f>0+táj2!I462</f>
        <v>0</v>
      </c>
      <c r="J462" s="578">
        <f>0+táj2!J462</f>
        <v>0</v>
      </c>
      <c r="K462" s="578">
        <f>0+táj2!K462</f>
        <v>0</v>
      </c>
      <c r="L462" s="578">
        <f>207508+táj2!L462</f>
        <v>207508</v>
      </c>
      <c r="M462" s="578">
        <f>0+táj2!M462</f>
        <v>0</v>
      </c>
      <c r="N462" s="578">
        <f>0+táj2!N462</f>
        <v>0</v>
      </c>
      <c r="O462" s="578">
        <f>0+táj2!O462</f>
        <v>0</v>
      </c>
      <c r="P462" s="578">
        <f>0+táj2!P462</f>
        <v>0</v>
      </c>
      <c r="Q462" s="578">
        <f t="shared" si="35"/>
        <v>207508</v>
      </c>
    </row>
    <row r="463" spans="1:17" ht="15" customHeight="1" x14ac:dyDescent="0.2">
      <c r="A463" s="45"/>
      <c r="B463" s="45"/>
      <c r="C463" s="45"/>
      <c r="D463" s="468" t="s">
        <v>432</v>
      </c>
      <c r="E463" s="201"/>
      <c r="F463" s="48"/>
      <c r="G463" s="578"/>
      <c r="H463" s="574"/>
      <c r="I463" s="578"/>
      <c r="J463" s="574"/>
      <c r="K463" s="574"/>
      <c r="L463" s="574"/>
      <c r="M463" s="578"/>
      <c r="N463" s="578"/>
      <c r="O463" s="578"/>
      <c r="P463" s="578"/>
      <c r="Q463" s="578"/>
    </row>
    <row r="464" spans="1:17" ht="15" customHeight="1" x14ac:dyDescent="0.2">
      <c r="A464" s="260"/>
      <c r="B464" s="45"/>
      <c r="C464" s="45"/>
      <c r="D464" s="48" t="s">
        <v>904</v>
      </c>
      <c r="E464" s="46">
        <v>1</v>
      </c>
      <c r="F464" s="48">
        <v>171954</v>
      </c>
      <c r="G464" s="578">
        <f>0+táj2!G464</f>
        <v>0</v>
      </c>
      <c r="H464" s="578">
        <f>0+táj2!H464</f>
        <v>0</v>
      </c>
      <c r="I464" s="578">
        <f>3631481+táj2!I464</f>
        <v>3631481</v>
      </c>
      <c r="J464" s="578">
        <f>0+táj2!J464</f>
        <v>0</v>
      </c>
      <c r="K464" s="578">
        <f>0+táj2!K464</f>
        <v>0</v>
      </c>
      <c r="L464" s="578">
        <f>0+táj2!L464</f>
        <v>0</v>
      </c>
      <c r="M464" s="578">
        <f>0+táj2!M464</f>
        <v>0</v>
      </c>
      <c r="N464" s="578">
        <f>0+táj2!N464</f>
        <v>0</v>
      </c>
      <c r="O464" s="578">
        <f>0+táj2!O464</f>
        <v>0</v>
      </c>
      <c r="P464" s="578">
        <f>0+táj2!P464</f>
        <v>0</v>
      </c>
      <c r="Q464" s="578">
        <f>SUM(G464:P464)</f>
        <v>3631481</v>
      </c>
    </row>
    <row r="465" spans="1:17" ht="15" customHeight="1" x14ac:dyDescent="0.2">
      <c r="A465" s="136"/>
      <c r="B465" s="136"/>
      <c r="C465" s="231"/>
      <c r="D465" s="232" t="s">
        <v>433</v>
      </c>
      <c r="E465" s="64"/>
      <c r="F465" s="68"/>
      <c r="G465" s="575">
        <f t="shared" ref="G465:Q465" si="36">SUM(G453:G464)</f>
        <v>0</v>
      </c>
      <c r="H465" s="575">
        <f t="shared" si="36"/>
        <v>0</v>
      </c>
      <c r="I465" s="575">
        <f t="shared" si="36"/>
        <v>136071203</v>
      </c>
      <c r="J465" s="575">
        <f t="shared" si="36"/>
        <v>0</v>
      </c>
      <c r="K465" s="575">
        <f t="shared" si="36"/>
        <v>0</v>
      </c>
      <c r="L465" s="575">
        <f t="shared" si="36"/>
        <v>207508</v>
      </c>
      <c r="M465" s="575">
        <f t="shared" si="36"/>
        <v>7240000</v>
      </c>
      <c r="N465" s="575">
        <f t="shared" si="36"/>
        <v>0</v>
      </c>
      <c r="O465" s="575">
        <f t="shared" si="36"/>
        <v>0</v>
      </c>
      <c r="P465" s="575">
        <f t="shared" si="36"/>
        <v>0</v>
      </c>
      <c r="Q465" s="575">
        <f t="shared" si="36"/>
        <v>143518711</v>
      </c>
    </row>
    <row r="466" spans="1:17" ht="14.1" customHeight="1" x14ac:dyDescent="0.2">
      <c r="A466" s="51"/>
      <c r="B466" s="51"/>
      <c r="C466" s="77"/>
      <c r="D466" s="223" t="s">
        <v>434</v>
      </c>
      <c r="E466" s="54"/>
      <c r="F466" s="52"/>
      <c r="G466" s="576"/>
      <c r="H466" s="576"/>
      <c r="I466" s="576"/>
      <c r="J466" s="576"/>
      <c r="K466" s="576"/>
      <c r="L466" s="576"/>
      <c r="M466" s="576"/>
      <c r="N466" s="576"/>
      <c r="O466" s="576"/>
      <c r="P466" s="576"/>
      <c r="Q466" s="576"/>
    </row>
    <row r="467" spans="1:17" ht="27" customHeight="1" x14ac:dyDescent="0.2">
      <c r="A467" s="51"/>
      <c r="B467" s="51"/>
      <c r="C467" s="56" t="s">
        <v>83</v>
      </c>
      <c r="D467" s="486" t="s">
        <v>435</v>
      </c>
      <c r="E467" s="486">
        <v>1</v>
      </c>
      <c r="F467" s="233">
        <v>171980</v>
      </c>
      <c r="G467" s="578">
        <f>0+táj2!G467</f>
        <v>0</v>
      </c>
      <c r="H467" s="578">
        <f>0+táj2!H467</f>
        <v>0</v>
      </c>
      <c r="I467" s="578">
        <f>0+táj2!I467</f>
        <v>0</v>
      </c>
      <c r="J467" s="578">
        <f>0+táj2!J467</f>
        <v>0</v>
      </c>
      <c r="K467" s="578">
        <f>0+táj2!K467</f>
        <v>0</v>
      </c>
      <c r="L467" s="578">
        <f>0+táj2!L467</f>
        <v>0</v>
      </c>
      <c r="M467" s="578">
        <f>0+táj2!M467</f>
        <v>0</v>
      </c>
      <c r="N467" s="578">
        <f>65000000+táj2!N467</f>
        <v>65000000</v>
      </c>
      <c r="O467" s="578">
        <f>0+táj2!O467</f>
        <v>0</v>
      </c>
      <c r="P467" s="578">
        <f>0+táj2!P467</f>
        <v>0</v>
      </c>
      <c r="Q467" s="578">
        <f>SUM(G467:P467)</f>
        <v>65000000</v>
      </c>
    </row>
    <row r="468" spans="1:17" ht="17.45" customHeight="1" x14ac:dyDescent="0.2">
      <c r="A468" s="51"/>
      <c r="B468" s="51"/>
      <c r="C468" s="56" t="s">
        <v>82</v>
      </c>
      <c r="D468" s="486" t="s">
        <v>736</v>
      </c>
      <c r="E468" s="486">
        <v>2</v>
      </c>
      <c r="F468" s="233">
        <v>162603</v>
      </c>
      <c r="G468" s="578">
        <f>0+táj2!G468</f>
        <v>0</v>
      </c>
      <c r="H468" s="578">
        <f>0+táj2!H468</f>
        <v>0</v>
      </c>
      <c r="I468" s="578">
        <f>1000000+táj2!I468</f>
        <v>1000000</v>
      </c>
      <c r="J468" s="578">
        <f>0+táj2!J468</f>
        <v>0</v>
      </c>
      <c r="K468" s="578">
        <f>0+táj2!K468</f>
        <v>0</v>
      </c>
      <c r="L468" s="578">
        <f>5829000+táj2!L468</f>
        <v>5829000</v>
      </c>
      <c r="M468" s="578">
        <f>0+táj2!M468</f>
        <v>0</v>
      </c>
      <c r="N468" s="578">
        <f>0+táj2!N468</f>
        <v>0</v>
      </c>
      <c r="O468" s="578">
        <f>0+táj2!O468</f>
        <v>0</v>
      </c>
      <c r="P468" s="578">
        <f>0+táj2!P468</f>
        <v>0</v>
      </c>
      <c r="Q468" s="578">
        <f>SUM(G468:P468)</f>
        <v>6829000</v>
      </c>
    </row>
    <row r="469" spans="1:17" ht="15.95" customHeight="1" x14ac:dyDescent="0.2">
      <c r="A469" s="136"/>
      <c r="B469" s="136"/>
      <c r="C469" s="215"/>
      <c r="D469" s="232" t="s">
        <v>200</v>
      </c>
      <c r="E469" s="64"/>
      <c r="F469" s="68"/>
      <c r="G469" s="575">
        <f>SUM(G465:G468)</f>
        <v>0</v>
      </c>
      <c r="H469" s="575">
        <f t="shared" ref="H469:Q469" si="37">SUM(H465:H468)</f>
        <v>0</v>
      </c>
      <c r="I469" s="575">
        <f t="shared" si="37"/>
        <v>137071203</v>
      </c>
      <c r="J469" s="575">
        <f t="shared" si="37"/>
        <v>0</v>
      </c>
      <c r="K469" s="575">
        <f t="shared" si="37"/>
        <v>0</v>
      </c>
      <c r="L469" s="575">
        <f t="shared" si="37"/>
        <v>6036508</v>
      </c>
      <c r="M469" s="575">
        <f t="shared" si="37"/>
        <v>7240000</v>
      </c>
      <c r="N469" s="575">
        <f t="shared" si="37"/>
        <v>65000000</v>
      </c>
      <c r="O469" s="575">
        <f t="shared" si="37"/>
        <v>0</v>
      </c>
      <c r="P469" s="575">
        <f t="shared" si="37"/>
        <v>0</v>
      </c>
      <c r="Q469" s="575">
        <f t="shared" si="37"/>
        <v>215347711</v>
      </c>
    </row>
    <row r="470" spans="1:17" ht="15" customHeight="1" x14ac:dyDescent="0.2">
      <c r="A470" s="45">
        <v>1</v>
      </c>
      <c r="B470" s="45">
        <v>18</v>
      </c>
      <c r="C470" s="56"/>
      <c r="D470" s="53" t="s">
        <v>436</v>
      </c>
      <c r="E470" s="54"/>
      <c r="F470" s="54"/>
      <c r="G470" s="578"/>
      <c r="H470" s="574"/>
      <c r="I470" s="574"/>
      <c r="J470" s="574"/>
      <c r="K470" s="574"/>
      <c r="L470" s="574"/>
      <c r="M470" s="578"/>
      <c r="N470" s="578"/>
      <c r="O470" s="578"/>
      <c r="P470" s="578"/>
      <c r="Q470" s="578"/>
    </row>
    <row r="471" spans="1:17" ht="15.75" customHeight="1" x14ac:dyDescent="0.2">
      <c r="A471" s="45"/>
      <c r="B471" s="45"/>
      <c r="C471" s="56"/>
      <c r="D471" s="61" t="s">
        <v>172</v>
      </c>
      <c r="E471" s="65"/>
      <c r="F471" s="65"/>
      <c r="G471" s="578"/>
      <c r="H471" s="574"/>
      <c r="I471" s="574"/>
      <c r="J471" s="574"/>
      <c r="K471" s="574"/>
      <c r="L471" s="574"/>
      <c r="M471" s="578"/>
      <c r="N471" s="578"/>
      <c r="O471" s="578"/>
      <c r="P471" s="578"/>
      <c r="Q471" s="578"/>
    </row>
    <row r="472" spans="1:17" ht="17.25" customHeight="1" x14ac:dyDescent="0.2">
      <c r="A472" s="45"/>
      <c r="B472" s="45"/>
      <c r="C472" s="56"/>
      <c r="D472" s="61" t="s">
        <v>437</v>
      </c>
      <c r="E472" s="48">
        <v>2</v>
      </c>
      <c r="F472" s="48">
        <v>181905</v>
      </c>
      <c r="G472" s="578">
        <f>0+táj2!G472</f>
        <v>0</v>
      </c>
      <c r="H472" s="578">
        <f>0+táj2!H472</f>
        <v>0</v>
      </c>
      <c r="I472" s="578">
        <f>32400000+táj2!I472</f>
        <v>32400000</v>
      </c>
      <c r="J472" s="578">
        <f>0+táj2!J472</f>
        <v>0</v>
      </c>
      <c r="K472" s="578">
        <f>0+táj2!K472</f>
        <v>0</v>
      </c>
      <c r="L472" s="578">
        <f>0+táj2!L472</f>
        <v>0</v>
      </c>
      <c r="M472" s="578">
        <f>0+táj2!M472</f>
        <v>0</v>
      </c>
      <c r="N472" s="578">
        <f>0+táj2!N472</f>
        <v>0</v>
      </c>
      <c r="O472" s="578">
        <f>0+táj2!O472</f>
        <v>0</v>
      </c>
      <c r="P472" s="578">
        <f>0+táj2!P472</f>
        <v>0</v>
      </c>
      <c r="Q472" s="578">
        <f>SUM(G472:P472)</f>
        <v>32400000</v>
      </c>
    </row>
    <row r="473" spans="1:17" ht="32.25" customHeight="1" x14ac:dyDescent="0.2">
      <c r="A473" s="45"/>
      <c r="B473" s="45"/>
      <c r="C473" s="56"/>
      <c r="D473" s="59" t="s">
        <v>438</v>
      </c>
      <c r="E473" s="48">
        <v>1</v>
      </c>
      <c r="F473" s="48" t="s">
        <v>203</v>
      </c>
      <c r="G473" s="578">
        <f>0+táj2!G473</f>
        <v>0</v>
      </c>
      <c r="H473" s="578">
        <f>0+táj2!H473</f>
        <v>0</v>
      </c>
      <c r="I473" s="578">
        <f>83238146+táj2!I473</f>
        <v>83238146</v>
      </c>
      <c r="J473" s="578">
        <f>0+táj2!J473</f>
        <v>0</v>
      </c>
      <c r="K473" s="578">
        <f>0+táj2!K473</f>
        <v>0</v>
      </c>
      <c r="L473" s="578">
        <f>0+táj2!L473</f>
        <v>0</v>
      </c>
      <c r="M473" s="578">
        <f>0+táj2!M473</f>
        <v>0</v>
      </c>
      <c r="N473" s="578">
        <f>0+táj2!N473</f>
        <v>0</v>
      </c>
      <c r="O473" s="578">
        <f>0+táj2!O473</f>
        <v>0</v>
      </c>
      <c r="P473" s="578">
        <f>0+táj2!P473</f>
        <v>0</v>
      </c>
      <c r="Q473" s="578">
        <f>SUM(G473:P473)</f>
        <v>83238146</v>
      </c>
    </row>
    <row r="474" spans="1:17" ht="14.1" customHeight="1" x14ac:dyDescent="0.2">
      <c r="A474" s="45"/>
      <c r="B474" s="45"/>
      <c r="C474" s="56"/>
      <c r="D474" s="61" t="s">
        <v>635</v>
      </c>
      <c r="E474" s="48">
        <v>1</v>
      </c>
      <c r="F474" s="48">
        <v>181906</v>
      </c>
      <c r="G474" s="578">
        <f>0+táj2!G474</f>
        <v>0</v>
      </c>
      <c r="H474" s="578">
        <f>0+táj2!H474</f>
        <v>0</v>
      </c>
      <c r="I474" s="578">
        <f>9844576+táj2!I474</f>
        <v>9844576</v>
      </c>
      <c r="J474" s="578">
        <f>0+táj2!J474</f>
        <v>0</v>
      </c>
      <c r="K474" s="578">
        <f>0+táj2!K474</f>
        <v>0</v>
      </c>
      <c r="L474" s="578">
        <f>0+táj2!L474</f>
        <v>0</v>
      </c>
      <c r="M474" s="578">
        <f>0+táj2!M474</f>
        <v>0</v>
      </c>
      <c r="N474" s="578">
        <f>0+táj2!N474</f>
        <v>0</v>
      </c>
      <c r="O474" s="578">
        <f>0+táj2!O474</f>
        <v>0</v>
      </c>
      <c r="P474" s="578">
        <f>0+táj2!P474</f>
        <v>0</v>
      </c>
      <c r="Q474" s="578">
        <f>SUM(G474:P474)</f>
        <v>9844576</v>
      </c>
    </row>
    <row r="475" spans="1:17" ht="14.1" customHeight="1" x14ac:dyDescent="0.2">
      <c r="A475" s="45"/>
      <c r="B475" s="45"/>
      <c r="C475" s="56"/>
      <c r="D475" s="61" t="s">
        <v>535</v>
      </c>
      <c r="E475" s="48">
        <v>2</v>
      </c>
      <c r="F475" s="48">
        <v>181915</v>
      </c>
      <c r="G475" s="578">
        <f>0+táj2!G475</f>
        <v>0</v>
      </c>
      <c r="H475" s="578">
        <f>0+táj2!H475</f>
        <v>0</v>
      </c>
      <c r="I475" s="578">
        <f>2020320+táj2!I475</f>
        <v>2020320</v>
      </c>
      <c r="J475" s="578">
        <f>0+táj2!J475</f>
        <v>0</v>
      </c>
      <c r="K475" s="578">
        <f>0+táj2!K475</f>
        <v>0</v>
      </c>
      <c r="L475" s="578">
        <f>0+táj2!L475</f>
        <v>0</v>
      </c>
      <c r="M475" s="578">
        <f>0+táj2!M475</f>
        <v>0</v>
      </c>
      <c r="N475" s="578">
        <f>0+táj2!N475</f>
        <v>0</v>
      </c>
      <c r="O475" s="578">
        <f>0+táj2!O475</f>
        <v>0</v>
      </c>
      <c r="P475" s="578">
        <f>0+táj2!P475</f>
        <v>0</v>
      </c>
      <c r="Q475" s="578">
        <f>SUM(G475:P475)</f>
        <v>2020320</v>
      </c>
    </row>
    <row r="476" spans="1:17" ht="15" customHeight="1" x14ac:dyDescent="0.2">
      <c r="A476" s="45"/>
      <c r="B476" s="45"/>
      <c r="C476" s="56"/>
      <c r="D476" s="488" t="s">
        <v>165</v>
      </c>
      <c r="E476" s="487"/>
      <c r="F476" s="57"/>
      <c r="G476" s="578"/>
      <c r="H476" s="578"/>
      <c r="I476" s="578"/>
      <c r="J476" s="578"/>
      <c r="K476" s="578"/>
      <c r="L476" s="578"/>
      <c r="M476" s="578"/>
      <c r="N476" s="578"/>
      <c r="O476" s="578"/>
      <c r="P476" s="578"/>
      <c r="Q476" s="578"/>
    </row>
    <row r="477" spans="1:17" ht="15" customHeight="1" x14ac:dyDescent="0.2">
      <c r="A477" s="45"/>
      <c r="B477" s="45"/>
      <c r="C477" s="56"/>
      <c r="D477" s="61" t="s">
        <v>439</v>
      </c>
      <c r="E477" s="60">
        <v>1</v>
      </c>
      <c r="F477" s="48">
        <v>221950</v>
      </c>
      <c r="G477" s="578">
        <f>414886992+táj2!G477</f>
        <v>418461992</v>
      </c>
      <c r="H477" s="578">
        <f>62325949+táj2!H477</f>
        <v>62790699</v>
      </c>
      <c r="I477" s="578">
        <f>2902794+táj2!I477</f>
        <v>2902794</v>
      </c>
      <c r="J477" s="578">
        <f>0+táj2!J477</f>
        <v>0</v>
      </c>
      <c r="K477" s="578">
        <f>0+táj2!K477</f>
        <v>0</v>
      </c>
      <c r="L477" s="578">
        <f>0+táj2!L477</f>
        <v>0</v>
      </c>
      <c r="M477" s="578">
        <f>0+táj2!M477</f>
        <v>0</v>
      </c>
      <c r="N477" s="578">
        <f>0+táj2!N477</f>
        <v>0</v>
      </c>
      <c r="O477" s="578">
        <f>0+táj2!O477</f>
        <v>0</v>
      </c>
      <c r="P477" s="578">
        <f>0+táj2!P477</f>
        <v>0</v>
      </c>
      <c r="Q477" s="596">
        <f>SUM(G477:P477)</f>
        <v>484155485</v>
      </c>
    </row>
    <row r="478" spans="1:17" ht="30.6" customHeight="1" x14ac:dyDescent="0.2">
      <c r="A478" s="45"/>
      <c r="B478" s="45"/>
      <c r="C478" s="56"/>
      <c r="D478" s="59" t="s">
        <v>440</v>
      </c>
      <c r="E478" s="69">
        <v>1</v>
      </c>
      <c r="F478" s="48">
        <v>181907</v>
      </c>
      <c r="G478" s="578">
        <f>0+táj2!G478</f>
        <v>0</v>
      </c>
      <c r="H478" s="578">
        <f>0+táj2!H478</f>
        <v>0</v>
      </c>
      <c r="I478" s="578">
        <f>15534499+táj2!I478</f>
        <v>15534499</v>
      </c>
      <c r="J478" s="578">
        <f>0+táj2!J478</f>
        <v>0</v>
      </c>
      <c r="K478" s="578">
        <f>0+táj2!K478</f>
        <v>0</v>
      </c>
      <c r="L478" s="578">
        <f>0+táj2!L478</f>
        <v>0</v>
      </c>
      <c r="M478" s="578">
        <f>0+táj2!M478</f>
        <v>0</v>
      </c>
      <c r="N478" s="578">
        <f>0+táj2!N478</f>
        <v>0</v>
      </c>
      <c r="O478" s="578">
        <f>0+táj2!O478</f>
        <v>0</v>
      </c>
      <c r="P478" s="578">
        <f>0+táj2!P478</f>
        <v>0</v>
      </c>
      <c r="Q478" s="578">
        <f>SUM(G478:P478)</f>
        <v>15534499</v>
      </c>
    </row>
    <row r="479" spans="1:17" ht="15" customHeight="1" x14ac:dyDescent="0.2">
      <c r="A479" s="45"/>
      <c r="B479" s="45"/>
      <c r="C479" s="56"/>
      <c r="D479" s="59" t="s">
        <v>636</v>
      </c>
      <c r="E479" s="69">
        <v>1</v>
      </c>
      <c r="F479" s="48">
        <v>181919</v>
      </c>
      <c r="G479" s="578">
        <f>0+táj2!G479</f>
        <v>0</v>
      </c>
      <c r="H479" s="578">
        <f>0+táj2!H479</f>
        <v>0</v>
      </c>
      <c r="I479" s="578">
        <f>40259000+táj2!I479</f>
        <v>40259000</v>
      </c>
      <c r="J479" s="578">
        <f>0+táj2!J479</f>
        <v>0</v>
      </c>
      <c r="K479" s="578">
        <f>0+táj2!K479</f>
        <v>0</v>
      </c>
      <c r="L479" s="578">
        <f>0+táj2!L479</f>
        <v>0</v>
      </c>
      <c r="M479" s="578">
        <f>0+táj2!M479</f>
        <v>0</v>
      </c>
      <c r="N479" s="578">
        <f>0+táj2!N479</f>
        <v>0</v>
      </c>
      <c r="O479" s="578">
        <f>0+táj2!O479</f>
        <v>0</v>
      </c>
      <c r="P479" s="578">
        <f>0+táj2!P479</f>
        <v>0</v>
      </c>
      <c r="Q479" s="578">
        <f>SUM(G479:P479)</f>
        <v>40259000</v>
      </c>
    </row>
    <row r="480" spans="1:17" ht="27.75" customHeight="1" x14ac:dyDescent="0.2">
      <c r="A480" s="207"/>
      <c r="B480" s="207"/>
      <c r="C480" s="249"/>
      <c r="D480" s="264" t="s">
        <v>768</v>
      </c>
      <c r="E480" s="265">
        <v>2</v>
      </c>
      <c r="F480" s="202">
        <v>181916</v>
      </c>
      <c r="G480" s="578">
        <f>0+táj2!G480</f>
        <v>0</v>
      </c>
      <c r="H480" s="578">
        <f>0+táj2!H480</f>
        <v>0</v>
      </c>
      <c r="I480" s="578">
        <f>49504000+táj2!I480</f>
        <v>49504000</v>
      </c>
      <c r="J480" s="578">
        <f>0+táj2!J480</f>
        <v>0</v>
      </c>
      <c r="K480" s="578">
        <f>0+táj2!K480</f>
        <v>0</v>
      </c>
      <c r="L480" s="578">
        <f>0+táj2!L480</f>
        <v>0</v>
      </c>
      <c r="M480" s="578">
        <f>0+táj2!M480</f>
        <v>0</v>
      </c>
      <c r="N480" s="578">
        <f>0+táj2!N480</f>
        <v>0</v>
      </c>
      <c r="O480" s="578">
        <f>0+táj2!O480</f>
        <v>0</v>
      </c>
      <c r="P480" s="578">
        <f>0+táj2!P480</f>
        <v>0</v>
      </c>
      <c r="Q480" s="578">
        <f>SUM(G480:P480)</f>
        <v>49504000</v>
      </c>
    </row>
    <row r="481" spans="1:17" ht="15.75" customHeight="1" x14ac:dyDescent="0.2">
      <c r="A481" s="45"/>
      <c r="B481" s="45"/>
      <c r="C481" s="56"/>
      <c r="D481" s="468" t="s">
        <v>441</v>
      </c>
      <c r="E481" s="266"/>
      <c r="F481" s="69"/>
      <c r="G481" s="578"/>
      <c r="H481" s="578"/>
      <c r="I481" s="578"/>
      <c r="J481" s="578"/>
      <c r="K481" s="578"/>
      <c r="L481" s="578"/>
      <c r="M481" s="578"/>
      <c r="N481" s="578"/>
      <c r="O481" s="578"/>
      <c r="P481" s="578"/>
      <c r="Q481" s="578"/>
    </row>
    <row r="482" spans="1:17" ht="12.75" customHeight="1" x14ac:dyDescent="0.2">
      <c r="A482" s="45"/>
      <c r="B482" s="45"/>
      <c r="C482" s="56"/>
      <c r="D482" s="59" t="s">
        <v>442</v>
      </c>
      <c r="E482" s="69">
        <v>1</v>
      </c>
      <c r="F482" s="48">
        <v>181909</v>
      </c>
      <c r="G482" s="578">
        <f>0+táj2!G482</f>
        <v>0</v>
      </c>
      <c r="H482" s="578">
        <f>0+táj2!H482</f>
        <v>0</v>
      </c>
      <c r="I482" s="578">
        <f>0+táj2!I482</f>
        <v>0</v>
      </c>
      <c r="J482" s="578">
        <f>0+táj2!J482</f>
        <v>0</v>
      </c>
      <c r="K482" s="578">
        <f>4000000+táj2!K482</f>
        <v>4000000</v>
      </c>
      <c r="L482" s="578">
        <f>0+táj2!L482</f>
        <v>0</v>
      </c>
      <c r="M482" s="578">
        <f>0+táj2!M482</f>
        <v>0</v>
      </c>
      <c r="N482" s="578">
        <f>0+táj2!N482</f>
        <v>0</v>
      </c>
      <c r="O482" s="578">
        <f>0+táj2!O482</f>
        <v>0</v>
      </c>
      <c r="P482" s="578">
        <f>0+táj2!P482</f>
        <v>0</v>
      </c>
      <c r="Q482" s="578">
        <f>SUM(G482:P482)</f>
        <v>4000000</v>
      </c>
    </row>
    <row r="483" spans="1:17" ht="27.75" customHeight="1" x14ac:dyDescent="0.2">
      <c r="A483" s="45"/>
      <c r="B483" s="45"/>
      <c r="C483" s="56"/>
      <c r="D483" s="59" t="s">
        <v>737</v>
      </c>
      <c r="E483" s="69">
        <v>1</v>
      </c>
      <c r="F483" s="48">
        <v>181920</v>
      </c>
      <c r="G483" s="578">
        <f>0+táj2!G483</f>
        <v>0</v>
      </c>
      <c r="H483" s="578">
        <f>0+táj2!H483</f>
        <v>0</v>
      </c>
      <c r="I483" s="578">
        <f>6407200+táj2!I483</f>
        <v>6407200</v>
      </c>
      <c r="J483" s="578">
        <f>0+táj2!J483</f>
        <v>0</v>
      </c>
      <c r="K483" s="578">
        <f>0+táj2!K483</f>
        <v>0</v>
      </c>
      <c r="L483" s="578">
        <f>0+táj2!L483</f>
        <v>0</v>
      </c>
      <c r="M483" s="578">
        <f>0+táj2!M483</f>
        <v>0</v>
      </c>
      <c r="N483" s="578">
        <f>0+táj2!N483</f>
        <v>0</v>
      </c>
      <c r="O483" s="578">
        <f>0+táj2!O483</f>
        <v>0</v>
      </c>
      <c r="P483" s="578">
        <f>0+táj2!P483</f>
        <v>0</v>
      </c>
      <c r="Q483" s="578">
        <f>SUM(G483:P483)</f>
        <v>6407200</v>
      </c>
    </row>
    <row r="484" spans="1:17" ht="26.25" customHeight="1" x14ac:dyDescent="0.2">
      <c r="A484" s="45"/>
      <c r="B484" s="45"/>
      <c r="C484" s="56"/>
      <c r="D484" s="59" t="s">
        <v>443</v>
      </c>
      <c r="E484" s="57">
        <v>2</v>
      </c>
      <c r="F484" s="58">
        <v>191142</v>
      </c>
      <c r="G484" s="578">
        <f>0+táj2!G484</f>
        <v>0</v>
      </c>
      <c r="H484" s="578">
        <f>0+táj2!H484</f>
        <v>0</v>
      </c>
      <c r="I484" s="578">
        <f>0+táj2!I484</f>
        <v>0</v>
      </c>
      <c r="J484" s="578">
        <f>0+táj2!J484</f>
        <v>0</v>
      </c>
      <c r="K484" s="578">
        <f>1000000+táj2!K484</f>
        <v>1000000</v>
      </c>
      <c r="L484" s="578">
        <f>0+táj2!L484</f>
        <v>0</v>
      </c>
      <c r="M484" s="578">
        <f>0+táj2!M484</f>
        <v>0</v>
      </c>
      <c r="N484" s="578">
        <f>0+táj2!N484</f>
        <v>0</v>
      </c>
      <c r="O484" s="578">
        <f>0+táj2!O484</f>
        <v>0</v>
      </c>
      <c r="P484" s="578">
        <f>0+táj2!P484</f>
        <v>0</v>
      </c>
      <c r="Q484" s="578">
        <f>SUM(G484:P484)</f>
        <v>1000000</v>
      </c>
    </row>
    <row r="485" spans="1:17" ht="29.25" customHeight="1" x14ac:dyDescent="0.2">
      <c r="A485" s="45"/>
      <c r="B485" s="45"/>
      <c r="C485" s="56"/>
      <c r="D485" s="59" t="s">
        <v>444</v>
      </c>
      <c r="E485" s="57">
        <v>2</v>
      </c>
      <c r="F485" s="58">
        <v>191154</v>
      </c>
      <c r="G485" s="578">
        <f>0+táj2!G485</f>
        <v>0</v>
      </c>
      <c r="H485" s="578">
        <f>0+táj2!H485</f>
        <v>0</v>
      </c>
      <c r="I485" s="578">
        <f>0+táj2!I485</f>
        <v>0</v>
      </c>
      <c r="J485" s="578">
        <f>0+táj2!J485</f>
        <v>0</v>
      </c>
      <c r="K485" s="578">
        <f>3500000+táj2!K485</f>
        <v>3500000</v>
      </c>
      <c r="L485" s="578">
        <f>0+táj2!L485</f>
        <v>0</v>
      </c>
      <c r="M485" s="578">
        <f>0+táj2!M485</f>
        <v>0</v>
      </c>
      <c r="N485" s="578">
        <f>0+táj2!N485</f>
        <v>0</v>
      </c>
      <c r="O485" s="578">
        <f>0+táj2!O485</f>
        <v>0</v>
      </c>
      <c r="P485" s="578">
        <f>0+táj2!P485</f>
        <v>0</v>
      </c>
      <c r="Q485" s="578">
        <f>SUM(G485:P485)</f>
        <v>3500000</v>
      </c>
    </row>
    <row r="486" spans="1:17" ht="27.75" customHeight="1" x14ac:dyDescent="0.2">
      <c r="A486" s="45"/>
      <c r="B486" s="45"/>
      <c r="C486" s="56"/>
      <c r="D486" s="59" t="s">
        <v>664</v>
      </c>
      <c r="E486" s="57">
        <v>2</v>
      </c>
      <c r="F486" s="58">
        <v>191141</v>
      </c>
      <c r="G486" s="578">
        <f>0+táj2!G486</f>
        <v>0</v>
      </c>
      <c r="H486" s="578">
        <f>0+táj2!H486</f>
        <v>0</v>
      </c>
      <c r="I486" s="578">
        <f>0+táj2!I486</f>
        <v>0</v>
      </c>
      <c r="J486" s="578">
        <f>0+táj2!J486</f>
        <v>0</v>
      </c>
      <c r="K486" s="578">
        <f>8000000+táj2!K486</f>
        <v>8000000</v>
      </c>
      <c r="L486" s="578">
        <f>0+táj2!L486</f>
        <v>0</v>
      </c>
      <c r="M486" s="578">
        <f>0+táj2!M486</f>
        <v>0</v>
      </c>
      <c r="N486" s="578">
        <f>0+táj2!N486</f>
        <v>0</v>
      </c>
      <c r="O486" s="578">
        <f>0+táj2!O486</f>
        <v>0</v>
      </c>
      <c r="P486" s="578">
        <f>0+táj2!P486</f>
        <v>0</v>
      </c>
      <c r="Q486" s="578">
        <f>SUM(G486:P486)</f>
        <v>8000000</v>
      </c>
    </row>
    <row r="487" spans="1:17" ht="15" customHeight="1" x14ac:dyDescent="0.2">
      <c r="A487" s="45"/>
      <c r="B487" s="45"/>
      <c r="C487" s="56"/>
      <c r="D487" s="489" t="s">
        <v>445</v>
      </c>
      <c r="E487" s="266"/>
      <c r="F487" s="69"/>
      <c r="G487" s="578"/>
      <c r="H487" s="578"/>
      <c r="I487" s="578"/>
      <c r="J487" s="578"/>
      <c r="K487" s="578"/>
      <c r="L487" s="578"/>
      <c r="M487" s="578"/>
      <c r="N487" s="578"/>
      <c r="O487" s="578"/>
      <c r="P487" s="578"/>
      <c r="Q487" s="578"/>
    </row>
    <row r="488" spans="1:17" ht="15" customHeight="1" x14ac:dyDescent="0.2">
      <c r="A488" s="45"/>
      <c r="B488" s="45"/>
      <c r="C488" s="56"/>
      <c r="D488" s="59" t="s">
        <v>769</v>
      </c>
      <c r="E488" s="69">
        <v>1</v>
      </c>
      <c r="F488" s="48">
        <v>181902</v>
      </c>
      <c r="G488" s="578">
        <f>0+táj2!G488</f>
        <v>0</v>
      </c>
      <c r="H488" s="578">
        <f>0+táj2!H488</f>
        <v>0</v>
      </c>
      <c r="I488" s="578">
        <f>300000+táj2!I488</f>
        <v>300000</v>
      </c>
      <c r="J488" s="578">
        <f>0+táj2!J488</f>
        <v>0</v>
      </c>
      <c r="K488" s="578">
        <f>0+táj2!K488</f>
        <v>0</v>
      </c>
      <c r="L488" s="578">
        <f>0+táj2!L488</f>
        <v>0</v>
      </c>
      <c r="M488" s="578">
        <f>0+táj2!M488</f>
        <v>0</v>
      </c>
      <c r="N488" s="578">
        <f>0+táj2!N488</f>
        <v>0</v>
      </c>
      <c r="O488" s="578">
        <f>0+táj2!O488</f>
        <v>0</v>
      </c>
      <c r="P488" s="578">
        <f>0+táj2!P488</f>
        <v>0</v>
      </c>
      <c r="Q488" s="578">
        <f>SUM(G488:P488)</f>
        <v>300000</v>
      </c>
    </row>
    <row r="489" spans="1:17" ht="23.25" customHeight="1" x14ac:dyDescent="0.2">
      <c r="A489" s="234"/>
      <c r="B489" s="234"/>
      <c r="C489" s="234"/>
      <c r="D489" s="61" t="s">
        <v>446</v>
      </c>
      <c r="E489" s="48">
        <v>1</v>
      </c>
      <c r="F489" s="48">
        <v>181904</v>
      </c>
      <c r="G489" s="578">
        <f>0+táj2!G489</f>
        <v>0</v>
      </c>
      <c r="H489" s="578">
        <f>0+táj2!H489</f>
        <v>0</v>
      </c>
      <c r="I489" s="578">
        <f>606750+táj2!I489</f>
        <v>606750</v>
      </c>
      <c r="J489" s="578">
        <f>0+táj2!J489</f>
        <v>0</v>
      </c>
      <c r="K489" s="578">
        <f>0+táj2!K489</f>
        <v>0</v>
      </c>
      <c r="L489" s="578">
        <f>0+táj2!L489</f>
        <v>0</v>
      </c>
      <c r="M489" s="578">
        <f>0+táj2!M489</f>
        <v>0</v>
      </c>
      <c r="N489" s="578">
        <f>0+táj2!N489</f>
        <v>0</v>
      </c>
      <c r="O489" s="578">
        <f>0+táj2!O489</f>
        <v>0</v>
      </c>
      <c r="P489" s="578">
        <f>0+táj2!P489</f>
        <v>0</v>
      </c>
      <c r="Q489" s="578">
        <f>SUM(G489:P489)</f>
        <v>606750</v>
      </c>
    </row>
    <row r="490" spans="1:17" ht="15" customHeight="1" x14ac:dyDescent="0.2">
      <c r="A490" s="68"/>
      <c r="B490" s="68"/>
      <c r="C490" s="232"/>
      <c r="D490" s="232" t="s">
        <v>447</v>
      </c>
      <c r="E490" s="64"/>
      <c r="F490" s="64"/>
      <c r="G490" s="588">
        <f t="shared" ref="G490:Q490" si="38">SUM(G472:G489)</f>
        <v>418461992</v>
      </c>
      <c r="H490" s="588">
        <f t="shared" si="38"/>
        <v>62790699</v>
      </c>
      <c r="I490" s="588">
        <f t="shared" si="38"/>
        <v>243017285</v>
      </c>
      <c r="J490" s="588">
        <f t="shared" si="38"/>
        <v>0</v>
      </c>
      <c r="K490" s="588">
        <f t="shared" si="38"/>
        <v>16500000</v>
      </c>
      <c r="L490" s="588">
        <f t="shared" si="38"/>
        <v>0</v>
      </c>
      <c r="M490" s="588">
        <f t="shared" si="38"/>
        <v>0</v>
      </c>
      <c r="N490" s="588">
        <f t="shared" si="38"/>
        <v>0</v>
      </c>
      <c r="O490" s="588">
        <f t="shared" si="38"/>
        <v>0</v>
      </c>
      <c r="P490" s="588">
        <f t="shared" si="38"/>
        <v>0</v>
      </c>
      <c r="Q490" s="588">
        <f t="shared" si="38"/>
        <v>740769976</v>
      </c>
    </row>
    <row r="491" spans="1:17" ht="15" customHeight="1" x14ac:dyDescent="0.2">
      <c r="A491" s="52"/>
      <c r="B491" s="52"/>
      <c r="C491" s="53"/>
      <c r="D491" s="223" t="s">
        <v>448</v>
      </c>
      <c r="E491" s="54"/>
      <c r="F491" s="54"/>
      <c r="G491" s="574"/>
      <c r="H491" s="574"/>
      <c r="I491" s="574"/>
      <c r="J491" s="574"/>
      <c r="K491" s="574"/>
      <c r="L491" s="574"/>
      <c r="M491" s="574"/>
      <c r="N491" s="574"/>
      <c r="O491" s="574"/>
      <c r="P491" s="574"/>
      <c r="Q491" s="574"/>
    </row>
    <row r="492" spans="1:17" ht="15" customHeight="1" x14ac:dyDescent="0.2">
      <c r="A492" s="52"/>
      <c r="B492" s="52"/>
      <c r="C492" s="53"/>
      <c r="D492" s="61" t="s">
        <v>746</v>
      </c>
      <c r="E492" s="281"/>
      <c r="F492" s="118"/>
      <c r="G492" s="597"/>
      <c r="H492" s="597"/>
      <c r="I492" s="597"/>
      <c r="J492" s="597"/>
      <c r="K492" s="597"/>
      <c r="L492" s="597"/>
      <c r="M492" s="597"/>
      <c r="N492" s="597"/>
      <c r="O492" s="597"/>
      <c r="P492" s="597"/>
      <c r="Q492" s="574"/>
    </row>
    <row r="493" spans="1:17" ht="30" customHeight="1" x14ac:dyDescent="0.2">
      <c r="A493" s="52"/>
      <c r="B493" s="52"/>
      <c r="C493" s="45" t="s">
        <v>253</v>
      </c>
      <c r="D493" s="460" t="s">
        <v>738</v>
      </c>
      <c r="E493" s="439">
        <v>1</v>
      </c>
      <c r="F493" s="201">
        <v>184902</v>
      </c>
      <c r="G493" s="598">
        <f>0+táj2!G493</f>
        <v>0</v>
      </c>
      <c r="H493" s="598">
        <f>0+táj2!H493</f>
        <v>0</v>
      </c>
      <c r="I493" s="598">
        <f>0+táj2!I493</f>
        <v>0</v>
      </c>
      <c r="J493" s="598">
        <f>0+táj2!J493</f>
        <v>0</v>
      </c>
      <c r="K493" s="598">
        <f>0+táj2!K493</f>
        <v>0</v>
      </c>
      <c r="L493" s="598">
        <f>0+táj2!L493</f>
        <v>0</v>
      </c>
      <c r="M493" s="598">
        <f>959802+táj2!M493</f>
        <v>959802</v>
      </c>
      <c r="N493" s="598">
        <f>0+táj2!N493</f>
        <v>0</v>
      </c>
      <c r="O493" s="598">
        <f>0+táj2!O493</f>
        <v>0</v>
      </c>
      <c r="P493" s="598">
        <f>0+táj2!P493</f>
        <v>0</v>
      </c>
      <c r="Q493" s="574">
        <f>SUM(G493:P493)</f>
        <v>959802</v>
      </c>
    </row>
    <row r="494" spans="1:17" ht="15.6" customHeight="1" x14ac:dyDescent="0.2">
      <c r="A494" s="52"/>
      <c r="B494" s="52"/>
      <c r="C494" s="45" t="s">
        <v>255</v>
      </c>
      <c r="D494" s="439" t="s">
        <v>449</v>
      </c>
      <c r="E494" s="439">
        <v>2</v>
      </c>
      <c r="F494" s="490">
        <v>182905</v>
      </c>
      <c r="G494" s="598">
        <f>0+táj2!G494</f>
        <v>0</v>
      </c>
      <c r="H494" s="598">
        <f>0+táj2!H494</f>
        <v>0</v>
      </c>
      <c r="I494" s="598">
        <f>0+táj2!I494</f>
        <v>0</v>
      </c>
      <c r="J494" s="598">
        <f>0+táj2!J494</f>
        <v>0</v>
      </c>
      <c r="K494" s="598">
        <f>0+táj2!K494</f>
        <v>0</v>
      </c>
      <c r="L494" s="598">
        <f>17407794+táj2!L494</f>
        <v>17407794</v>
      </c>
      <c r="M494" s="598">
        <f>0+táj2!M494</f>
        <v>0</v>
      </c>
      <c r="N494" s="598">
        <f>0+táj2!N494</f>
        <v>0</v>
      </c>
      <c r="O494" s="598">
        <f>0+táj2!O494</f>
        <v>0</v>
      </c>
      <c r="P494" s="598">
        <f>0+táj2!P494</f>
        <v>0</v>
      </c>
      <c r="Q494" s="574">
        <f>SUM(G494:P494)</f>
        <v>17407794</v>
      </c>
    </row>
    <row r="495" spans="1:17" ht="15" customHeight="1" x14ac:dyDescent="0.2">
      <c r="A495" s="68"/>
      <c r="B495" s="68"/>
      <c r="C495" s="232"/>
      <c r="D495" s="232" t="s">
        <v>450</v>
      </c>
      <c r="E495" s="64"/>
      <c r="F495" s="64"/>
      <c r="G495" s="588">
        <f t="shared" ref="G495:Q495" si="39">SUM(G490:G494)</f>
        <v>418461992</v>
      </c>
      <c r="H495" s="588">
        <f t="shared" si="39"/>
        <v>62790699</v>
      </c>
      <c r="I495" s="588">
        <f t="shared" si="39"/>
        <v>243017285</v>
      </c>
      <c r="J495" s="588">
        <f t="shared" si="39"/>
        <v>0</v>
      </c>
      <c r="K495" s="588">
        <f t="shared" si="39"/>
        <v>16500000</v>
      </c>
      <c r="L495" s="588">
        <f t="shared" si="39"/>
        <v>17407794</v>
      </c>
      <c r="M495" s="588">
        <f t="shared" si="39"/>
        <v>959802</v>
      </c>
      <c r="N495" s="588">
        <f t="shared" si="39"/>
        <v>0</v>
      </c>
      <c r="O495" s="588">
        <f t="shared" si="39"/>
        <v>0</v>
      </c>
      <c r="P495" s="588">
        <f t="shared" si="39"/>
        <v>0</v>
      </c>
      <c r="Q495" s="588">
        <f t="shared" si="39"/>
        <v>759137572</v>
      </c>
    </row>
    <row r="496" spans="1:17" ht="15" customHeight="1" x14ac:dyDescent="0.2">
      <c r="A496" s="45">
        <v>1</v>
      </c>
      <c r="B496" s="45">
        <v>19</v>
      </c>
      <c r="C496" s="56"/>
      <c r="D496" s="53" t="s">
        <v>451</v>
      </c>
      <c r="E496" s="46"/>
      <c r="F496" s="46"/>
      <c r="G496" s="578"/>
      <c r="H496" s="574"/>
      <c r="I496" s="574"/>
      <c r="J496" s="574"/>
      <c r="K496" s="574"/>
      <c r="L496" s="574"/>
      <c r="M496" s="578"/>
      <c r="N496" s="578"/>
      <c r="O496" s="578"/>
      <c r="P496" s="578"/>
      <c r="Q496" s="578"/>
    </row>
    <row r="497" spans="1:17" ht="15" customHeight="1" x14ac:dyDescent="0.2">
      <c r="A497" s="45"/>
      <c r="B497" s="45"/>
      <c r="C497" s="56"/>
      <c r="D497" s="62" t="s">
        <v>452</v>
      </c>
      <c r="E497" s="65"/>
      <c r="F497" s="65"/>
      <c r="G497" s="578"/>
      <c r="H497" s="574"/>
      <c r="I497" s="574"/>
      <c r="J497" s="574"/>
      <c r="K497" s="574"/>
      <c r="L497" s="574"/>
      <c r="M497" s="578"/>
      <c r="N497" s="578"/>
      <c r="O497" s="578"/>
      <c r="P497" s="578"/>
      <c r="Q497" s="578"/>
    </row>
    <row r="498" spans="1:17" ht="15" customHeight="1" x14ac:dyDescent="0.2">
      <c r="A498" s="45"/>
      <c r="B498" s="45"/>
      <c r="C498" s="56"/>
      <c r="D498" s="61" t="s">
        <v>770</v>
      </c>
      <c r="E498" s="69">
        <v>1</v>
      </c>
      <c r="F498" s="48">
        <v>191101</v>
      </c>
      <c r="G498" s="578">
        <f>0+táj2!G498</f>
        <v>0</v>
      </c>
      <c r="H498" s="578">
        <f>0+táj2!H498</f>
        <v>0</v>
      </c>
      <c r="I498" s="578">
        <f>0+táj2!I498</f>
        <v>0</v>
      </c>
      <c r="J498" s="578">
        <f>0+táj2!J498</f>
        <v>0</v>
      </c>
      <c r="K498" s="578">
        <f>15000000+táj2!K498</f>
        <v>15000000</v>
      </c>
      <c r="L498" s="578">
        <f>0+táj2!L498</f>
        <v>0</v>
      </c>
      <c r="M498" s="578">
        <f>0+táj2!M498</f>
        <v>0</v>
      </c>
      <c r="N498" s="578">
        <f>0+táj2!N498</f>
        <v>0</v>
      </c>
      <c r="O498" s="578">
        <f>0+táj2!O498</f>
        <v>0</v>
      </c>
      <c r="P498" s="578">
        <f>0+táj2!P498</f>
        <v>0</v>
      </c>
      <c r="Q498" s="578">
        <f>SUM(G498:P498)</f>
        <v>15000000</v>
      </c>
    </row>
    <row r="499" spans="1:17" ht="15" customHeight="1" x14ac:dyDescent="0.2">
      <c r="A499" s="45"/>
      <c r="B499" s="45"/>
      <c r="C499" s="56"/>
      <c r="D499" s="61" t="s">
        <v>771</v>
      </c>
      <c r="E499" s="69">
        <v>1</v>
      </c>
      <c r="F499" s="48">
        <v>191901</v>
      </c>
      <c r="G499" s="578">
        <f>0+táj2!G499</f>
        <v>0</v>
      </c>
      <c r="H499" s="578">
        <f>0+táj2!H499</f>
        <v>0</v>
      </c>
      <c r="I499" s="578">
        <f>0+táj2!I499</f>
        <v>0</v>
      </c>
      <c r="J499" s="578">
        <f>0+táj2!J499</f>
        <v>0</v>
      </c>
      <c r="K499" s="578">
        <f>0+táj2!K499</f>
        <v>0</v>
      </c>
      <c r="L499" s="578">
        <f>0+táj2!L499</f>
        <v>0</v>
      </c>
      <c r="M499" s="578">
        <f>0+táj2!M499</f>
        <v>0</v>
      </c>
      <c r="N499" s="578">
        <f>0+táj2!N499</f>
        <v>0</v>
      </c>
      <c r="O499" s="578">
        <f>0+táj2!O499</f>
        <v>0</v>
      </c>
      <c r="P499" s="578">
        <f>244127650+táj2!P499</f>
        <v>244127650</v>
      </c>
      <c r="Q499" s="578">
        <f>SUM(G499:P499)</f>
        <v>244127650</v>
      </c>
    </row>
    <row r="500" spans="1:17" ht="15" customHeight="1" x14ac:dyDescent="0.2">
      <c r="A500" s="45"/>
      <c r="B500" s="45"/>
      <c r="C500" s="56"/>
      <c r="D500" s="61" t="s">
        <v>453</v>
      </c>
      <c r="E500" s="69">
        <v>1</v>
      </c>
      <c r="F500" s="48">
        <v>191901</v>
      </c>
      <c r="G500" s="578">
        <f>0+táj2!G500</f>
        <v>0</v>
      </c>
      <c r="H500" s="578">
        <f>0+táj2!H500</f>
        <v>0</v>
      </c>
      <c r="I500" s="578">
        <f>0+táj2!I500</f>
        <v>0</v>
      </c>
      <c r="J500" s="578">
        <f>0+táj2!J500</f>
        <v>0</v>
      </c>
      <c r="K500" s="578">
        <f>2551525798+táj2!K500</f>
        <v>2551525798</v>
      </c>
      <c r="L500" s="578">
        <f>0+táj2!L500</f>
        <v>0</v>
      </c>
      <c r="M500" s="578">
        <f>0+táj2!M500</f>
        <v>0</v>
      </c>
      <c r="N500" s="578">
        <f>0+táj2!N500</f>
        <v>0</v>
      </c>
      <c r="O500" s="578">
        <f>0+táj2!O500</f>
        <v>0</v>
      </c>
      <c r="P500" s="578">
        <f>0+táj2!P500</f>
        <v>0</v>
      </c>
      <c r="Q500" s="578">
        <f>SUM(G500:P500)</f>
        <v>2551525798</v>
      </c>
    </row>
    <row r="501" spans="1:17" ht="15" customHeight="1" x14ac:dyDescent="0.2">
      <c r="A501" s="45"/>
      <c r="B501" s="45"/>
      <c r="C501" s="56"/>
      <c r="D501" s="488" t="s">
        <v>165</v>
      </c>
      <c r="E501" s="487"/>
      <c r="F501" s="57"/>
      <c r="G501" s="578"/>
      <c r="H501" s="578"/>
      <c r="I501" s="578"/>
      <c r="J501" s="578"/>
      <c r="K501" s="578"/>
      <c r="L501" s="578"/>
      <c r="M501" s="578"/>
      <c r="N501" s="578"/>
      <c r="O501" s="578"/>
      <c r="P501" s="578"/>
      <c r="Q501" s="578"/>
    </row>
    <row r="502" spans="1:17" ht="15" customHeight="1" x14ac:dyDescent="0.2">
      <c r="A502" s="45"/>
      <c r="B502" s="45"/>
      <c r="C502" s="56"/>
      <c r="D502" s="61" t="s">
        <v>613</v>
      </c>
      <c r="E502" s="69">
        <v>1</v>
      </c>
      <c r="F502" s="48">
        <v>191102</v>
      </c>
      <c r="G502" s="578">
        <f>0+táj2!G502</f>
        <v>0</v>
      </c>
      <c r="H502" s="578">
        <f>0+táj2!H502</f>
        <v>0</v>
      </c>
      <c r="I502" s="578">
        <f>48340392+táj2!I502</f>
        <v>48340392</v>
      </c>
      <c r="J502" s="578">
        <f>0+táj2!J502</f>
        <v>0</v>
      </c>
      <c r="K502" s="578">
        <f>0+táj2!K502</f>
        <v>0</v>
      </c>
      <c r="L502" s="578">
        <f>0+táj2!L502</f>
        <v>0</v>
      </c>
      <c r="M502" s="578">
        <f>0+táj2!M502</f>
        <v>0</v>
      </c>
      <c r="N502" s="578">
        <f>25357+táj2!N502</f>
        <v>25357</v>
      </c>
      <c r="O502" s="578">
        <f>0+táj2!O502</f>
        <v>0</v>
      </c>
      <c r="P502" s="578">
        <f>0+táj2!P502</f>
        <v>0</v>
      </c>
      <c r="Q502" s="578">
        <f t="shared" ref="Q502:Q505" si="40">SUM(G502:P502)</f>
        <v>48365749</v>
      </c>
    </row>
    <row r="503" spans="1:17" ht="15" customHeight="1" x14ac:dyDescent="0.2">
      <c r="A503" s="45"/>
      <c r="B503" s="45"/>
      <c r="C503" s="56"/>
      <c r="D503" s="61" t="s">
        <v>454</v>
      </c>
      <c r="E503" s="48">
        <v>1</v>
      </c>
      <c r="F503" s="48">
        <v>191103</v>
      </c>
      <c r="G503" s="578">
        <f>0+táj2!G503</f>
        <v>0</v>
      </c>
      <c r="H503" s="578">
        <f>0+táj2!H503</f>
        <v>0</v>
      </c>
      <c r="I503" s="578">
        <f>421031000+táj2!I503</f>
        <v>421031000</v>
      </c>
      <c r="J503" s="578">
        <f>0+táj2!J503</f>
        <v>0</v>
      </c>
      <c r="K503" s="578">
        <f>0+táj2!K503</f>
        <v>0</v>
      </c>
      <c r="L503" s="578">
        <f>0+táj2!L503</f>
        <v>0</v>
      </c>
      <c r="M503" s="578">
        <f>0+táj2!M503</f>
        <v>0</v>
      </c>
      <c r="N503" s="578">
        <f>0+táj2!N503</f>
        <v>0</v>
      </c>
      <c r="O503" s="578">
        <f>0+táj2!O503</f>
        <v>0</v>
      </c>
      <c r="P503" s="578">
        <f>0+táj2!P503</f>
        <v>0</v>
      </c>
      <c r="Q503" s="578">
        <f t="shared" si="40"/>
        <v>421031000</v>
      </c>
    </row>
    <row r="504" spans="1:17" ht="15" customHeight="1" x14ac:dyDescent="0.2">
      <c r="A504" s="45"/>
      <c r="B504" s="45"/>
      <c r="C504" s="56"/>
      <c r="D504" s="61" t="s">
        <v>455</v>
      </c>
      <c r="E504" s="48">
        <v>1</v>
      </c>
      <c r="F504" s="48">
        <v>191105</v>
      </c>
      <c r="G504" s="578">
        <f>0+táj2!G504</f>
        <v>0</v>
      </c>
      <c r="H504" s="578">
        <f>0+táj2!H504</f>
        <v>0</v>
      </c>
      <c r="I504" s="578">
        <f>6133800+táj2!I504</f>
        <v>6133800</v>
      </c>
      <c r="J504" s="578">
        <f>0+táj2!J504</f>
        <v>0</v>
      </c>
      <c r="K504" s="578">
        <f>0+táj2!K504</f>
        <v>0</v>
      </c>
      <c r="L504" s="578">
        <f>0+táj2!L504</f>
        <v>0</v>
      </c>
      <c r="M504" s="578">
        <f>0+táj2!M504</f>
        <v>0</v>
      </c>
      <c r="N504" s="578">
        <f>0+táj2!N504</f>
        <v>0</v>
      </c>
      <c r="O504" s="578">
        <f>0+táj2!O504</f>
        <v>0</v>
      </c>
      <c r="P504" s="578">
        <f>0+táj2!P504</f>
        <v>0</v>
      </c>
      <c r="Q504" s="578">
        <f t="shared" si="40"/>
        <v>6133800</v>
      </c>
    </row>
    <row r="505" spans="1:17" ht="15" customHeight="1" x14ac:dyDescent="0.2">
      <c r="A505" s="45"/>
      <c r="B505" s="45"/>
      <c r="C505" s="56"/>
      <c r="D505" s="61" t="s">
        <v>456</v>
      </c>
      <c r="E505" s="48">
        <v>1</v>
      </c>
      <c r="F505" s="48">
        <v>196901</v>
      </c>
      <c r="G505" s="578">
        <f>0+táj2!G505</f>
        <v>0</v>
      </c>
      <c r="H505" s="578">
        <f>0+táj2!H505</f>
        <v>0</v>
      </c>
      <c r="I505" s="578">
        <f>1377142+táj2!I505</f>
        <v>1377142</v>
      </c>
      <c r="J505" s="578">
        <f>0+táj2!J505</f>
        <v>0</v>
      </c>
      <c r="K505" s="578">
        <f>0+táj2!K505</f>
        <v>0</v>
      </c>
      <c r="L505" s="578">
        <f>0+táj2!L505</f>
        <v>0</v>
      </c>
      <c r="M505" s="578">
        <f>0+táj2!M505</f>
        <v>0</v>
      </c>
      <c r="N505" s="578">
        <f>8000000+táj2!N505</f>
        <v>8000000</v>
      </c>
      <c r="O505" s="578">
        <f>0+táj2!O505</f>
        <v>0</v>
      </c>
      <c r="P505" s="578">
        <f>0+táj2!P505</f>
        <v>0</v>
      </c>
      <c r="Q505" s="578">
        <f t="shared" si="40"/>
        <v>9377142</v>
      </c>
    </row>
    <row r="506" spans="1:17" ht="15" customHeight="1" x14ac:dyDescent="0.2">
      <c r="A506" s="45"/>
      <c r="B506" s="45"/>
      <c r="C506" s="56"/>
      <c r="D506" s="468" t="s">
        <v>172</v>
      </c>
      <c r="E506" s="201"/>
      <c r="F506" s="48"/>
      <c r="G506" s="578"/>
      <c r="H506" s="578"/>
      <c r="I506" s="578"/>
      <c r="J506" s="578"/>
      <c r="K506" s="578"/>
      <c r="L506" s="578"/>
      <c r="M506" s="578"/>
      <c r="N506" s="578"/>
      <c r="O506" s="578"/>
      <c r="P506" s="578"/>
      <c r="Q506" s="578"/>
    </row>
    <row r="507" spans="1:17" ht="15" customHeight="1" x14ac:dyDescent="0.2">
      <c r="A507" s="45"/>
      <c r="B507" s="45"/>
      <c r="C507" s="56"/>
      <c r="D507" s="61" t="s">
        <v>457</v>
      </c>
      <c r="E507" s="48">
        <v>1</v>
      </c>
      <c r="F507" s="48">
        <v>191104</v>
      </c>
      <c r="G507" s="578">
        <f>0+táj2!G507</f>
        <v>0</v>
      </c>
      <c r="H507" s="578">
        <f>0+táj2!H507</f>
        <v>0</v>
      </c>
      <c r="I507" s="578">
        <f>10000000+táj2!I507</f>
        <v>10000000</v>
      </c>
      <c r="J507" s="578">
        <f>0+táj2!J507</f>
        <v>0</v>
      </c>
      <c r="K507" s="578">
        <f>0+táj2!K507</f>
        <v>0</v>
      </c>
      <c r="L507" s="578">
        <f>0+táj2!L507</f>
        <v>0</v>
      </c>
      <c r="M507" s="578">
        <f>0+táj2!M507</f>
        <v>0</v>
      </c>
      <c r="N507" s="578">
        <f>0+táj2!N507</f>
        <v>0</v>
      </c>
      <c r="O507" s="578">
        <f>0+táj2!O507</f>
        <v>0</v>
      </c>
      <c r="P507" s="578">
        <f>0+táj2!P507</f>
        <v>0</v>
      </c>
      <c r="Q507" s="578">
        <f>SUM(G507:P507)</f>
        <v>10000000</v>
      </c>
    </row>
    <row r="508" spans="1:17" ht="44.25" customHeight="1" x14ac:dyDescent="0.2">
      <c r="A508" s="438"/>
      <c r="B508" s="438"/>
      <c r="C508" s="466"/>
      <c r="D508" s="489" t="s">
        <v>952</v>
      </c>
      <c r="E508" s="201">
        <v>1</v>
      </c>
      <c r="F508" s="439">
        <v>191149</v>
      </c>
      <c r="G508" s="578">
        <f>12253010+táj2!G508</f>
        <v>12253010</v>
      </c>
      <c r="H508" s="578">
        <f>2211167+táj2!H508</f>
        <v>2211167</v>
      </c>
      <c r="I508" s="578">
        <f>7810279+táj2!I508</f>
        <v>7810279</v>
      </c>
      <c r="J508" s="578">
        <f>0+táj2!J508</f>
        <v>0</v>
      </c>
      <c r="K508" s="578">
        <f>0+táj2!K508</f>
        <v>0</v>
      </c>
      <c r="L508" s="578">
        <f>0+táj2!L508</f>
        <v>0</v>
      </c>
      <c r="M508" s="578">
        <f>0+táj2!M508</f>
        <v>0</v>
      </c>
      <c r="N508" s="578">
        <f>0+táj2!N508</f>
        <v>0</v>
      </c>
      <c r="O508" s="578">
        <f>0+táj2!O508</f>
        <v>0</v>
      </c>
      <c r="P508" s="578">
        <f>0+táj2!P508</f>
        <v>0</v>
      </c>
      <c r="Q508" s="591">
        <f>SUM(G508:P508)</f>
        <v>22274456</v>
      </c>
    </row>
    <row r="509" spans="1:17" ht="14.1" customHeight="1" x14ac:dyDescent="0.2">
      <c r="A509" s="45"/>
      <c r="B509" s="45"/>
      <c r="C509" s="56"/>
      <c r="D509" s="468" t="s">
        <v>458</v>
      </c>
      <c r="E509" s="201"/>
      <c r="F509" s="48"/>
      <c r="G509" s="578"/>
      <c r="H509" s="578"/>
      <c r="I509" s="578"/>
      <c r="J509" s="578"/>
      <c r="K509" s="578"/>
      <c r="L509" s="578"/>
      <c r="M509" s="578"/>
      <c r="N509" s="578"/>
      <c r="O509" s="578"/>
      <c r="P509" s="578"/>
      <c r="Q509" s="578"/>
    </row>
    <row r="510" spans="1:17" ht="14.1" customHeight="1" x14ac:dyDescent="0.2">
      <c r="A510" s="45"/>
      <c r="B510" s="45"/>
      <c r="C510" s="56"/>
      <c r="D510" s="61" t="s">
        <v>459</v>
      </c>
      <c r="E510" s="48">
        <v>2</v>
      </c>
      <c r="F510" s="48">
        <v>191109</v>
      </c>
      <c r="G510" s="578">
        <f>0+táj2!G510</f>
        <v>0</v>
      </c>
      <c r="H510" s="578">
        <f>0+táj2!H510</f>
        <v>0</v>
      </c>
      <c r="I510" s="578">
        <f>0+táj2!I510</f>
        <v>0</v>
      </c>
      <c r="J510" s="578">
        <f>0+táj2!J510</f>
        <v>0</v>
      </c>
      <c r="K510" s="578">
        <f>4000000+táj2!K510</f>
        <v>4000000</v>
      </c>
      <c r="L510" s="578">
        <f>0+táj2!L510</f>
        <v>0</v>
      </c>
      <c r="M510" s="578">
        <f>0+táj2!M510</f>
        <v>0</v>
      </c>
      <c r="N510" s="578">
        <f>0+táj2!N510</f>
        <v>0</v>
      </c>
      <c r="O510" s="578">
        <f>0+táj2!O510</f>
        <v>0</v>
      </c>
      <c r="P510" s="578">
        <f>0+táj2!P510</f>
        <v>0</v>
      </c>
      <c r="Q510" s="578">
        <f>SUM(G510:P510)</f>
        <v>4000000</v>
      </c>
    </row>
    <row r="511" spans="1:17" ht="14.1" customHeight="1" x14ac:dyDescent="0.2">
      <c r="A511" s="45"/>
      <c r="B511" s="45"/>
      <c r="C511" s="56"/>
      <c r="D511" s="61" t="s">
        <v>631</v>
      </c>
      <c r="E511" s="48">
        <v>2</v>
      </c>
      <c r="F511" s="48">
        <v>191146</v>
      </c>
      <c r="G511" s="578">
        <f>0+táj2!G511</f>
        <v>0</v>
      </c>
      <c r="H511" s="578">
        <f>0+táj2!H511</f>
        <v>0</v>
      </c>
      <c r="I511" s="578">
        <f>0+táj2!I511</f>
        <v>0</v>
      </c>
      <c r="J511" s="578">
        <f>0+táj2!J511</f>
        <v>0</v>
      </c>
      <c r="K511" s="578">
        <f>1500000+táj2!K511</f>
        <v>1500000</v>
      </c>
      <c r="L511" s="578">
        <f>0+táj2!L511</f>
        <v>0</v>
      </c>
      <c r="M511" s="578">
        <f>0+táj2!M511</f>
        <v>0</v>
      </c>
      <c r="N511" s="578">
        <f>0+táj2!N511</f>
        <v>0</v>
      </c>
      <c r="O511" s="578">
        <f>0+táj2!O511</f>
        <v>0</v>
      </c>
      <c r="P511" s="578">
        <f>0+táj2!P511</f>
        <v>0</v>
      </c>
      <c r="Q511" s="578">
        <f>SUM(G511:P511)</f>
        <v>1500000</v>
      </c>
    </row>
    <row r="512" spans="1:17" ht="15" customHeight="1" x14ac:dyDescent="0.2">
      <c r="A512" s="45"/>
      <c r="B512" s="45"/>
      <c r="C512" s="56"/>
      <c r="D512" s="87" t="s">
        <v>165</v>
      </c>
      <c r="E512" s="57"/>
      <c r="F512" s="57"/>
      <c r="G512" s="578"/>
      <c r="H512" s="578"/>
      <c r="I512" s="578"/>
      <c r="J512" s="578"/>
      <c r="K512" s="578"/>
      <c r="L512" s="578"/>
      <c r="M512" s="578"/>
      <c r="N512" s="578"/>
      <c r="O512" s="578"/>
      <c r="P512" s="578"/>
      <c r="Q512" s="578"/>
    </row>
    <row r="513" spans="1:17" ht="24" customHeight="1" x14ac:dyDescent="0.2">
      <c r="A513" s="45"/>
      <c r="B513" s="45"/>
      <c r="C513" s="56"/>
      <c r="D513" s="67" t="s">
        <v>461</v>
      </c>
      <c r="E513" s="69">
        <v>1</v>
      </c>
      <c r="F513" s="48">
        <v>191905</v>
      </c>
      <c r="G513" s="578">
        <f>0+táj2!G513</f>
        <v>0</v>
      </c>
      <c r="H513" s="578">
        <f>0+táj2!H513</f>
        <v>0</v>
      </c>
      <c r="I513" s="578">
        <f>0+táj2!I513</f>
        <v>0</v>
      </c>
      <c r="J513" s="578">
        <f>0+táj2!J513</f>
        <v>0</v>
      </c>
      <c r="K513" s="578">
        <f>813409215+táj2!K513</f>
        <v>813409215</v>
      </c>
      <c r="L513" s="578">
        <f>0+táj2!L513</f>
        <v>0</v>
      </c>
      <c r="M513" s="578">
        <f>0+táj2!M513</f>
        <v>0</v>
      </c>
      <c r="N513" s="578">
        <f>0+táj2!N513</f>
        <v>0</v>
      </c>
      <c r="O513" s="578">
        <f>0+táj2!O513</f>
        <v>0</v>
      </c>
      <c r="P513" s="578">
        <f>0+táj2!P513</f>
        <v>0</v>
      </c>
      <c r="Q513" s="578">
        <f>SUM(G513:P513)</f>
        <v>813409215</v>
      </c>
    </row>
    <row r="514" spans="1:17" ht="16.149999999999999" customHeight="1" x14ac:dyDescent="0.2">
      <c r="A514" s="45"/>
      <c r="B514" s="45"/>
      <c r="C514" s="56"/>
      <c r="D514" s="61" t="s">
        <v>772</v>
      </c>
      <c r="E514" s="48">
        <v>1</v>
      </c>
      <c r="F514" s="48">
        <v>191121</v>
      </c>
      <c r="G514" s="578">
        <f>0+táj2!G514</f>
        <v>0</v>
      </c>
      <c r="H514" s="578">
        <f>0+táj2!H514</f>
        <v>0</v>
      </c>
      <c r="I514" s="578">
        <f>5000000+táj2!I514</f>
        <v>5000000</v>
      </c>
      <c r="J514" s="578">
        <f>0+táj2!J514</f>
        <v>0</v>
      </c>
      <c r="K514" s="578">
        <f>0+táj2!K514</f>
        <v>0</v>
      </c>
      <c r="L514" s="578">
        <f>0+táj2!L514</f>
        <v>0</v>
      </c>
      <c r="M514" s="578">
        <f>0+táj2!M514</f>
        <v>0</v>
      </c>
      <c r="N514" s="578">
        <f>0+táj2!N514</f>
        <v>0</v>
      </c>
      <c r="O514" s="578">
        <f>0+táj2!O514</f>
        <v>0</v>
      </c>
      <c r="P514" s="578">
        <f>0+táj2!P514</f>
        <v>0</v>
      </c>
      <c r="Q514" s="578">
        <f>SUM(G514:P514)</f>
        <v>5000000</v>
      </c>
    </row>
    <row r="515" spans="1:17" ht="21" customHeight="1" x14ac:dyDescent="0.2">
      <c r="A515" s="45"/>
      <c r="B515" s="45"/>
      <c r="C515" s="56"/>
      <c r="D515" s="59" t="s">
        <v>208</v>
      </c>
      <c r="E515" s="57"/>
      <c r="F515" s="57"/>
      <c r="G515" s="578"/>
      <c r="H515" s="578"/>
      <c r="I515" s="578"/>
      <c r="J515" s="578"/>
      <c r="K515" s="578"/>
      <c r="L515" s="578"/>
      <c r="M515" s="578"/>
      <c r="N515" s="578"/>
      <c r="O515" s="578"/>
      <c r="P515" s="578"/>
      <c r="Q515" s="578"/>
    </row>
    <row r="516" spans="1:17" ht="26.25" customHeight="1" x14ac:dyDescent="0.2">
      <c r="A516" s="45"/>
      <c r="B516" s="45"/>
      <c r="C516" s="56"/>
      <c r="D516" s="59" t="s">
        <v>462</v>
      </c>
      <c r="E516" s="57">
        <v>1</v>
      </c>
      <c r="F516" s="58">
        <v>191152</v>
      </c>
      <c r="G516" s="578">
        <f>0+táj2!G516</f>
        <v>0</v>
      </c>
      <c r="H516" s="578">
        <f>0+táj2!H516</f>
        <v>0</v>
      </c>
      <c r="I516" s="578">
        <f>58226153+táj2!I516</f>
        <v>58226153</v>
      </c>
      <c r="J516" s="578">
        <f>0+táj2!J516</f>
        <v>0</v>
      </c>
      <c r="K516" s="578">
        <f>0+táj2!K516</f>
        <v>0</v>
      </c>
      <c r="L516" s="578">
        <f>0+táj2!L516</f>
        <v>0</v>
      </c>
      <c r="M516" s="578">
        <f>0+táj2!M516</f>
        <v>0</v>
      </c>
      <c r="N516" s="578">
        <f>0+táj2!N516</f>
        <v>0</v>
      </c>
      <c r="O516" s="578">
        <f>117851268+táj2!O516</f>
        <v>117851268</v>
      </c>
      <c r="P516" s="578">
        <f>0+táj2!P516</f>
        <v>0</v>
      </c>
      <c r="Q516" s="578">
        <f>SUM(G516:P516)</f>
        <v>176077421</v>
      </c>
    </row>
    <row r="517" spans="1:17" ht="21" customHeight="1" x14ac:dyDescent="0.2">
      <c r="A517" s="634"/>
      <c r="B517" s="634"/>
      <c r="C517" s="466"/>
      <c r="D517" s="489" t="s">
        <v>1033</v>
      </c>
      <c r="E517" s="713">
        <v>1</v>
      </c>
      <c r="F517" s="714">
        <v>191150</v>
      </c>
      <c r="G517" s="684">
        <f>0+táj2!G517</f>
        <v>0</v>
      </c>
      <c r="H517" s="684">
        <f>0+táj2!H517</f>
        <v>0</v>
      </c>
      <c r="I517" s="684">
        <f>0+táj2!I517</f>
        <v>0</v>
      </c>
      <c r="J517" s="684">
        <f>0+táj2!J517</f>
        <v>0</v>
      </c>
      <c r="K517" s="684">
        <f>0+táj2!K517</f>
        <v>0</v>
      </c>
      <c r="L517" s="684">
        <f>0+táj2!L517</f>
        <v>0</v>
      </c>
      <c r="M517" s="684">
        <f>0+táj2!M517</f>
        <v>0</v>
      </c>
      <c r="N517" s="684">
        <f>0+táj2!N517</f>
        <v>0</v>
      </c>
      <c r="O517" s="684">
        <f>500000000+táj2!O517</f>
        <v>500000000</v>
      </c>
      <c r="P517" s="684">
        <f>0+táj2!P517</f>
        <v>0</v>
      </c>
      <c r="Q517" s="578">
        <f>SUM(G517:P517)</f>
        <v>500000000</v>
      </c>
    </row>
    <row r="518" spans="1:17" ht="21.75" customHeight="1" x14ac:dyDescent="0.2">
      <c r="A518" s="45"/>
      <c r="B518" s="45"/>
      <c r="C518" s="56"/>
      <c r="D518" s="58" t="s">
        <v>614</v>
      </c>
      <c r="E518" s="57">
        <v>2</v>
      </c>
      <c r="F518" s="58">
        <v>196919</v>
      </c>
      <c r="G518" s="578">
        <f>0+táj2!G518</f>
        <v>0</v>
      </c>
      <c r="H518" s="578">
        <f>0+táj2!H518</f>
        <v>0</v>
      </c>
      <c r="I518" s="578">
        <f>15000000+táj2!I518</f>
        <v>15000000</v>
      </c>
      <c r="J518" s="578">
        <f>0+táj2!J518</f>
        <v>0</v>
      </c>
      <c r="K518" s="578">
        <f>0+táj2!K518</f>
        <v>0</v>
      </c>
      <c r="L518" s="578">
        <f>0+táj2!L518</f>
        <v>0</v>
      </c>
      <c r="M518" s="578">
        <f>0+táj2!M518</f>
        <v>0</v>
      </c>
      <c r="N518" s="578">
        <f>0+táj2!N518</f>
        <v>0</v>
      </c>
      <c r="O518" s="578">
        <f>0+táj2!O518</f>
        <v>0</v>
      </c>
      <c r="P518" s="578">
        <f>5000000000+táj2!P518</f>
        <v>5000000000</v>
      </c>
      <c r="Q518" s="578">
        <f>SUM(G518:P518)</f>
        <v>5015000000</v>
      </c>
    </row>
    <row r="519" spans="1:17" ht="17.100000000000001" customHeight="1" x14ac:dyDescent="0.2">
      <c r="A519" s="45"/>
      <c r="B519" s="45"/>
      <c r="C519" s="56"/>
      <c r="D519" s="61" t="s">
        <v>463</v>
      </c>
      <c r="E519" s="48"/>
      <c r="F519" s="235"/>
      <c r="G519" s="578"/>
      <c r="H519" s="578"/>
      <c r="I519" s="578"/>
      <c r="J519" s="578"/>
      <c r="K519" s="578"/>
      <c r="L519" s="578"/>
      <c r="M519" s="578"/>
      <c r="N519" s="578"/>
      <c r="O519" s="578"/>
      <c r="P519" s="578"/>
      <c r="Q519" s="578"/>
    </row>
    <row r="520" spans="1:17" ht="17.100000000000001" customHeight="1" x14ac:dyDescent="0.2">
      <c r="A520" s="45"/>
      <c r="B520" s="45"/>
      <c r="C520" s="56"/>
      <c r="D520" s="61" t="s">
        <v>464</v>
      </c>
      <c r="E520" s="48">
        <v>2</v>
      </c>
      <c r="F520" s="236" t="s">
        <v>465</v>
      </c>
      <c r="G520" s="578">
        <f>0+táj2!G520</f>
        <v>0</v>
      </c>
      <c r="H520" s="578">
        <f>0+táj2!H520</f>
        <v>0</v>
      </c>
      <c r="I520" s="578">
        <f>0+táj2!I520</f>
        <v>0</v>
      </c>
      <c r="J520" s="578">
        <f>0+táj2!J520</f>
        <v>0</v>
      </c>
      <c r="K520" s="578">
        <f>2127500+táj2!K520</f>
        <v>2127500</v>
      </c>
      <c r="L520" s="578">
        <f>0+táj2!L520</f>
        <v>0</v>
      </c>
      <c r="M520" s="578">
        <f>0+táj2!M520</f>
        <v>0</v>
      </c>
      <c r="N520" s="578">
        <f>0+táj2!N520</f>
        <v>0</v>
      </c>
      <c r="O520" s="578">
        <f>0+táj2!O520</f>
        <v>0</v>
      </c>
      <c r="P520" s="578">
        <f>0+táj2!P520</f>
        <v>0</v>
      </c>
      <c r="Q520" s="578">
        <f>SUM(G520:P520)</f>
        <v>2127500</v>
      </c>
    </row>
    <row r="521" spans="1:17" ht="17.100000000000001" customHeight="1" x14ac:dyDescent="0.2">
      <c r="A521" s="136"/>
      <c r="B521" s="136"/>
      <c r="C521" s="215"/>
      <c r="D521" s="232" t="s">
        <v>466</v>
      </c>
      <c r="E521" s="64"/>
      <c r="F521" s="64"/>
      <c r="G521" s="575">
        <f t="shared" ref="G521:Q521" si="41">SUM(G496:G520)</f>
        <v>12253010</v>
      </c>
      <c r="H521" s="575">
        <f t="shared" si="41"/>
        <v>2211167</v>
      </c>
      <c r="I521" s="575">
        <f t="shared" si="41"/>
        <v>572918766</v>
      </c>
      <c r="J521" s="575">
        <f t="shared" si="41"/>
        <v>0</v>
      </c>
      <c r="K521" s="575">
        <f t="shared" si="41"/>
        <v>3387562513</v>
      </c>
      <c r="L521" s="575">
        <f t="shared" si="41"/>
        <v>0</v>
      </c>
      <c r="M521" s="575">
        <f t="shared" si="41"/>
        <v>0</v>
      </c>
      <c r="N521" s="575">
        <f t="shared" si="41"/>
        <v>8025357</v>
      </c>
      <c r="O521" s="575">
        <f t="shared" si="41"/>
        <v>617851268</v>
      </c>
      <c r="P521" s="575">
        <f t="shared" si="41"/>
        <v>5244127650</v>
      </c>
      <c r="Q521" s="575">
        <f t="shared" si="41"/>
        <v>9844949731</v>
      </c>
    </row>
    <row r="522" spans="1:17" ht="17.100000000000001" customHeight="1" x14ac:dyDescent="0.2">
      <c r="A522" s="51"/>
      <c r="B522" s="51"/>
      <c r="C522" s="77"/>
      <c r="D522" s="223" t="s">
        <v>448</v>
      </c>
      <c r="E522" s="54"/>
      <c r="F522" s="54"/>
      <c r="G522" s="576"/>
      <c r="H522" s="576"/>
      <c r="I522" s="576"/>
      <c r="J522" s="576"/>
      <c r="K522" s="576"/>
      <c r="L522" s="576"/>
      <c r="M522" s="576"/>
      <c r="N522" s="576"/>
      <c r="O522" s="576"/>
      <c r="P522" s="576"/>
      <c r="Q522" s="576"/>
    </row>
    <row r="523" spans="1:17" ht="30.75" customHeight="1" x14ac:dyDescent="0.2">
      <c r="A523" s="51"/>
      <c r="B523" s="45"/>
      <c r="C523" s="56" t="s">
        <v>83</v>
      </c>
      <c r="D523" s="460" t="s">
        <v>739</v>
      </c>
      <c r="E523" s="439">
        <v>2</v>
      </c>
      <c r="F523" s="46">
        <v>192909</v>
      </c>
      <c r="G523" s="578">
        <f>0+táj2!G523</f>
        <v>0</v>
      </c>
      <c r="H523" s="578">
        <f>0+táj2!H523</f>
        <v>0</v>
      </c>
      <c r="I523" s="578">
        <f>0+táj2!I523</f>
        <v>0</v>
      </c>
      <c r="J523" s="578">
        <f>0+táj2!J523</f>
        <v>0</v>
      </c>
      <c r="K523" s="578">
        <f>0+táj2!K523</f>
        <v>0</v>
      </c>
      <c r="L523" s="578">
        <f>0+táj2!L523</f>
        <v>0</v>
      </c>
      <c r="M523" s="578">
        <f>0+táj2!M523</f>
        <v>0</v>
      </c>
      <c r="N523" s="578">
        <f>800000+táj2!N523</f>
        <v>800000</v>
      </c>
      <c r="O523" s="578">
        <f>0+táj2!O523</f>
        <v>0</v>
      </c>
      <c r="P523" s="578">
        <f>0+táj2!P523</f>
        <v>0</v>
      </c>
      <c r="Q523" s="578">
        <f>SUM(G523:P523)</f>
        <v>800000</v>
      </c>
    </row>
    <row r="524" spans="1:17" ht="17.100000000000001" customHeight="1" x14ac:dyDescent="0.2">
      <c r="A524" s="136"/>
      <c r="B524" s="136"/>
      <c r="C524" s="215"/>
      <c r="D524" s="232" t="s">
        <v>220</v>
      </c>
      <c r="E524" s="64"/>
      <c r="F524" s="64"/>
      <c r="G524" s="575">
        <f>SUM(G521:G523)</f>
        <v>12253010</v>
      </c>
      <c r="H524" s="575">
        <f t="shared" ref="H524:Q524" si="42">SUM(H521:H523)</f>
        <v>2211167</v>
      </c>
      <c r="I524" s="575">
        <f t="shared" si="42"/>
        <v>572918766</v>
      </c>
      <c r="J524" s="575">
        <f t="shared" si="42"/>
        <v>0</v>
      </c>
      <c r="K524" s="575">
        <f t="shared" si="42"/>
        <v>3387562513</v>
      </c>
      <c r="L524" s="575">
        <f t="shared" si="42"/>
        <v>0</v>
      </c>
      <c r="M524" s="575">
        <f t="shared" si="42"/>
        <v>0</v>
      </c>
      <c r="N524" s="575">
        <f t="shared" si="42"/>
        <v>8825357</v>
      </c>
      <c r="O524" s="575">
        <f t="shared" si="42"/>
        <v>617851268</v>
      </c>
      <c r="P524" s="575">
        <f t="shared" si="42"/>
        <v>5244127650</v>
      </c>
      <c r="Q524" s="575">
        <f t="shared" si="42"/>
        <v>9845749731</v>
      </c>
    </row>
    <row r="525" spans="1:17" ht="17.100000000000001" customHeight="1" x14ac:dyDescent="0.2">
      <c r="A525" s="72">
        <v>1</v>
      </c>
      <c r="B525" s="72" t="s">
        <v>467</v>
      </c>
      <c r="C525" s="73"/>
      <c r="D525" s="237" t="s">
        <v>468</v>
      </c>
      <c r="E525" s="238"/>
      <c r="F525" s="238"/>
      <c r="G525" s="599"/>
      <c r="H525" s="574"/>
      <c r="I525" s="574"/>
      <c r="J525" s="574"/>
      <c r="K525" s="574"/>
      <c r="L525" s="574"/>
      <c r="M525" s="578"/>
      <c r="N525" s="578"/>
      <c r="O525" s="599"/>
      <c r="P525" s="599"/>
      <c r="Q525" s="599"/>
    </row>
    <row r="526" spans="1:17" ht="17.100000000000001" customHeight="1" x14ac:dyDescent="0.2">
      <c r="A526" s="72"/>
      <c r="B526" s="72"/>
      <c r="C526" s="73"/>
      <c r="D526" s="87" t="s">
        <v>165</v>
      </c>
      <c r="E526" s="65"/>
      <c r="F526" s="65"/>
      <c r="G526" s="599"/>
      <c r="H526" s="574"/>
      <c r="I526" s="574"/>
      <c r="J526" s="574"/>
      <c r="K526" s="574"/>
      <c r="L526" s="574"/>
      <c r="M526" s="578"/>
      <c r="N526" s="578"/>
      <c r="O526" s="599"/>
      <c r="P526" s="599"/>
      <c r="Q526" s="599"/>
    </row>
    <row r="527" spans="1:17" ht="17.100000000000001" customHeight="1" x14ac:dyDescent="0.2">
      <c r="A527" s="72"/>
      <c r="B527" s="72"/>
      <c r="C527" s="73"/>
      <c r="D527" s="88" t="s">
        <v>469</v>
      </c>
      <c r="E527" s="82">
        <v>2</v>
      </c>
      <c r="F527" s="82">
        <v>221901</v>
      </c>
      <c r="G527" s="600">
        <f>52234823+táj2!G527</f>
        <v>52234823</v>
      </c>
      <c r="H527" s="600">
        <f>19232804+táj2!H527</f>
        <v>19232804</v>
      </c>
      <c r="I527" s="600">
        <f>94930578+táj2!I527</f>
        <v>90890828</v>
      </c>
      <c r="J527" s="600">
        <f>0+táj2!J527</f>
        <v>0</v>
      </c>
      <c r="K527" s="600">
        <f>3000000+táj2!K527</f>
        <v>3000000</v>
      </c>
      <c r="L527" s="600">
        <f>0+táj2!L527</f>
        <v>0</v>
      </c>
      <c r="M527" s="600">
        <f>0+táj2!M527</f>
        <v>0</v>
      </c>
      <c r="N527" s="600">
        <f>0+táj2!N527</f>
        <v>0</v>
      </c>
      <c r="O527" s="600">
        <f>0+táj2!O527</f>
        <v>0</v>
      </c>
      <c r="P527" s="600">
        <f>0+táj2!P527</f>
        <v>0</v>
      </c>
      <c r="Q527" s="596">
        <f t="shared" ref="Q527:Q538" si="43">SUM(G527:P527)</f>
        <v>165358455</v>
      </c>
    </row>
    <row r="528" spans="1:17" ht="17.100000000000001" customHeight="1" x14ac:dyDescent="0.2">
      <c r="A528" s="72"/>
      <c r="B528" s="72"/>
      <c r="C528" s="73"/>
      <c r="D528" s="62" t="s">
        <v>470</v>
      </c>
      <c r="E528" s="60">
        <v>1</v>
      </c>
      <c r="F528" s="48">
        <v>221912</v>
      </c>
      <c r="G528" s="600">
        <f>0+táj2!G528</f>
        <v>500000</v>
      </c>
      <c r="H528" s="600">
        <f>0+táj2!H528</f>
        <v>100000</v>
      </c>
      <c r="I528" s="600">
        <f>6275000+táj2!I528</f>
        <v>5675000</v>
      </c>
      <c r="J528" s="600">
        <f>0+táj2!J528</f>
        <v>0</v>
      </c>
      <c r="K528" s="600">
        <f>3500000+táj2!K528</f>
        <v>3500000</v>
      </c>
      <c r="L528" s="600">
        <f>0+táj2!L528</f>
        <v>0</v>
      </c>
      <c r="M528" s="600">
        <f>0+táj2!M528</f>
        <v>0</v>
      </c>
      <c r="N528" s="600">
        <f>0+táj2!N528</f>
        <v>0</v>
      </c>
      <c r="O528" s="600">
        <f>0+táj2!O528</f>
        <v>0</v>
      </c>
      <c r="P528" s="600">
        <f>0+táj2!P528</f>
        <v>0</v>
      </c>
      <c r="Q528" s="596">
        <f t="shared" si="43"/>
        <v>9775000</v>
      </c>
    </row>
    <row r="529" spans="1:17" ht="17.100000000000001" customHeight="1" x14ac:dyDescent="0.2">
      <c r="A529" s="72"/>
      <c r="B529" s="72"/>
      <c r="C529" s="73"/>
      <c r="D529" s="62" t="s">
        <v>471</v>
      </c>
      <c r="E529" s="60">
        <v>2</v>
      </c>
      <c r="F529" s="48">
        <v>221916</v>
      </c>
      <c r="G529" s="600">
        <f>0+táj2!G529</f>
        <v>0</v>
      </c>
      <c r="H529" s="600">
        <f>0+táj2!H529</f>
        <v>0</v>
      </c>
      <c r="I529" s="600">
        <f>0+táj2!I529</f>
        <v>0</v>
      </c>
      <c r="J529" s="600">
        <f>0+táj2!J529</f>
        <v>0</v>
      </c>
      <c r="K529" s="600">
        <f>35000000+táj2!K529</f>
        <v>35000000</v>
      </c>
      <c r="L529" s="600">
        <f>0+táj2!L529</f>
        <v>0</v>
      </c>
      <c r="M529" s="600">
        <f>0+táj2!M529</f>
        <v>0</v>
      </c>
      <c r="N529" s="600">
        <f>0+táj2!N529</f>
        <v>0</v>
      </c>
      <c r="O529" s="600">
        <f>0+táj2!O529</f>
        <v>0</v>
      </c>
      <c r="P529" s="600">
        <f>0+táj2!P529</f>
        <v>0</v>
      </c>
      <c r="Q529" s="596">
        <f t="shared" si="43"/>
        <v>35000000</v>
      </c>
    </row>
    <row r="530" spans="1:17" ht="17.100000000000001" customHeight="1" x14ac:dyDescent="0.2">
      <c r="A530" s="72"/>
      <c r="B530" s="72"/>
      <c r="C530" s="73"/>
      <c r="D530" s="61" t="s">
        <v>472</v>
      </c>
      <c r="E530" s="60">
        <v>2</v>
      </c>
      <c r="F530" s="48">
        <v>221904</v>
      </c>
      <c r="G530" s="600">
        <f>0+táj2!G530</f>
        <v>0</v>
      </c>
      <c r="H530" s="600">
        <f>0+táj2!H530</f>
        <v>0</v>
      </c>
      <c r="I530" s="600">
        <f>2000000+táj2!I530</f>
        <v>2000000</v>
      </c>
      <c r="J530" s="600">
        <f>0+táj2!J530</f>
        <v>0</v>
      </c>
      <c r="K530" s="600">
        <f>0+táj2!K530</f>
        <v>0</v>
      </c>
      <c r="L530" s="600">
        <f>0+táj2!L530</f>
        <v>0</v>
      </c>
      <c r="M530" s="600">
        <f>0+táj2!M530</f>
        <v>0</v>
      </c>
      <c r="N530" s="600">
        <f>0+táj2!N530</f>
        <v>0</v>
      </c>
      <c r="O530" s="600">
        <f>0+táj2!O530</f>
        <v>0</v>
      </c>
      <c r="P530" s="600">
        <f>0+táj2!P530</f>
        <v>0</v>
      </c>
      <c r="Q530" s="596">
        <f t="shared" si="43"/>
        <v>2000000</v>
      </c>
    </row>
    <row r="531" spans="1:17" ht="17.100000000000001" customHeight="1" x14ac:dyDescent="0.2">
      <c r="A531" s="72"/>
      <c r="B531" s="72"/>
      <c r="C531" s="73"/>
      <c r="D531" s="61" t="s">
        <v>473</v>
      </c>
      <c r="E531" s="48">
        <v>2</v>
      </c>
      <c r="F531" s="48">
        <v>221922</v>
      </c>
      <c r="G531" s="600">
        <f>0+táj2!G531</f>
        <v>0</v>
      </c>
      <c r="H531" s="600">
        <f>0+táj2!H531</f>
        <v>0</v>
      </c>
      <c r="I531" s="600">
        <f>8850001+táj2!I531</f>
        <v>8850001</v>
      </c>
      <c r="J531" s="600">
        <f>0+táj2!J531</f>
        <v>0</v>
      </c>
      <c r="K531" s="600">
        <f>0+táj2!K531</f>
        <v>0</v>
      </c>
      <c r="L531" s="600">
        <f>0+táj2!L531</f>
        <v>0</v>
      </c>
      <c r="M531" s="600">
        <f>0+táj2!M531</f>
        <v>0</v>
      </c>
      <c r="N531" s="600">
        <f>0+táj2!N531</f>
        <v>0</v>
      </c>
      <c r="O531" s="600">
        <f>0+táj2!O531</f>
        <v>0</v>
      </c>
      <c r="P531" s="600">
        <f>0+táj2!P531</f>
        <v>0</v>
      </c>
      <c r="Q531" s="596">
        <f t="shared" si="43"/>
        <v>8850001</v>
      </c>
    </row>
    <row r="532" spans="1:17" ht="17.100000000000001" customHeight="1" x14ac:dyDescent="0.2">
      <c r="A532" s="72"/>
      <c r="B532" s="72"/>
      <c r="C532" s="73"/>
      <c r="D532" s="61" t="s">
        <v>474</v>
      </c>
      <c r="E532" s="69">
        <v>2</v>
      </c>
      <c r="F532" s="48">
        <v>221939</v>
      </c>
      <c r="G532" s="600">
        <f>200000+táj2!G532</f>
        <v>200000</v>
      </c>
      <c r="H532" s="600">
        <f>50000+táj2!H532</f>
        <v>50000</v>
      </c>
      <c r="I532" s="600">
        <f>250000+táj2!I532</f>
        <v>250000</v>
      </c>
      <c r="J532" s="600">
        <f>0+táj2!J532</f>
        <v>0</v>
      </c>
      <c r="K532" s="600">
        <f>1500000+táj2!K532</f>
        <v>1500000</v>
      </c>
      <c r="L532" s="600">
        <f>0+táj2!L532</f>
        <v>0</v>
      </c>
      <c r="M532" s="600">
        <f>0+táj2!M532</f>
        <v>0</v>
      </c>
      <c r="N532" s="600">
        <f>0+táj2!N532</f>
        <v>0</v>
      </c>
      <c r="O532" s="600">
        <f>0+táj2!O532</f>
        <v>0</v>
      </c>
      <c r="P532" s="600">
        <f>0+táj2!P532</f>
        <v>0</v>
      </c>
      <c r="Q532" s="596">
        <f t="shared" si="43"/>
        <v>2000000</v>
      </c>
    </row>
    <row r="533" spans="1:17" ht="17.100000000000001" customHeight="1" x14ac:dyDescent="0.2">
      <c r="A533" s="72"/>
      <c r="B533" s="72"/>
      <c r="C533" s="73"/>
      <c r="D533" s="61" t="s">
        <v>475</v>
      </c>
      <c r="E533" s="69">
        <v>2</v>
      </c>
      <c r="F533" s="48">
        <v>221927</v>
      </c>
      <c r="G533" s="600">
        <f>0+táj2!G533</f>
        <v>0</v>
      </c>
      <c r="H533" s="600">
        <f>0+táj2!H533</f>
        <v>0</v>
      </c>
      <c r="I533" s="600">
        <f>0+táj2!I533</f>
        <v>0</v>
      </c>
      <c r="J533" s="600">
        <f>0+táj2!J533</f>
        <v>0</v>
      </c>
      <c r="K533" s="600">
        <f>3000000+táj2!K533</f>
        <v>3000000</v>
      </c>
      <c r="L533" s="600">
        <f>0+táj2!L533</f>
        <v>0</v>
      </c>
      <c r="M533" s="600">
        <f>0+táj2!M533</f>
        <v>0</v>
      </c>
      <c r="N533" s="600">
        <f>0+táj2!N533</f>
        <v>0</v>
      </c>
      <c r="O533" s="600">
        <f>0+táj2!O533</f>
        <v>0</v>
      </c>
      <c r="P533" s="600">
        <f>0+táj2!P533</f>
        <v>0</v>
      </c>
      <c r="Q533" s="596">
        <f t="shared" si="43"/>
        <v>3000000</v>
      </c>
    </row>
    <row r="534" spans="1:17" ht="24.75" customHeight="1" x14ac:dyDescent="0.2">
      <c r="A534" s="72"/>
      <c r="B534" s="72"/>
      <c r="C534" s="73"/>
      <c r="D534" s="240" t="s">
        <v>476</v>
      </c>
      <c r="E534" s="69">
        <v>2</v>
      </c>
      <c r="F534" s="48">
        <v>221935</v>
      </c>
      <c r="G534" s="600">
        <f>0+táj2!G534</f>
        <v>0</v>
      </c>
      <c r="H534" s="600">
        <f>0+táj2!H534</f>
        <v>0</v>
      </c>
      <c r="I534" s="600">
        <f>0+táj2!I534</f>
        <v>0</v>
      </c>
      <c r="J534" s="600">
        <f>0+táj2!J534</f>
        <v>0</v>
      </c>
      <c r="K534" s="600">
        <f>8500000+táj2!K534</f>
        <v>8500000</v>
      </c>
      <c r="L534" s="600">
        <f>0+táj2!L534</f>
        <v>0</v>
      </c>
      <c r="M534" s="600">
        <f>0+táj2!M534</f>
        <v>0</v>
      </c>
      <c r="N534" s="600">
        <f>0+táj2!N534</f>
        <v>0</v>
      </c>
      <c r="O534" s="600">
        <f>0+táj2!O534</f>
        <v>0</v>
      </c>
      <c r="P534" s="600">
        <f>0+táj2!P534</f>
        <v>0</v>
      </c>
      <c r="Q534" s="596">
        <f t="shared" si="43"/>
        <v>8500000</v>
      </c>
    </row>
    <row r="535" spans="1:17" ht="17.100000000000001" customHeight="1" x14ac:dyDescent="0.2">
      <c r="A535" s="72"/>
      <c r="B535" s="72"/>
      <c r="C535" s="73"/>
      <c r="D535" s="61" t="s">
        <v>477</v>
      </c>
      <c r="E535" s="48">
        <v>2</v>
      </c>
      <c r="F535" s="48">
        <v>191110</v>
      </c>
      <c r="G535" s="600">
        <f>13000000+táj2!G535</f>
        <v>13000000</v>
      </c>
      <c r="H535" s="600">
        <f>4000000+táj2!H535</f>
        <v>4000000</v>
      </c>
      <c r="I535" s="600">
        <f>12000000+táj2!I535</f>
        <v>12000000</v>
      </c>
      <c r="J535" s="600">
        <f>0+táj2!J535</f>
        <v>0</v>
      </c>
      <c r="K535" s="600">
        <f>0+táj2!K535</f>
        <v>0</v>
      </c>
      <c r="L535" s="600">
        <f>0+táj2!L535</f>
        <v>0</v>
      </c>
      <c r="M535" s="600">
        <f>0+táj2!M535</f>
        <v>0</v>
      </c>
      <c r="N535" s="600">
        <f>0+táj2!N535</f>
        <v>0</v>
      </c>
      <c r="O535" s="600">
        <f>0+táj2!O535</f>
        <v>0</v>
      </c>
      <c r="P535" s="600">
        <f>0+táj2!P535</f>
        <v>0</v>
      </c>
      <c r="Q535" s="596">
        <f t="shared" si="43"/>
        <v>29000000</v>
      </c>
    </row>
    <row r="536" spans="1:17" ht="17.100000000000001" customHeight="1" x14ac:dyDescent="0.2">
      <c r="A536" s="72"/>
      <c r="B536" s="72"/>
      <c r="C536" s="73"/>
      <c r="D536" s="61" t="s">
        <v>537</v>
      </c>
      <c r="E536" s="48">
        <v>2</v>
      </c>
      <c r="F536" s="48">
        <v>221967</v>
      </c>
      <c r="G536" s="600">
        <f>3000000+táj2!G536</f>
        <v>3000000</v>
      </c>
      <c r="H536" s="600">
        <f>800000+táj2!H536</f>
        <v>800000</v>
      </c>
      <c r="I536" s="600">
        <f>550000+táj2!I536</f>
        <v>550000</v>
      </c>
      <c r="J536" s="600">
        <f>0+táj2!J536</f>
        <v>0</v>
      </c>
      <c r="K536" s="600">
        <f>650000+táj2!K536</f>
        <v>650000</v>
      </c>
      <c r="L536" s="600">
        <f>0+táj2!L536</f>
        <v>0</v>
      </c>
      <c r="M536" s="600">
        <f>0+táj2!M536</f>
        <v>0</v>
      </c>
      <c r="N536" s="600">
        <f>0+táj2!N536</f>
        <v>0</v>
      </c>
      <c r="O536" s="600">
        <f>0+táj2!O536</f>
        <v>0</v>
      </c>
      <c r="P536" s="600">
        <f>0+táj2!P536</f>
        <v>0</v>
      </c>
      <c r="Q536" s="596">
        <f t="shared" si="43"/>
        <v>5000000</v>
      </c>
    </row>
    <row r="537" spans="1:17" ht="17.100000000000001" customHeight="1" x14ac:dyDescent="0.2">
      <c r="A537" s="72"/>
      <c r="B537" s="72"/>
      <c r="C537" s="73"/>
      <c r="D537" s="61" t="s">
        <v>629</v>
      </c>
      <c r="E537" s="48">
        <v>2</v>
      </c>
      <c r="F537" s="48">
        <v>191139</v>
      </c>
      <c r="G537" s="600">
        <f>0+táj2!G537</f>
        <v>0</v>
      </c>
      <c r="H537" s="600">
        <f>0+táj2!H537</f>
        <v>0</v>
      </c>
      <c r="I537" s="600">
        <f>3793500+táj2!I537</f>
        <v>3793500</v>
      </c>
      <c r="J537" s="600">
        <f>0+táj2!J537</f>
        <v>0</v>
      </c>
      <c r="K537" s="600">
        <f>0+táj2!K537</f>
        <v>0</v>
      </c>
      <c r="L537" s="600">
        <f>0+táj2!L537</f>
        <v>0</v>
      </c>
      <c r="M537" s="600">
        <f>0+táj2!M537</f>
        <v>0</v>
      </c>
      <c r="N537" s="600">
        <f>0+táj2!N537</f>
        <v>0</v>
      </c>
      <c r="O537" s="600">
        <f>0+táj2!O537</f>
        <v>0</v>
      </c>
      <c r="P537" s="600">
        <f>0+táj2!P537</f>
        <v>0</v>
      </c>
      <c r="Q537" s="596">
        <f t="shared" si="43"/>
        <v>3793500</v>
      </c>
    </row>
    <row r="538" spans="1:17" ht="27" customHeight="1" x14ac:dyDescent="0.2">
      <c r="A538" s="72"/>
      <c r="B538" s="72"/>
      <c r="C538" s="73"/>
      <c r="D538" s="59" t="s">
        <v>591</v>
      </c>
      <c r="E538" s="48">
        <v>2</v>
      </c>
      <c r="F538" s="48">
        <v>221976</v>
      </c>
      <c r="G538" s="600">
        <f>0+táj2!G538</f>
        <v>0</v>
      </c>
      <c r="H538" s="600">
        <f>0+táj2!H538</f>
        <v>0</v>
      </c>
      <c r="I538" s="600">
        <f>0+táj2!I538</f>
        <v>0</v>
      </c>
      <c r="J538" s="600">
        <f>0+táj2!J538</f>
        <v>0</v>
      </c>
      <c r="K538" s="600">
        <f>5000000+táj2!K538</f>
        <v>5000000</v>
      </c>
      <c r="L538" s="600">
        <f>0+táj2!L538</f>
        <v>0</v>
      </c>
      <c r="M538" s="600">
        <f>0+táj2!M538</f>
        <v>0</v>
      </c>
      <c r="N538" s="600">
        <f>0+táj2!N538</f>
        <v>0</v>
      </c>
      <c r="O538" s="600">
        <f>0+táj2!O538</f>
        <v>0</v>
      </c>
      <c r="P538" s="600">
        <f>0+táj2!P538</f>
        <v>0</v>
      </c>
      <c r="Q538" s="596">
        <f t="shared" si="43"/>
        <v>5000000</v>
      </c>
    </row>
    <row r="539" spans="1:17" ht="17.100000000000001" customHeight="1" x14ac:dyDescent="0.2">
      <c r="A539" s="72"/>
      <c r="B539" s="72"/>
      <c r="C539" s="73"/>
      <c r="D539" s="61" t="s">
        <v>478</v>
      </c>
      <c r="E539" s="69"/>
      <c r="F539" s="69"/>
      <c r="G539" s="600"/>
      <c r="H539" s="600"/>
      <c r="I539" s="600"/>
      <c r="J539" s="600"/>
      <c r="K539" s="600"/>
      <c r="L539" s="600"/>
      <c r="M539" s="600"/>
      <c r="N539" s="600"/>
      <c r="O539" s="600"/>
      <c r="P539" s="600"/>
      <c r="Q539" s="596"/>
    </row>
    <row r="540" spans="1:17" ht="17.100000000000001" customHeight="1" x14ac:dyDescent="0.2">
      <c r="A540" s="72"/>
      <c r="B540" s="72"/>
      <c r="C540" s="73"/>
      <c r="D540" s="61" t="s">
        <v>479</v>
      </c>
      <c r="E540" s="48">
        <v>2</v>
      </c>
      <c r="F540" s="48">
        <v>191301</v>
      </c>
      <c r="G540" s="600">
        <f>0+táj2!G540</f>
        <v>0</v>
      </c>
      <c r="H540" s="600">
        <f>0+táj2!H540</f>
        <v>0</v>
      </c>
      <c r="I540" s="600">
        <f>0+táj2!I540</f>
        <v>0</v>
      </c>
      <c r="J540" s="600">
        <f>0+táj2!J540</f>
        <v>0</v>
      </c>
      <c r="K540" s="600">
        <f>38445000+táj2!K540</f>
        <v>38445000</v>
      </c>
      <c r="L540" s="600">
        <f>0+táj2!L540</f>
        <v>0</v>
      </c>
      <c r="M540" s="600">
        <f>0+táj2!M540</f>
        <v>0</v>
      </c>
      <c r="N540" s="600">
        <f>0+táj2!N540</f>
        <v>0</v>
      </c>
      <c r="O540" s="600">
        <f>0+táj2!O540</f>
        <v>0</v>
      </c>
      <c r="P540" s="600">
        <f>0+táj2!P540</f>
        <v>0</v>
      </c>
      <c r="Q540" s="596">
        <f>SUM(G540:P540)</f>
        <v>38445000</v>
      </c>
    </row>
    <row r="541" spans="1:17" ht="17.100000000000001" customHeight="1" x14ac:dyDescent="0.2">
      <c r="A541" s="51"/>
      <c r="B541" s="51"/>
      <c r="C541" s="77"/>
      <c r="D541" s="61" t="s">
        <v>480</v>
      </c>
      <c r="E541" s="48">
        <v>2</v>
      </c>
      <c r="F541" s="48">
        <v>191302</v>
      </c>
      <c r="G541" s="600">
        <f>0+táj2!G541</f>
        <v>0</v>
      </c>
      <c r="H541" s="600">
        <f>0+táj2!H541</f>
        <v>0</v>
      </c>
      <c r="I541" s="600">
        <f>13708780+táj2!I541</f>
        <v>13708780</v>
      </c>
      <c r="J541" s="600">
        <f>0+táj2!J541</f>
        <v>0</v>
      </c>
      <c r="K541" s="600">
        <f>0+táj2!K541</f>
        <v>0</v>
      </c>
      <c r="L541" s="600">
        <f>0+táj2!L541</f>
        <v>0</v>
      </c>
      <c r="M541" s="600">
        <f>0+táj2!M541</f>
        <v>0</v>
      </c>
      <c r="N541" s="600">
        <f>0+táj2!N541</f>
        <v>0</v>
      </c>
      <c r="O541" s="600">
        <f>0+táj2!O541</f>
        <v>0</v>
      </c>
      <c r="P541" s="600">
        <f>0+táj2!P541</f>
        <v>0</v>
      </c>
      <c r="Q541" s="578">
        <f>SUM(G541:P541)</f>
        <v>13708780</v>
      </c>
    </row>
    <row r="542" spans="1:17" ht="17.100000000000001" customHeight="1" x14ac:dyDescent="0.2">
      <c r="A542" s="72"/>
      <c r="B542" s="72"/>
      <c r="C542" s="73"/>
      <c r="D542" s="42" t="s">
        <v>180</v>
      </c>
      <c r="E542" s="60"/>
      <c r="F542" s="48"/>
      <c r="G542" s="600"/>
      <c r="H542" s="600"/>
      <c r="I542" s="600"/>
      <c r="J542" s="600"/>
      <c r="K542" s="600"/>
      <c r="L542" s="600"/>
      <c r="M542" s="600"/>
      <c r="N542" s="600"/>
      <c r="O542" s="600"/>
      <c r="P542" s="600"/>
      <c r="Q542" s="596"/>
    </row>
    <row r="543" spans="1:17" ht="17.100000000000001" customHeight="1" x14ac:dyDescent="0.2">
      <c r="A543" s="72"/>
      <c r="B543" s="72"/>
      <c r="C543" s="73"/>
      <c r="D543" s="59" t="s">
        <v>481</v>
      </c>
      <c r="E543" s="99">
        <v>2</v>
      </c>
      <c r="F543" s="58">
        <v>221951</v>
      </c>
      <c r="G543" s="600">
        <f>0+táj2!G543</f>
        <v>0</v>
      </c>
      <c r="H543" s="600">
        <f>0+táj2!H543</f>
        <v>0</v>
      </c>
      <c r="I543" s="600">
        <f>0+táj2!I543</f>
        <v>0</v>
      </c>
      <c r="J543" s="600">
        <f>0+táj2!J543</f>
        <v>0</v>
      </c>
      <c r="K543" s="600">
        <f>34217835+táj2!K543</f>
        <v>34117835</v>
      </c>
      <c r="L543" s="600">
        <f>0+táj2!L543</f>
        <v>0</v>
      </c>
      <c r="M543" s="600">
        <f>0+táj2!M543</f>
        <v>0</v>
      </c>
      <c r="N543" s="600">
        <f>0+táj2!N543</f>
        <v>0</v>
      </c>
      <c r="O543" s="600">
        <f>0+táj2!O543</f>
        <v>0</v>
      </c>
      <c r="P543" s="600">
        <f>0+táj2!P543</f>
        <v>0</v>
      </c>
      <c r="Q543" s="596">
        <f>SUM(G543:P543)</f>
        <v>34117835</v>
      </c>
    </row>
    <row r="544" spans="1:17" ht="17.100000000000001" customHeight="1" x14ac:dyDescent="0.2">
      <c r="A544" s="72"/>
      <c r="B544" s="72"/>
      <c r="C544" s="241"/>
      <c r="D544" s="84" t="s">
        <v>482</v>
      </c>
      <c r="E544" s="60">
        <v>2</v>
      </c>
      <c r="F544" s="48" t="s">
        <v>483</v>
      </c>
      <c r="G544" s="600">
        <f>3021831+táj2!G544</f>
        <v>3021831</v>
      </c>
      <c r="H544" s="600">
        <f>1453181+táj2!H544</f>
        <v>1453181</v>
      </c>
      <c r="I544" s="600">
        <f>31211527+táj2!I544</f>
        <v>30645547</v>
      </c>
      <c r="J544" s="600">
        <f>0+táj2!J544</f>
        <v>0</v>
      </c>
      <c r="K544" s="600">
        <f>22137589+táj2!K544</f>
        <v>22637589</v>
      </c>
      <c r="L544" s="600">
        <f>952119+táj2!L544</f>
        <v>1018099</v>
      </c>
      <c r="M544" s="600">
        <f>0+táj2!M544</f>
        <v>0</v>
      </c>
      <c r="N544" s="600">
        <f>0+táj2!N544</f>
        <v>0</v>
      </c>
      <c r="O544" s="600">
        <f>0+táj2!O544</f>
        <v>0</v>
      </c>
      <c r="P544" s="600">
        <f>0+táj2!P544</f>
        <v>0</v>
      </c>
      <c r="Q544" s="596">
        <f>SUM(G544:P544)</f>
        <v>58776247</v>
      </c>
    </row>
    <row r="545" spans="1:17" ht="17.100000000000001" customHeight="1" x14ac:dyDescent="0.2">
      <c r="A545" s="72"/>
      <c r="B545" s="72"/>
      <c r="C545" s="242"/>
      <c r="D545" s="84" t="s">
        <v>630</v>
      </c>
      <c r="E545" s="60">
        <v>2</v>
      </c>
      <c r="F545" s="48">
        <v>221981</v>
      </c>
      <c r="G545" s="600">
        <f>0+táj2!G545</f>
        <v>0</v>
      </c>
      <c r="H545" s="600">
        <f>0+táj2!H545</f>
        <v>0</v>
      </c>
      <c r="I545" s="600">
        <f>2133700+táj2!I545</f>
        <v>2133700</v>
      </c>
      <c r="J545" s="600">
        <f>0+táj2!J545</f>
        <v>0</v>
      </c>
      <c r="K545" s="600">
        <f>600000+táj2!K545</f>
        <v>600000</v>
      </c>
      <c r="L545" s="600">
        <f>0+táj2!L545</f>
        <v>0</v>
      </c>
      <c r="M545" s="600">
        <f>0+táj2!M545</f>
        <v>0</v>
      </c>
      <c r="N545" s="600">
        <f>0+táj2!N545</f>
        <v>0</v>
      </c>
      <c r="O545" s="600">
        <f>0+táj2!O545</f>
        <v>0</v>
      </c>
      <c r="P545" s="600">
        <f>0+táj2!P545</f>
        <v>0</v>
      </c>
      <c r="Q545" s="596">
        <f>SUM(G545:P545)</f>
        <v>2733700</v>
      </c>
    </row>
    <row r="546" spans="1:17" ht="17.100000000000001" customHeight="1" x14ac:dyDescent="0.2">
      <c r="A546" s="72"/>
      <c r="B546" s="72"/>
      <c r="C546" s="242"/>
      <c r="D546" s="84" t="s">
        <v>538</v>
      </c>
      <c r="E546" s="60">
        <v>2</v>
      </c>
      <c r="F546" s="48">
        <v>221969</v>
      </c>
      <c r="G546" s="600">
        <f>0+táj2!G546</f>
        <v>0</v>
      </c>
      <c r="H546" s="600">
        <f>0+táj2!H546</f>
        <v>0</v>
      </c>
      <c r="I546" s="600">
        <f>0+táj2!I546</f>
        <v>0</v>
      </c>
      <c r="J546" s="600">
        <f>0+táj2!J546</f>
        <v>0</v>
      </c>
      <c r="K546" s="600">
        <f>25366000+táj2!K546</f>
        <v>25366000</v>
      </c>
      <c r="L546" s="600">
        <f>0+táj2!L546</f>
        <v>0</v>
      </c>
      <c r="M546" s="600">
        <f>0+táj2!M546</f>
        <v>0</v>
      </c>
      <c r="N546" s="600">
        <f>0+táj2!N546</f>
        <v>0</v>
      </c>
      <c r="O546" s="600">
        <f>0+táj2!O546</f>
        <v>0</v>
      </c>
      <c r="P546" s="600">
        <f>0+táj2!P546</f>
        <v>0</v>
      </c>
      <c r="Q546" s="578">
        <f t="shared" ref="Q546:Q547" si="44">SUM(G546:P546)</f>
        <v>25366000</v>
      </c>
    </row>
    <row r="547" spans="1:17" ht="17.100000000000001" customHeight="1" x14ac:dyDescent="0.2">
      <c r="A547" s="693"/>
      <c r="B547" s="693"/>
      <c r="C547" s="694"/>
      <c r="D547" s="695" t="s">
        <v>1022</v>
      </c>
      <c r="E547" s="657">
        <v>2</v>
      </c>
      <c r="F547" s="560">
        <v>191402</v>
      </c>
      <c r="G547" s="697">
        <f>0+táj2!G547</f>
        <v>0</v>
      </c>
      <c r="H547" s="697">
        <f>0+táj2!H547</f>
        <v>0</v>
      </c>
      <c r="I547" s="697">
        <f>0+táj2!I547</f>
        <v>0</v>
      </c>
      <c r="J547" s="697">
        <f>0+táj2!J547</f>
        <v>0</v>
      </c>
      <c r="K547" s="697">
        <f>10000000+táj2!K547</f>
        <v>10000000</v>
      </c>
      <c r="L547" s="697">
        <f>0+táj2!L547</f>
        <v>0</v>
      </c>
      <c r="M547" s="697">
        <f>0+táj2!M547</f>
        <v>0</v>
      </c>
      <c r="N547" s="697">
        <f>0+táj2!N547</f>
        <v>0</v>
      </c>
      <c r="O547" s="697">
        <f>0+táj2!O547</f>
        <v>0</v>
      </c>
      <c r="P547" s="697">
        <f>0+táj2!P547</f>
        <v>0</v>
      </c>
      <c r="Q547" s="578">
        <f t="shared" si="44"/>
        <v>10000000</v>
      </c>
    </row>
    <row r="548" spans="1:17" ht="17.100000000000001" customHeight="1" x14ac:dyDescent="0.2">
      <c r="A548" s="72"/>
      <c r="B548" s="72"/>
      <c r="C548" s="73"/>
      <c r="D548" s="87" t="s">
        <v>165</v>
      </c>
      <c r="E548" s="60"/>
      <c r="F548" s="48"/>
      <c r="G548" s="600"/>
      <c r="H548" s="600"/>
      <c r="I548" s="600"/>
      <c r="J548" s="600"/>
      <c r="K548" s="600"/>
      <c r="L548" s="600"/>
      <c r="M548" s="600"/>
      <c r="N548" s="600"/>
      <c r="O548" s="600"/>
      <c r="P548" s="600"/>
      <c r="Q548" s="596"/>
    </row>
    <row r="549" spans="1:17" ht="17.100000000000001" customHeight="1" x14ac:dyDescent="0.2">
      <c r="A549" s="72"/>
      <c r="B549" s="72"/>
      <c r="C549" s="73"/>
      <c r="D549" s="62" t="s">
        <v>484</v>
      </c>
      <c r="E549" s="60">
        <v>2</v>
      </c>
      <c r="F549" s="48">
        <v>221929</v>
      </c>
      <c r="G549" s="600">
        <f>0+táj2!G549</f>
        <v>0</v>
      </c>
      <c r="H549" s="600">
        <f>0+táj2!H549</f>
        <v>0</v>
      </c>
      <c r="I549" s="600">
        <f>0+táj2!I549</f>
        <v>0</v>
      </c>
      <c r="J549" s="600">
        <f>0+táj2!J549</f>
        <v>0</v>
      </c>
      <c r="K549" s="600">
        <f>12296250+táj2!K549</f>
        <v>12296250</v>
      </c>
      <c r="L549" s="600">
        <f>0+táj2!L549</f>
        <v>0</v>
      </c>
      <c r="M549" s="600">
        <f>0+táj2!M549</f>
        <v>0</v>
      </c>
      <c r="N549" s="600">
        <f>0+táj2!N549</f>
        <v>0</v>
      </c>
      <c r="O549" s="600">
        <f>0+táj2!O549</f>
        <v>0</v>
      </c>
      <c r="P549" s="600">
        <f>0+táj2!P549</f>
        <v>0</v>
      </c>
      <c r="Q549" s="596">
        <f>SUM(G549:P549)</f>
        <v>12296250</v>
      </c>
    </row>
    <row r="550" spans="1:17" ht="17.100000000000001" customHeight="1" x14ac:dyDescent="0.2">
      <c r="A550" s="72"/>
      <c r="B550" s="72"/>
      <c r="C550" s="73"/>
      <c r="D550" s="62" t="s">
        <v>485</v>
      </c>
      <c r="E550" s="60">
        <v>1</v>
      </c>
      <c r="F550" s="48">
        <v>221913</v>
      </c>
      <c r="G550" s="600">
        <f>0+táj2!G550</f>
        <v>0</v>
      </c>
      <c r="H550" s="600">
        <f>0+táj2!H550</f>
        <v>0</v>
      </c>
      <c r="I550" s="600">
        <f>15621000+táj2!I550</f>
        <v>15621000</v>
      </c>
      <c r="J550" s="600">
        <f>0+táj2!J550</f>
        <v>0</v>
      </c>
      <c r="K550" s="600">
        <f>0+táj2!K550</f>
        <v>0</v>
      </c>
      <c r="L550" s="600">
        <f>0+táj2!L550</f>
        <v>0</v>
      </c>
      <c r="M550" s="600">
        <f>0+táj2!M550</f>
        <v>0</v>
      </c>
      <c r="N550" s="600">
        <f>0+táj2!N550</f>
        <v>0</v>
      </c>
      <c r="O550" s="600">
        <f>0+táj2!O550</f>
        <v>0</v>
      </c>
      <c r="P550" s="600">
        <f>0+táj2!P550</f>
        <v>0</v>
      </c>
      <c r="Q550" s="596">
        <f>SUM(G550:P550)</f>
        <v>15621000</v>
      </c>
    </row>
    <row r="551" spans="1:17" ht="17.100000000000001" customHeight="1" x14ac:dyDescent="0.2">
      <c r="A551" s="72"/>
      <c r="B551" s="72"/>
      <c r="C551" s="73"/>
      <c r="D551" s="62" t="s">
        <v>514</v>
      </c>
      <c r="E551" s="60">
        <v>1</v>
      </c>
      <c r="F551" s="48">
        <v>221962</v>
      </c>
      <c r="G551" s="600">
        <f>0+táj2!G551</f>
        <v>0</v>
      </c>
      <c r="H551" s="600">
        <f>0+táj2!H551</f>
        <v>0</v>
      </c>
      <c r="I551" s="600">
        <f>0+táj2!I551</f>
        <v>0</v>
      </c>
      <c r="J551" s="600">
        <f>0+táj2!J551</f>
        <v>0</v>
      </c>
      <c r="K551" s="600">
        <f>48500000+táj2!K551</f>
        <v>48500000</v>
      </c>
      <c r="L551" s="600">
        <f>0+táj2!L551</f>
        <v>0</v>
      </c>
      <c r="M551" s="600">
        <f>0+táj2!M551</f>
        <v>0</v>
      </c>
      <c r="N551" s="600">
        <f>0+táj2!N551</f>
        <v>0</v>
      </c>
      <c r="O551" s="600">
        <f>0+táj2!O551</f>
        <v>0</v>
      </c>
      <c r="P551" s="600">
        <f>0+táj2!P551</f>
        <v>0</v>
      </c>
      <c r="Q551" s="596">
        <f>SUM(G551:P551)</f>
        <v>48500000</v>
      </c>
    </row>
    <row r="552" spans="1:17" ht="17.100000000000001" customHeight="1" x14ac:dyDescent="0.2">
      <c r="A552" s="72"/>
      <c r="B552" s="72"/>
      <c r="C552" s="73"/>
      <c r="D552" s="61" t="s">
        <v>486</v>
      </c>
      <c r="E552" s="69"/>
      <c r="F552" s="69"/>
      <c r="G552" s="600"/>
      <c r="H552" s="600"/>
      <c r="I552" s="600"/>
      <c r="J552" s="600"/>
      <c r="K552" s="600"/>
      <c r="L552" s="600"/>
      <c r="M552" s="600"/>
      <c r="N552" s="600"/>
      <c r="O552" s="600"/>
      <c r="P552" s="600"/>
      <c r="Q552" s="578"/>
    </row>
    <row r="553" spans="1:17" ht="14.25" customHeight="1" x14ac:dyDescent="0.2">
      <c r="A553" s="72"/>
      <c r="B553" s="72"/>
      <c r="C553" s="73"/>
      <c r="D553" s="61" t="s">
        <v>650</v>
      </c>
      <c r="E553" s="48">
        <v>2</v>
      </c>
      <c r="F553" s="48">
        <v>191151</v>
      </c>
      <c r="G553" s="600">
        <f>0+táj2!G553</f>
        <v>0</v>
      </c>
      <c r="H553" s="600">
        <f>0+táj2!H553</f>
        <v>0</v>
      </c>
      <c r="I553" s="600">
        <f>0+táj2!I553</f>
        <v>0</v>
      </c>
      <c r="J553" s="600">
        <f>0+táj2!J553</f>
        <v>0</v>
      </c>
      <c r="K553" s="600">
        <f>155000000+táj2!K553</f>
        <v>155000000</v>
      </c>
      <c r="L553" s="600">
        <f>0+táj2!L553</f>
        <v>0</v>
      </c>
      <c r="M553" s="600">
        <f>0+táj2!M553</f>
        <v>0</v>
      </c>
      <c r="N553" s="600">
        <f>0+táj2!N553</f>
        <v>0</v>
      </c>
      <c r="O553" s="600">
        <f>0+táj2!O553</f>
        <v>0</v>
      </c>
      <c r="P553" s="600">
        <f>0+táj2!P553</f>
        <v>0</v>
      </c>
      <c r="Q553" s="578">
        <f>SUM(G553:P553)</f>
        <v>155000000</v>
      </c>
    </row>
    <row r="554" spans="1:17" ht="15.95" customHeight="1" x14ac:dyDescent="0.2">
      <c r="A554" s="72"/>
      <c r="B554" s="72"/>
      <c r="C554" s="73"/>
      <c r="D554" s="61" t="s">
        <v>273</v>
      </c>
      <c r="E554" s="60"/>
      <c r="F554" s="46"/>
      <c r="G554" s="600"/>
      <c r="H554" s="600"/>
      <c r="I554" s="600"/>
      <c r="J554" s="600"/>
      <c r="K554" s="600"/>
      <c r="L554" s="600"/>
      <c r="M554" s="600"/>
      <c r="N554" s="600"/>
      <c r="O554" s="600"/>
      <c r="P554" s="600"/>
      <c r="Q554" s="596"/>
    </row>
    <row r="555" spans="1:17" ht="18.75" customHeight="1" x14ac:dyDescent="0.2">
      <c r="A555" s="72"/>
      <c r="B555" s="72"/>
      <c r="C555" s="73"/>
      <c r="D555" s="59" t="s">
        <v>505</v>
      </c>
      <c r="E555" s="60">
        <v>2</v>
      </c>
      <c r="F555" s="46">
        <v>221961</v>
      </c>
      <c r="G555" s="600">
        <f>0+táj2!G555</f>
        <v>0</v>
      </c>
      <c r="H555" s="600">
        <f>0+táj2!H555</f>
        <v>0</v>
      </c>
      <c r="I555" s="600">
        <f>15240000+táj2!I555</f>
        <v>15240000</v>
      </c>
      <c r="J555" s="600">
        <f>0+táj2!J555</f>
        <v>0</v>
      </c>
      <c r="K555" s="600">
        <f>0+táj2!K555</f>
        <v>0</v>
      </c>
      <c r="L555" s="600">
        <f>0+táj2!L555</f>
        <v>0</v>
      </c>
      <c r="M555" s="600">
        <f>0+táj2!M555</f>
        <v>0</v>
      </c>
      <c r="N555" s="600">
        <f>0+táj2!N555</f>
        <v>0</v>
      </c>
      <c r="O555" s="600">
        <f>0+táj2!O555</f>
        <v>0</v>
      </c>
      <c r="P555" s="600">
        <f>0+táj2!P555</f>
        <v>0</v>
      </c>
      <c r="Q555" s="596">
        <f t="shared" ref="Q555:Q558" si="45">SUM(G555:P555)</f>
        <v>15240000</v>
      </c>
    </row>
    <row r="556" spans="1:17" ht="16.5" customHeight="1" x14ac:dyDescent="0.2">
      <c r="A556" s="72"/>
      <c r="B556" s="72"/>
      <c r="C556" s="73"/>
      <c r="D556" s="48" t="s">
        <v>572</v>
      </c>
      <c r="E556" s="69">
        <v>2</v>
      </c>
      <c r="F556" s="48">
        <v>121518</v>
      </c>
      <c r="G556" s="600">
        <f>0+táj2!G556</f>
        <v>0</v>
      </c>
      <c r="H556" s="600">
        <f>0+táj2!H556</f>
        <v>0</v>
      </c>
      <c r="I556" s="600">
        <f>0+táj2!I556</f>
        <v>0</v>
      </c>
      <c r="J556" s="600">
        <f>0+táj2!J556</f>
        <v>0</v>
      </c>
      <c r="K556" s="600">
        <f>2300000+táj2!K556</f>
        <v>2300000</v>
      </c>
      <c r="L556" s="600">
        <f>0+táj2!L556</f>
        <v>0</v>
      </c>
      <c r="M556" s="600">
        <f>0+táj2!M556</f>
        <v>0</v>
      </c>
      <c r="N556" s="600">
        <f>0+táj2!N556</f>
        <v>0</v>
      </c>
      <c r="O556" s="600">
        <f>0+táj2!O556</f>
        <v>0</v>
      </c>
      <c r="P556" s="600">
        <f>0+táj2!P556</f>
        <v>0</v>
      </c>
      <c r="Q556" s="596">
        <f t="shared" si="45"/>
        <v>2300000</v>
      </c>
    </row>
    <row r="557" spans="1:17" ht="16.5" customHeight="1" x14ac:dyDescent="0.2">
      <c r="A557" s="72"/>
      <c r="B557" s="72"/>
      <c r="C557" s="73"/>
      <c r="D557" s="48" t="s">
        <v>775</v>
      </c>
      <c r="E557" s="69">
        <v>2</v>
      </c>
      <c r="F557" s="46">
        <v>221977</v>
      </c>
      <c r="G557" s="600">
        <f>0+táj2!G557</f>
        <v>0</v>
      </c>
      <c r="H557" s="600">
        <f>0+táj2!H557</f>
        <v>0</v>
      </c>
      <c r="I557" s="600">
        <f>27787300+táj2!I557</f>
        <v>27787300</v>
      </c>
      <c r="J557" s="600">
        <f>0+táj2!J557</f>
        <v>0</v>
      </c>
      <c r="K557" s="600">
        <f>0+táj2!K557</f>
        <v>0</v>
      </c>
      <c r="L557" s="600">
        <f>0+táj2!L557</f>
        <v>0</v>
      </c>
      <c r="M557" s="600">
        <f>0+táj2!M557</f>
        <v>0</v>
      </c>
      <c r="N557" s="600">
        <f>0+táj2!N557</f>
        <v>0</v>
      </c>
      <c r="O557" s="600">
        <f>0+táj2!O557</f>
        <v>0</v>
      </c>
      <c r="P557" s="600">
        <f>0+táj2!P557</f>
        <v>0</v>
      </c>
      <c r="Q557" s="596">
        <f t="shared" si="45"/>
        <v>27787300</v>
      </c>
    </row>
    <row r="558" spans="1:17" ht="16.5" customHeight="1" x14ac:dyDescent="0.2">
      <c r="A558" s="261"/>
      <c r="B558" s="261"/>
      <c r="C558" s="262"/>
      <c r="D558" s="208" t="s">
        <v>764</v>
      </c>
      <c r="E558" s="477">
        <v>2</v>
      </c>
      <c r="F558" s="201">
        <v>131721</v>
      </c>
      <c r="G558" s="600">
        <f>1125100+táj2!G558</f>
        <v>1425100</v>
      </c>
      <c r="H558" s="600">
        <f>750858+táj2!H558</f>
        <v>750858</v>
      </c>
      <c r="I558" s="600">
        <f>7305390+táj2!I558</f>
        <v>7005390</v>
      </c>
      <c r="J558" s="600">
        <f>0+táj2!J558</f>
        <v>0</v>
      </c>
      <c r="K558" s="600">
        <f>2000000+táj2!K558</f>
        <v>2000000</v>
      </c>
      <c r="L558" s="600">
        <f>0+táj2!L558</f>
        <v>0</v>
      </c>
      <c r="M558" s="600">
        <f>0+táj2!M558</f>
        <v>0</v>
      </c>
      <c r="N558" s="600">
        <f>0+táj2!N558</f>
        <v>0</v>
      </c>
      <c r="O558" s="600">
        <f>0+táj2!O558</f>
        <v>0</v>
      </c>
      <c r="P558" s="600">
        <f>0+táj2!P558</f>
        <v>0</v>
      </c>
      <c r="Q558" s="596">
        <f t="shared" si="45"/>
        <v>11181348</v>
      </c>
    </row>
    <row r="559" spans="1:17" ht="14.1" customHeight="1" x14ac:dyDescent="0.2">
      <c r="A559" s="136"/>
      <c r="B559" s="136"/>
      <c r="C559" s="215"/>
      <c r="D559" s="220" t="s">
        <v>487</v>
      </c>
      <c r="E559" s="243"/>
      <c r="F559" s="64"/>
      <c r="G559" s="602">
        <f>SUM(G527:G558)</f>
        <v>73381754</v>
      </c>
      <c r="H559" s="602">
        <f t="shared" ref="H559:Q559" si="46">SUM(H527:H558)</f>
        <v>26386843</v>
      </c>
      <c r="I559" s="602">
        <f t="shared" si="46"/>
        <v>236151046</v>
      </c>
      <c r="J559" s="602">
        <f t="shared" si="46"/>
        <v>0</v>
      </c>
      <c r="K559" s="602">
        <f t="shared" si="46"/>
        <v>411412674</v>
      </c>
      <c r="L559" s="602">
        <f t="shared" si="46"/>
        <v>1018099</v>
      </c>
      <c r="M559" s="602">
        <f t="shared" si="46"/>
        <v>0</v>
      </c>
      <c r="N559" s="602">
        <f t="shared" si="46"/>
        <v>0</v>
      </c>
      <c r="O559" s="602">
        <f t="shared" si="46"/>
        <v>0</v>
      </c>
      <c r="P559" s="602">
        <f t="shared" si="46"/>
        <v>0</v>
      </c>
      <c r="Q559" s="602">
        <f t="shared" si="46"/>
        <v>748350416</v>
      </c>
    </row>
    <row r="560" spans="1:17" ht="14.1" customHeight="1" x14ac:dyDescent="0.2">
      <c r="A560" s="51"/>
      <c r="B560" s="51"/>
      <c r="C560" s="51"/>
      <c r="D560" s="282" t="s">
        <v>488</v>
      </c>
      <c r="E560" s="270"/>
      <c r="F560" s="54"/>
      <c r="G560" s="603"/>
      <c r="H560" s="603"/>
      <c r="I560" s="603"/>
      <c r="J560" s="603"/>
      <c r="K560" s="603"/>
      <c r="L560" s="603"/>
      <c r="M560" s="603"/>
      <c r="N560" s="603"/>
      <c r="O560" s="603"/>
      <c r="P560" s="603"/>
      <c r="Q560" s="603"/>
    </row>
    <row r="561" spans="1:17" ht="14.1" customHeight="1" x14ac:dyDescent="0.2">
      <c r="A561" s="51"/>
      <c r="B561" s="51"/>
      <c r="C561" s="77"/>
      <c r="D561" s="61" t="s">
        <v>746</v>
      </c>
      <c r="E561" s="283"/>
      <c r="F561" s="118"/>
      <c r="G561" s="603"/>
      <c r="H561" s="603"/>
      <c r="I561" s="603"/>
      <c r="J561" s="603"/>
      <c r="K561" s="603"/>
      <c r="L561" s="603"/>
      <c r="M561" s="603"/>
      <c r="N561" s="603"/>
      <c r="O561" s="603"/>
      <c r="P561" s="603"/>
      <c r="Q561" s="603"/>
    </row>
    <row r="562" spans="1:17" ht="14.1" customHeight="1" x14ac:dyDescent="0.2">
      <c r="A562" s="51"/>
      <c r="B562" s="51"/>
      <c r="C562" s="56" t="s">
        <v>906</v>
      </c>
      <c r="D562" s="524" t="s">
        <v>655</v>
      </c>
      <c r="E562" s="325">
        <v>2</v>
      </c>
      <c r="F562" s="46">
        <v>222937</v>
      </c>
      <c r="G562" s="601">
        <f>0+táj2!G562</f>
        <v>0</v>
      </c>
      <c r="H562" s="601">
        <f>0+táj2!H562</f>
        <v>0</v>
      </c>
      <c r="I562" s="601">
        <f>0+táj2!I562</f>
        <v>0</v>
      </c>
      <c r="J562" s="601">
        <f>0+táj2!J562</f>
        <v>0</v>
      </c>
      <c r="K562" s="601">
        <f>0+táj2!K562</f>
        <v>0</v>
      </c>
      <c r="L562" s="601">
        <f>6000000+táj2!L562</f>
        <v>6000000</v>
      </c>
      <c r="M562" s="601">
        <f>0+táj2!M562</f>
        <v>0</v>
      </c>
      <c r="N562" s="601">
        <f>0+táj2!N562</f>
        <v>0</v>
      </c>
      <c r="O562" s="601">
        <f>0+táj2!O562</f>
        <v>0</v>
      </c>
      <c r="P562" s="601">
        <f>0+táj2!P562</f>
        <v>0</v>
      </c>
      <c r="Q562" s="601">
        <f>SUM(G562:P562)</f>
        <v>6000000</v>
      </c>
    </row>
    <row r="563" spans="1:17" ht="14.25" customHeight="1" x14ac:dyDescent="0.2">
      <c r="A563" s="51"/>
      <c r="B563" s="51"/>
      <c r="C563" s="56" t="s">
        <v>907</v>
      </c>
      <c r="D563" s="317" t="s">
        <v>740</v>
      </c>
      <c r="E563" s="325">
        <v>2</v>
      </c>
      <c r="F563" s="46">
        <v>222938</v>
      </c>
      <c r="G563" s="601">
        <f>0+táj2!G563</f>
        <v>0</v>
      </c>
      <c r="H563" s="601">
        <f>0+táj2!H563</f>
        <v>0</v>
      </c>
      <c r="I563" s="601">
        <f>0+táj2!I563</f>
        <v>0</v>
      </c>
      <c r="J563" s="601">
        <f>0+táj2!J563</f>
        <v>0</v>
      </c>
      <c r="K563" s="601">
        <f>0+táj2!K563</f>
        <v>0</v>
      </c>
      <c r="L563" s="601">
        <f>1679283+táj2!L563</f>
        <v>1679283</v>
      </c>
      <c r="M563" s="601">
        <f>0+táj2!M563</f>
        <v>0</v>
      </c>
      <c r="N563" s="601">
        <f>0+táj2!N563</f>
        <v>0</v>
      </c>
      <c r="O563" s="601">
        <f>0+táj2!O563</f>
        <v>0</v>
      </c>
      <c r="P563" s="601">
        <f>0+táj2!P563</f>
        <v>0</v>
      </c>
      <c r="Q563" s="601">
        <f>SUM(G563:P563)</f>
        <v>1679283</v>
      </c>
    </row>
    <row r="564" spans="1:17" ht="18" customHeight="1" x14ac:dyDescent="0.2">
      <c r="A564" s="136"/>
      <c r="B564" s="136"/>
      <c r="C564" s="215"/>
      <c r="D564" s="232" t="s">
        <v>489</v>
      </c>
      <c r="E564" s="243"/>
      <c r="F564" s="64"/>
      <c r="G564" s="602">
        <f t="shared" ref="G564:Q564" si="47">SUM(G559:G563)</f>
        <v>73381754</v>
      </c>
      <c r="H564" s="602">
        <f t="shared" si="47"/>
        <v>26386843</v>
      </c>
      <c r="I564" s="602">
        <f t="shared" si="47"/>
        <v>236151046</v>
      </c>
      <c r="J564" s="602">
        <f t="shared" si="47"/>
        <v>0</v>
      </c>
      <c r="K564" s="602">
        <f t="shared" si="47"/>
        <v>411412674</v>
      </c>
      <c r="L564" s="602">
        <f t="shared" si="47"/>
        <v>8697382</v>
      </c>
      <c r="M564" s="602">
        <f t="shared" si="47"/>
        <v>0</v>
      </c>
      <c r="N564" s="602">
        <f t="shared" si="47"/>
        <v>0</v>
      </c>
      <c r="O564" s="602">
        <f t="shared" si="47"/>
        <v>0</v>
      </c>
      <c r="P564" s="602">
        <f t="shared" si="47"/>
        <v>0</v>
      </c>
      <c r="Q564" s="602">
        <f t="shared" si="47"/>
        <v>756029699</v>
      </c>
    </row>
    <row r="565" spans="1:17" ht="18" customHeight="1" x14ac:dyDescent="0.2">
      <c r="A565" s="51">
        <v>1</v>
      </c>
      <c r="B565" s="45">
        <v>30</v>
      </c>
      <c r="C565" s="77"/>
      <c r="D565" s="61" t="s">
        <v>490</v>
      </c>
      <c r="E565" s="46"/>
      <c r="F565" s="46"/>
      <c r="G565" s="578"/>
      <c r="H565" s="574"/>
      <c r="I565" s="574"/>
      <c r="J565" s="574"/>
      <c r="K565" s="574"/>
      <c r="L565" s="574"/>
      <c r="M565" s="578"/>
      <c r="N565" s="578"/>
      <c r="O565" s="578"/>
      <c r="P565" s="578"/>
      <c r="Q565" s="578"/>
    </row>
    <row r="566" spans="1:17" ht="15.6" customHeight="1" x14ac:dyDescent="0.2">
      <c r="A566" s="51"/>
      <c r="B566" s="45">
        <v>31</v>
      </c>
      <c r="C566" s="77"/>
      <c r="D566" s="53" t="s">
        <v>491</v>
      </c>
      <c r="E566" s="48">
        <v>1</v>
      </c>
      <c r="F566" s="46">
        <v>311901</v>
      </c>
      <c r="G566" s="601">
        <f>0+táj2!G566</f>
        <v>0</v>
      </c>
      <c r="H566" s="601">
        <f>0+táj2!H566</f>
        <v>0</v>
      </c>
      <c r="I566" s="601">
        <f>0+táj2!I566</f>
        <v>0</v>
      </c>
      <c r="J566" s="601">
        <f>0+táj2!J566</f>
        <v>0</v>
      </c>
      <c r="K566" s="601">
        <f>15991706+táj2!K566</f>
        <v>15991706</v>
      </c>
      <c r="L566" s="601">
        <f>0+táj2!L566</f>
        <v>0</v>
      </c>
      <c r="M566" s="601">
        <f>0+táj2!M566</f>
        <v>0</v>
      </c>
      <c r="N566" s="601">
        <f>0+táj2!N566</f>
        <v>0</v>
      </c>
      <c r="O566" s="601">
        <f>0+táj2!O566</f>
        <v>0</v>
      </c>
      <c r="P566" s="601">
        <f>0+táj2!P566</f>
        <v>0</v>
      </c>
      <c r="Q566" s="578">
        <f>SUM(K566:P566)</f>
        <v>15991706</v>
      </c>
    </row>
    <row r="567" spans="1:17" ht="15" customHeight="1" x14ac:dyDescent="0.2">
      <c r="A567" s="45"/>
      <c r="B567" s="45">
        <v>32</v>
      </c>
      <c r="C567" s="56"/>
      <c r="D567" s="838" t="s">
        <v>492</v>
      </c>
      <c r="E567" s="839"/>
      <c r="F567" s="46"/>
      <c r="G567" s="601"/>
      <c r="H567" s="601"/>
      <c r="I567" s="601"/>
      <c r="J567" s="601"/>
      <c r="K567" s="601"/>
      <c r="L567" s="601"/>
      <c r="M567" s="601"/>
      <c r="N567" s="601"/>
      <c r="O567" s="601"/>
      <c r="P567" s="601"/>
      <c r="Q567" s="578"/>
    </row>
    <row r="568" spans="1:17" ht="18" customHeight="1" x14ac:dyDescent="0.2">
      <c r="A568" s="45"/>
      <c r="B568" s="45"/>
      <c r="C568" s="56"/>
      <c r="D568" s="61" t="s">
        <v>657</v>
      </c>
      <c r="E568" s="48">
        <v>1</v>
      </c>
      <c r="F568" s="48">
        <v>321907</v>
      </c>
      <c r="G568" s="601">
        <f>0+táj2!G568</f>
        <v>0</v>
      </c>
      <c r="H568" s="601">
        <f>0+táj2!H568</f>
        <v>0</v>
      </c>
      <c r="I568" s="601">
        <f>0+táj2!I568</f>
        <v>0</v>
      </c>
      <c r="J568" s="601">
        <f>0+táj2!J568</f>
        <v>0</v>
      </c>
      <c r="K568" s="601">
        <f>47889000+táj2!K568</f>
        <v>47889000</v>
      </c>
      <c r="L568" s="601">
        <f>0+táj2!L568</f>
        <v>0</v>
      </c>
      <c r="M568" s="601">
        <f>0+táj2!M568</f>
        <v>0</v>
      </c>
      <c r="N568" s="601">
        <f>0+táj2!N568</f>
        <v>0</v>
      </c>
      <c r="O568" s="601">
        <f>0+táj2!O568</f>
        <v>0</v>
      </c>
      <c r="P568" s="601">
        <f>0+táj2!P568</f>
        <v>0</v>
      </c>
      <c r="Q568" s="578">
        <f t="shared" ref="Q568:Q577" si="48">SUM(K568:P568)</f>
        <v>47889000</v>
      </c>
    </row>
    <row r="569" spans="1:17" ht="17.25" customHeight="1" x14ac:dyDescent="0.2">
      <c r="A569" s="245"/>
      <c r="B569" s="245"/>
      <c r="C569" s="245"/>
      <c r="D569" s="246" t="s">
        <v>1100</v>
      </c>
      <c r="E569" s="247">
        <v>1</v>
      </c>
      <c r="F569" s="248">
        <v>321903</v>
      </c>
      <c r="G569" s="601">
        <f>0+táj2!G569</f>
        <v>0</v>
      </c>
      <c r="H569" s="601">
        <f>0+táj2!H569</f>
        <v>0</v>
      </c>
      <c r="I569" s="601">
        <f>0+táj2!I569</f>
        <v>0</v>
      </c>
      <c r="J569" s="601">
        <f>0+táj2!J569</f>
        <v>0</v>
      </c>
      <c r="K569" s="601">
        <f>54184526+táj2!K569</f>
        <v>55671076</v>
      </c>
      <c r="L569" s="601">
        <f>0+táj2!L569</f>
        <v>0</v>
      </c>
      <c r="M569" s="601">
        <f>0+táj2!M569</f>
        <v>0</v>
      </c>
      <c r="N569" s="601">
        <f>0+táj2!N569</f>
        <v>0</v>
      </c>
      <c r="O569" s="601">
        <f>0+táj2!O569</f>
        <v>0</v>
      </c>
      <c r="P569" s="601">
        <f>0+táj2!P569</f>
        <v>0</v>
      </c>
      <c r="Q569" s="578">
        <f t="shared" si="48"/>
        <v>55671076</v>
      </c>
    </row>
    <row r="570" spans="1:17" ht="18" customHeight="1" x14ac:dyDescent="0.2">
      <c r="A570" s="45"/>
      <c r="B570" s="45"/>
      <c r="C570" s="56"/>
      <c r="D570" s="61" t="s">
        <v>493</v>
      </c>
      <c r="E570" s="69">
        <v>1</v>
      </c>
      <c r="F570" s="48">
        <v>321908</v>
      </c>
      <c r="G570" s="601">
        <f>0+táj2!G570</f>
        <v>0</v>
      </c>
      <c r="H570" s="601">
        <f>0+táj2!H570</f>
        <v>0</v>
      </c>
      <c r="I570" s="601">
        <f>0+táj2!I570</f>
        <v>0</v>
      </c>
      <c r="J570" s="601">
        <f>0+táj2!J570</f>
        <v>0</v>
      </c>
      <c r="K570" s="601">
        <f>19626200+táj2!K570</f>
        <v>19626200</v>
      </c>
      <c r="L570" s="601">
        <f>0+táj2!L570</f>
        <v>0</v>
      </c>
      <c r="M570" s="601">
        <f>0+táj2!M570</f>
        <v>0</v>
      </c>
      <c r="N570" s="601">
        <f>0+táj2!N570</f>
        <v>0</v>
      </c>
      <c r="O570" s="601">
        <f>0+táj2!O570</f>
        <v>0</v>
      </c>
      <c r="P570" s="601">
        <f>0+táj2!P570</f>
        <v>0</v>
      </c>
      <c r="Q570" s="578">
        <f t="shared" si="48"/>
        <v>19626200</v>
      </c>
    </row>
    <row r="571" spans="1:17" ht="15" customHeight="1" x14ac:dyDescent="0.2">
      <c r="A571" s="45"/>
      <c r="B571" s="45"/>
      <c r="C571" s="56"/>
      <c r="D571" s="240" t="s">
        <v>494</v>
      </c>
      <c r="E571" s="57">
        <v>1</v>
      </c>
      <c r="F571" s="58">
        <v>321933</v>
      </c>
      <c r="G571" s="601">
        <f>0+táj2!G571</f>
        <v>0</v>
      </c>
      <c r="H571" s="601">
        <f>0+táj2!H571</f>
        <v>0</v>
      </c>
      <c r="I571" s="601">
        <f>0+táj2!I571</f>
        <v>0</v>
      </c>
      <c r="J571" s="601">
        <f>0+táj2!J571</f>
        <v>0</v>
      </c>
      <c r="K571" s="601">
        <f>217914927+táj2!K571</f>
        <v>217914927</v>
      </c>
      <c r="L571" s="601">
        <f>0+táj2!L571</f>
        <v>0</v>
      </c>
      <c r="M571" s="601">
        <f>0+táj2!M571</f>
        <v>0</v>
      </c>
      <c r="N571" s="601">
        <f>0+táj2!N571</f>
        <v>0</v>
      </c>
      <c r="O571" s="601">
        <f>0+táj2!O571</f>
        <v>0</v>
      </c>
      <c r="P571" s="601">
        <f>0+táj2!P571</f>
        <v>0</v>
      </c>
      <c r="Q571" s="578">
        <f t="shared" si="48"/>
        <v>217914927</v>
      </c>
    </row>
    <row r="572" spans="1:17" ht="15.6" customHeight="1" x14ac:dyDescent="0.2">
      <c r="A572" s="207"/>
      <c r="B572" s="207"/>
      <c r="C572" s="249"/>
      <c r="D572" s="250" t="s">
        <v>495</v>
      </c>
      <c r="E572" s="57">
        <v>1</v>
      </c>
      <c r="F572" s="58">
        <v>321934</v>
      </c>
      <c r="G572" s="601">
        <f>0+táj2!G572</f>
        <v>0</v>
      </c>
      <c r="H572" s="601">
        <f>0+táj2!H572</f>
        <v>0</v>
      </c>
      <c r="I572" s="601">
        <f>0+táj2!I572</f>
        <v>0</v>
      </c>
      <c r="J572" s="601">
        <f>0+táj2!J572</f>
        <v>0</v>
      </c>
      <c r="K572" s="601">
        <f>1800000+táj2!K572</f>
        <v>1800000</v>
      </c>
      <c r="L572" s="601">
        <f>0+táj2!L572</f>
        <v>0</v>
      </c>
      <c r="M572" s="601">
        <f>0+táj2!M572</f>
        <v>0</v>
      </c>
      <c r="N572" s="601">
        <f>0+táj2!N572</f>
        <v>0</v>
      </c>
      <c r="O572" s="601">
        <f>0+táj2!O572</f>
        <v>0</v>
      </c>
      <c r="P572" s="601">
        <f>0+táj2!P572</f>
        <v>0</v>
      </c>
      <c r="Q572" s="578">
        <f t="shared" si="48"/>
        <v>1800000</v>
      </c>
    </row>
    <row r="573" spans="1:17" ht="18" customHeight="1" x14ac:dyDescent="0.2">
      <c r="A573" s="45"/>
      <c r="B573" s="45"/>
      <c r="C573" s="56"/>
      <c r="D573" s="67" t="s">
        <v>496</v>
      </c>
      <c r="E573" s="57">
        <v>1</v>
      </c>
      <c r="F573" s="58">
        <v>321911</v>
      </c>
      <c r="G573" s="601">
        <f>0+táj2!G573</f>
        <v>0</v>
      </c>
      <c r="H573" s="601">
        <f>0+táj2!H573</f>
        <v>0</v>
      </c>
      <c r="I573" s="601">
        <f>0+táj2!I573</f>
        <v>0</v>
      </c>
      <c r="J573" s="601">
        <f>0+táj2!J573</f>
        <v>0</v>
      </c>
      <c r="K573" s="601">
        <f>144586323+táj2!K573</f>
        <v>144586323</v>
      </c>
      <c r="L573" s="601">
        <f>0+táj2!L573</f>
        <v>0</v>
      </c>
      <c r="M573" s="601">
        <f>0+táj2!M573</f>
        <v>0</v>
      </c>
      <c r="N573" s="601">
        <f>0+táj2!N573</f>
        <v>0</v>
      </c>
      <c r="O573" s="601">
        <f>0+táj2!O573</f>
        <v>0</v>
      </c>
      <c r="P573" s="601">
        <f>0+táj2!P573</f>
        <v>0</v>
      </c>
      <c r="Q573" s="578">
        <f t="shared" si="48"/>
        <v>144586323</v>
      </c>
    </row>
    <row r="574" spans="1:17" ht="24" customHeight="1" x14ac:dyDescent="0.2">
      <c r="A574" s="45"/>
      <c r="B574" s="45"/>
      <c r="C574" s="56"/>
      <c r="D574" s="67" t="s">
        <v>741</v>
      </c>
      <c r="E574" s="57">
        <v>1</v>
      </c>
      <c r="F574" s="58">
        <v>321928</v>
      </c>
      <c r="G574" s="601">
        <f>0+táj2!G574</f>
        <v>0</v>
      </c>
      <c r="H574" s="601">
        <f>0+táj2!H574</f>
        <v>0</v>
      </c>
      <c r="I574" s="601">
        <f>0+táj2!I574</f>
        <v>0</v>
      </c>
      <c r="J574" s="601">
        <f>0+táj2!J574</f>
        <v>0</v>
      </c>
      <c r="K574" s="601">
        <f>70000000+táj2!K574</f>
        <v>70000000</v>
      </c>
      <c r="L574" s="601">
        <f>0+táj2!L574</f>
        <v>0</v>
      </c>
      <c r="M574" s="601">
        <f>0+táj2!M574</f>
        <v>0</v>
      </c>
      <c r="N574" s="601">
        <f>0+táj2!N574</f>
        <v>0</v>
      </c>
      <c r="O574" s="601">
        <f>0+táj2!O574</f>
        <v>0</v>
      </c>
      <c r="P574" s="601">
        <f>0+táj2!P574</f>
        <v>0</v>
      </c>
      <c r="Q574" s="578">
        <f t="shared" si="48"/>
        <v>70000000</v>
      </c>
    </row>
    <row r="575" spans="1:17" ht="16.899999999999999" customHeight="1" x14ac:dyDescent="0.2">
      <c r="A575" s="45"/>
      <c r="B575" s="45"/>
      <c r="C575" s="56"/>
      <c r="D575" s="223" t="s">
        <v>497</v>
      </c>
      <c r="E575" s="48"/>
      <c r="F575" s="48"/>
      <c r="G575" s="601"/>
      <c r="H575" s="574"/>
      <c r="I575" s="574"/>
      <c r="J575" s="574"/>
      <c r="K575" s="601"/>
      <c r="L575" s="574"/>
      <c r="M575" s="578"/>
      <c r="N575" s="578"/>
      <c r="O575" s="578"/>
      <c r="P575" s="578"/>
      <c r="Q575" s="578"/>
    </row>
    <row r="576" spans="1:17" ht="18" customHeight="1" x14ac:dyDescent="0.2">
      <c r="A576" s="45"/>
      <c r="B576" s="45"/>
      <c r="C576" s="56" t="s">
        <v>83</v>
      </c>
      <c r="D576" s="525" t="s">
        <v>498</v>
      </c>
      <c r="E576" s="48">
        <v>1</v>
      </c>
      <c r="F576" s="48">
        <v>324902</v>
      </c>
      <c r="G576" s="601">
        <f>0+táj2!G576</f>
        <v>0</v>
      </c>
      <c r="H576" s="601">
        <f>0+táj2!H576</f>
        <v>0</v>
      </c>
      <c r="I576" s="601">
        <f>0+táj2!I576</f>
        <v>0</v>
      </c>
      <c r="J576" s="601">
        <f>0+táj2!J576</f>
        <v>0</v>
      </c>
      <c r="K576" s="601">
        <f>0+táj2!K576</f>
        <v>0</v>
      </c>
      <c r="L576" s="601">
        <f>0+táj2!L576</f>
        <v>0</v>
      </c>
      <c r="M576" s="601">
        <f>10000000+táj2!M576</f>
        <v>10000000</v>
      </c>
      <c r="N576" s="601">
        <f>0+táj2!N576</f>
        <v>0</v>
      </c>
      <c r="O576" s="601">
        <f>0+táj2!O576</f>
        <v>0</v>
      </c>
      <c r="P576" s="601">
        <f>0+táj2!P576</f>
        <v>0</v>
      </c>
      <c r="Q576" s="578">
        <f t="shared" si="48"/>
        <v>10000000</v>
      </c>
    </row>
    <row r="577" spans="1:17" ht="18" customHeight="1" x14ac:dyDescent="0.2">
      <c r="A577" s="45"/>
      <c r="B577" s="45"/>
      <c r="C577" s="249" t="s">
        <v>82</v>
      </c>
      <c r="D577" s="526" t="s">
        <v>742</v>
      </c>
      <c r="E577" s="46">
        <v>1</v>
      </c>
      <c r="F577" s="46">
        <v>322906</v>
      </c>
      <c r="G577" s="601">
        <f>0+táj2!G577</f>
        <v>0</v>
      </c>
      <c r="H577" s="601">
        <f>0+táj2!H577</f>
        <v>0</v>
      </c>
      <c r="I577" s="601">
        <f>0+táj2!I577</f>
        <v>0</v>
      </c>
      <c r="J577" s="601">
        <f>0+táj2!J577</f>
        <v>0</v>
      </c>
      <c r="K577" s="601">
        <f>0+táj2!K577</f>
        <v>0</v>
      </c>
      <c r="L577" s="601">
        <f>901400+táj2!L577</f>
        <v>901400</v>
      </c>
      <c r="M577" s="601">
        <f>0+táj2!M577</f>
        <v>0</v>
      </c>
      <c r="N577" s="601">
        <f>0+táj2!N577</f>
        <v>0</v>
      </c>
      <c r="O577" s="601">
        <f>0+táj2!O577</f>
        <v>0</v>
      </c>
      <c r="P577" s="601">
        <f>0+táj2!P577</f>
        <v>0</v>
      </c>
      <c r="Q577" s="578">
        <f t="shared" si="48"/>
        <v>901400</v>
      </c>
    </row>
    <row r="578" spans="1:17" ht="15.95" customHeight="1" x14ac:dyDescent="0.2">
      <c r="A578" s="136"/>
      <c r="B578" s="136"/>
      <c r="C578" s="215"/>
      <c r="D578" s="232" t="s">
        <v>499</v>
      </c>
      <c r="E578" s="64"/>
      <c r="F578" s="251"/>
      <c r="G578" s="588">
        <f>SUM(G566:G577)</f>
        <v>0</v>
      </c>
      <c r="H578" s="588">
        <f t="shared" ref="H578:Q578" si="49">SUM(H566:H577)</f>
        <v>0</v>
      </c>
      <c r="I578" s="588">
        <f t="shared" si="49"/>
        <v>0</v>
      </c>
      <c r="J578" s="588">
        <f t="shared" si="49"/>
        <v>0</v>
      </c>
      <c r="K578" s="588">
        <f t="shared" si="49"/>
        <v>573479232</v>
      </c>
      <c r="L578" s="588">
        <f t="shared" si="49"/>
        <v>901400</v>
      </c>
      <c r="M578" s="588">
        <f t="shared" si="49"/>
        <v>10000000</v>
      </c>
      <c r="N578" s="588">
        <f t="shared" si="49"/>
        <v>0</v>
      </c>
      <c r="O578" s="588">
        <f t="shared" si="49"/>
        <v>0</v>
      </c>
      <c r="P578" s="588">
        <f t="shared" si="49"/>
        <v>0</v>
      </c>
      <c r="Q578" s="588">
        <f t="shared" si="49"/>
        <v>584380632</v>
      </c>
    </row>
    <row r="579" spans="1:17" ht="21.75" customHeight="1" x14ac:dyDescent="0.2">
      <c r="A579" s="136"/>
      <c r="B579" s="136"/>
      <c r="C579" s="215"/>
      <c r="D579" s="252" t="s">
        <v>500</v>
      </c>
      <c r="E579" s="253"/>
      <c r="F579" s="254"/>
      <c r="G579" s="604">
        <f t="shared" ref="G579:Q579" si="50">SUM(G45+G185+G197+G325+G451+G469+G495+G524+G564+G578)</f>
        <v>649672093</v>
      </c>
      <c r="H579" s="604">
        <f t="shared" si="50"/>
        <v>116605436</v>
      </c>
      <c r="I579" s="604">
        <f t="shared" si="50"/>
        <v>6592870536</v>
      </c>
      <c r="J579" s="604">
        <f t="shared" si="50"/>
        <v>104295051</v>
      </c>
      <c r="K579" s="604">
        <f t="shared" si="50"/>
        <v>7721925936</v>
      </c>
      <c r="L579" s="604">
        <f t="shared" si="50"/>
        <v>8750715247</v>
      </c>
      <c r="M579" s="604">
        <f t="shared" si="50"/>
        <v>4462145274</v>
      </c>
      <c r="N579" s="604">
        <f t="shared" si="50"/>
        <v>126179089</v>
      </c>
      <c r="O579" s="604">
        <f t="shared" si="50"/>
        <v>617851268</v>
      </c>
      <c r="P579" s="604">
        <f t="shared" si="50"/>
        <v>5244127650</v>
      </c>
      <c r="Q579" s="604">
        <f t="shared" si="50"/>
        <v>34386387580</v>
      </c>
    </row>
    <row r="580" spans="1:17" ht="26.25" customHeight="1" x14ac:dyDescent="0.2">
      <c r="A580" s="45">
        <v>2</v>
      </c>
      <c r="B580" s="45"/>
      <c r="C580" s="45"/>
      <c r="D580" s="506" t="s">
        <v>142</v>
      </c>
      <c r="E580" s="46"/>
      <c r="F580" s="507"/>
      <c r="G580" s="605">
        <v>8437858865</v>
      </c>
      <c r="H580" s="605">
        <v>1233356328</v>
      </c>
      <c r="I580" s="605">
        <v>4256705912</v>
      </c>
      <c r="J580" s="605">
        <v>9452000</v>
      </c>
      <c r="K580" s="605">
        <v>135928265</v>
      </c>
      <c r="L580" s="605">
        <v>326481003</v>
      </c>
      <c r="M580" s="605">
        <v>60482095</v>
      </c>
      <c r="N580" s="605">
        <v>0</v>
      </c>
      <c r="O580" s="605"/>
      <c r="P580" s="605">
        <v>0</v>
      </c>
      <c r="Q580" s="605">
        <f>SUM(G580:P580)</f>
        <v>14460264468</v>
      </c>
    </row>
    <row r="581" spans="1:17" ht="15.95" customHeight="1" x14ac:dyDescent="0.2">
      <c r="A581" s="136"/>
      <c r="B581" s="136"/>
      <c r="C581" s="215"/>
      <c r="D581" s="232" t="s">
        <v>134</v>
      </c>
      <c r="E581" s="30"/>
      <c r="F581" s="31"/>
      <c r="G581" s="606">
        <f>SUM(G579:G580)</f>
        <v>9087530958</v>
      </c>
      <c r="H581" s="606">
        <f t="shared" ref="H581:P581" si="51">SUM(H579:H580)</f>
        <v>1349961764</v>
      </c>
      <c r="I581" s="606">
        <f t="shared" si="51"/>
        <v>10849576448</v>
      </c>
      <c r="J581" s="606">
        <f t="shared" si="51"/>
        <v>113747051</v>
      </c>
      <c r="K581" s="606">
        <f t="shared" si="51"/>
        <v>7857854201</v>
      </c>
      <c r="L581" s="606">
        <f t="shared" si="51"/>
        <v>9077196250</v>
      </c>
      <c r="M581" s="606">
        <f t="shared" si="51"/>
        <v>4522627369</v>
      </c>
      <c r="N581" s="606">
        <f t="shared" si="51"/>
        <v>126179089</v>
      </c>
      <c r="O581" s="606">
        <f t="shared" si="51"/>
        <v>617851268</v>
      </c>
      <c r="P581" s="606">
        <f t="shared" si="51"/>
        <v>5244127650</v>
      </c>
      <c r="Q581" s="606">
        <f>SUM(Q579:Q580)</f>
        <v>48846652048</v>
      </c>
    </row>
    <row r="582" spans="1:17" hidden="1" x14ac:dyDescent="0.2"/>
    <row r="583" spans="1:17" hidden="1" x14ac:dyDescent="0.2">
      <c r="K583" s="1" t="s">
        <v>1001</v>
      </c>
      <c r="N583" s="1">
        <f>SUM(G581:N581)</f>
        <v>42984673130</v>
      </c>
      <c r="P583" s="1">
        <f>SUM(O581:P581)</f>
        <v>5861978918</v>
      </c>
    </row>
  </sheetData>
  <sheetProtection selectLockedCells="1" selectUnlockedCells="1"/>
  <mergeCells count="11">
    <mergeCell ref="A1:A2"/>
    <mergeCell ref="B1:B2"/>
    <mergeCell ref="C1:C2"/>
    <mergeCell ref="D1:D2"/>
    <mergeCell ref="E1:E2"/>
    <mergeCell ref="G1:N1"/>
    <mergeCell ref="O1:P1"/>
    <mergeCell ref="Q1:Q2"/>
    <mergeCell ref="D325:E325"/>
    <mergeCell ref="D567:E567"/>
    <mergeCell ref="F1:F2"/>
  </mergeCells>
  <phoneticPr fontId="71" type="noConversion"/>
  <printOptions horizontalCentered="1" verticalCentered="1"/>
  <pageMargins left="3.937007874015748E-2" right="3.937007874015748E-2" top="0.6692913385826772" bottom="0.70866141732283472" header="0.23622047244094491" footer="0.11811023622047245"/>
  <pageSetup paperSize="9" scale="70" fitToHeight="12" orientation="landscape" r:id="rId1"/>
  <headerFooter alignWithMargins="0">
    <oddHeader>&amp;C&amp;"Times New Roman CE,Félkövér dőlt"ZALAEGERSZEG MEGYEI JOGÚ VÁROS ÖNKORMÁNYZATA
KIADÁSI ELŐIRÁNYZATAI 2026. ÉVBEN
&amp;R&amp;"Times New Roman CE,Félkövér dőlt"8. melléklet
Adatok forintban</oddHeader>
    <oddFooter>&amp;LFeladat jellege:
1=kötelező
2=önként vállalt
&amp;C&amp;P. oldal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M76"/>
  <sheetViews>
    <sheetView zoomScaleNormal="100" workbookViewId="0">
      <selection activeCell="G9" sqref="G9"/>
    </sheetView>
  </sheetViews>
  <sheetFormatPr defaultRowHeight="12.75" x14ac:dyDescent="0.2"/>
  <cols>
    <col min="1" max="1" width="7.33203125" style="802" customWidth="1"/>
    <col min="2" max="2" width="33.83203125" style="802" customWidth="1"/>
    <col min="3" max="3" width="9.83203125" style="802" customWidth="1"/>
    <col min="4" max="4" width="7.6640625" style="802" customWidth="1"/>
    <col min="5" max="5" width="13.33203125" style="802" bestFit="1" customWidth="1"/>
    <col min="6" max="6" width="14.1640625" style="802" customWidth="1"/>
    <col min="7" max="7" width="11.83203125" style="802" bestFit="1" customWidth="1"/>
    <col min="8" max="8" width="11" style="802" customWidth="1"/>
    <col min="9" max="9" width="11.83203125" style="802" bestFit="1" customWidth="1"/>
    <col min="10" max="10" width="10.83203125" style="802" bestFit="1" customWidth="1"/>
    <col min="11" max="11" width="12.33203125" style="802" customWidth="1"/>
    <col min="12" max="12" width="10.83203125" style="802" bestFit="1" customWidth="1"/>
    <col min="13" max="13" width="12.83203125" style="802" customWidth="1"/>
    <col min="14" max="254" width="9.33203125" style="802"/>
    <col min="255" max="255" width="7.33203125" style="802" customWidth="1"/>
    <col min="256" max="256" width="33.83203125" style="802" customWidth="1"/>
    <col min="257" max="257" width="9.83203125" style="802" customWidth="1"/>
    <col min="258" max="258" width="7.6640625" style="802" customWidth="1"/>
    <col min="259" max="259" width="10" style="802" customWidth="1"/>
    <col min="260" max="262" width="11.33203125" style="802" customWidth="1"/>
    <col min="263" max="263" width="10.33203125" style="802" customWidth="1"/>
    <col min="264" max="264" width="11" style="802" customWidth="1"/>
    <col min="265" max="265" width="11.6640625" style="802" customWidth="1"/>
    <col min="266" max="266" width="11" style="802" customWidth="1"/>
    <col min="267" max="267" width="11.33203125" style="802" customWidth="1"/>
    <col min="268" max="268" width="10.6640625" style="802" customWidth="1"/>
    <col min="269" max="269" width="12.83203125" style="802" customWidth="1"/>
    <col min="270" max="510" width="9.33203125" style="802"/>
    <col min="511" max="511" width="7.33203125" style="802" customWidth="1"/>
    <col min="512" max="512" width="33.83203125" style="802" customWidth="1"/>
    <col min="513" max="513" width="9.83203125" style="802" customWidth="1"/>
    <col min="514" max="514" width="7.6640625" style="802" customWidth="1"/>
    <col min="515" max="515" width="10" style="802" customWidth="1"/>
    <col min="516" max="518" width="11.33203125" style="802" customWidth="1"/>
    <col min="519" max="519" width="10.33203125" style="802" customWidth="1"/>
    <col min="520" max="520" width="11" style="802" customWidth="1"/>
    <col min="521" max="521" width="11.6640625" style="802" customWidth="1"/>
    <col min="522" max="522" width="11" style="802" customWidth="1"/>
    <col min="523" max="523" width="11.33203125" style="802" customWidth="1"/>
    <col min="524" max="524" width="10.6640625" style="802" customWidth="1"/>
    <col min="525" max="525" width="12.83203125" style="802" customWidth="1"/>
    <col min="526" max="766" width="9.33203125" style="802"/>
    <col min="767" max="767" width="7.33203125" style="802" customWidth="1"/>
    <col min="768" max="768" width="33.83203125" style="802" customWidth="1"/>
    <col min="769" max="769" width="9.83203125" style="802" customWidth="1"/>
    <col min="770" max="770" width="7.6640625" style="802" customWidth="1"/>
    <col min="771" max="771" width="10" style="802" customWidth="1"/>
    <col min="772" max="774" width="11.33203125" style="802" customWidth="1"/>
    <col min="775" max="775" width="10.33203125" style="802" customWidth="1"/>
    <col min="776" max="776" width="11" style="802" customWidth="1"/>
    <col min="777" max="777" width="11.6640625" style="802" customWidth="1"/>
    <col min="778" max="778" width="11" style="802" customWidth="1"/>
    <col min="779" max="779" width="11.33203125" style="802" customWidth="1"/>
    <col min="780" max="780" width="10.6640625" style="802" customWidth="1"/>
    <col min="781" max="781" width="12.83203125" style="802" customWidth="1"/>
    <col min="782" max="1022" width="9.33203125" style="802"/>
    <col min="1023" max="1023" width="7.33203125" style="802" customWidth="1"/>
    <col min="1024" max="1024" width="33.83203125" style="802" customWidth="1"/>
    <col min="1025" max="1025" width="9.83203125" style="802" customWidth="1"/>
    <col min="1026" max="1026" width="7.6640625" style="802" customWidth="1"/>
    <col min="1027" max="1027" width="10" style="802" customWidth="1"/>
    <col min="1028" max="1030" width="11.33203125" style="802" customWidth="1"/>
    <col min="1031" max="1031" width="10.33203125" style="802" customWidth="1"/>
    <col min="1032" max="1032" width="11" style="802" customWidth="1"/>
    <col min="1033" max="1033" width="11.6640625" style="802" customWidth="1"/>
    <col min="1034" max="1034" width="11" style="802" customWidth="1"/>
    <col min="1035" max="1035" width="11.33203125" style="802" customWidth="1"/>
    <col min="1036" max="1036" width="10.6640625" style="802" customWidth="1"/>
    <col min="1037" max="1037" width="12.83203125" style="802" customWidth="1"/>
    <col min="1038" max="1278" width="9.33203125" style="802"/>
    <col min="1279" max="1279" width="7.33203125" style="802" customWidth="1"/>
    <col min="1280" max="1280" width="33.83203125" style="802" customWidth="1"/>
    <col min="1281" max="1281" width="9.83203125" style="802" customWidth="1"/>
    <col min="1282" max="1282" width="7.6640625" style="802" customWidth="1"/>
    <col min="1283" max="1283" width="10" style="802" customWidth="1"/>
    <col min="1284" max="1286" width="11.33203125" style="802" customWidth="1"/>
    <col min="1287" max="1287" width="10.33203125" style="802" customWidth="1"/>
    <col min="1288" max="1288" width="11" style="802" customWidth="1"/>
    <col min="1289" max="1289" width="11.6640625" style="802" customWidth="1"/>
    <col min="1290" max="1290" width="11" style="802" customWidth="1"/>
    <col min="1291" max="1291" width="11.33203125" style="802" customWidth="1"/>
    <col min="1292" max="1292" width="10.6640625" style="802" customWidth="1"/>
    <col min="1293" max="1293" width="12.83203125" style="802" customWidth="1"/>
    <col min="1294" max="1534" width="9.33203125" style="802"/>
    <col min="1535" max="1535" width="7.33203125" style="802" customWidth="1"/>
    <col min="1536" max="1536" width="33.83203125" style="802" customWidth="1"/>
    <col min="1537" max="1537" width="9.83203125" style="802" customWidth="1"/>
    <col min="1538" max="1538" width="7.6640625" style="802" customWidth="1"/>
    <col min="1539" max="1539" width="10" style="802" customWidth="1"/>
    <col min="1540" max="1542" width="11.33203125" style="802" customWidth="1"/>
    <col min="1543" max="1543" width="10.33203125" style="802" customWidth="1"/>
    <col min="1544" max="1544" width="11" style="802" customWidth="1"/>
    <col min="1545" max="1545" width="11.6640625" style="802" customWidth="1"/>
    <col min="1546" max="1546" width="11" style="802" customWidth="1"/>
    <col min="1547" max="1547" width="11.33203125" style="802" customWidth="1"/>
    <col min="1548" max="1548" width="10.6640625" style="802" customWidth="1"/>
    <col min="1549" max="1549" width="12.83203125" style="802" customWidth="1"/>
    <col min="1550" max="1790" width="9.33203125" style="802"/>
    <col min="1791" max="1791" width="7.33203125" style="802" customWidth="1"/>
    <col min="1792" max="1792" width="33.83203125" style="802" customWidth="1"/>
    <col min="1793" max="1793" width="9.83203125" style="802" customWidth="1"/>
    <col min="1794" max="1794" width="7.6640625" style="802" customWidth="1"/>
    <col min="1795" max="1795" width="10" style="802" customWidth="1"/>
    <col min="1796" max="1798" width="11.33203125" style="802" customWidth="1"/>
    <col min="1799" max="1799" width="10.33203125" style="802" customWidth="1"/>
    <col min="1800" max="1800" width="11" style="802" customWidth="1"/>
    <col min="1801" max="1801" width="11.6640625" style="802" customWidth="1"/>
    <col min="1802" max="1802" width="11" style="802" customWidth="1"/>
    <col min="1803" max="1803" width="11.33203125" style="802" customWidth="1"/>
    <col min="1804" max="1804" width="10.6640625" style="802" customWidth="1"/>
    <col min="1805" max="1805" width="12.83203125" style="802" customWidth="1"/>
    <col min="1806" max="2046" width="9.33203125" style="802"/>
    <col min="2047" max="2047" width="7.33203125" style="802" customWidth="1"/>
    <col min="2048" max="2048" width="33.83203125" style="802" customWidth="1"/>
    <col min="2049" max="2049" width="9.83203125" style="802" customWidth="1"/>
    <col min="2050" max="2050" width="7.6640625" style="802" customWidth="1"/>
    <col min="2051" max="2051" width="10" style="802" customWidth="1"/>
    <col min="2052" max="2054" width="11.33203125" style="802" customWidth="1"/>
    <col min="2055" max="2055" width="10.33203125" style="802" customWidth="1"/>
    <col min="2056" max="2056" width="11" style="802" customWidth="1"/>
    <col min="2057" max="2057" width="11.6640625" style="802" customWidth="1"/>
    <col min="2058" max="2058" width="11" style="802" customWidth="1"/>
    <col min="2059" max="2059" width="11.33203125" style="802" customWidth="1"/>
    <col min="2060" max="2060" width="10.6640625" style="802" customWidth="1"/>
    <col min="2061" max="2061" width="12.83203125" style="802" customWidth="1"/>
    <col min="2062" max="2302" width="9.33203125" style="802"/>
    <col min="2303" max="2303" width="7.33203125" style="802" customWidth="1"/>
    <col min="2304" max="2304" width="33.83203125" style="802" customWidth="1"/>
    <col min="2305" max="2305" width="9.83203125" style="802" customWidth="1"/>
    <col min="2306" max="2306" width="7.6640625" style="802" customWidth="1"/>
    <col min="2307" max="2307" width="10" style="802" customWidth="1"/>
    <col min="2308" max="2310" width="11.33203125" style="802" customWidth="1"/>
    <col min="2311" max="2311" width="10.33203125" style="802" customWidth="1"/>
    <col min="2312" max="2312" width="11" style="802" customWidth="1"/>
    <col min="2313" max="2313" width="11.6640625" style="802" customWidth="1"/>
    <col min="2314" max="2314" width="11" style="802" customWidth="1"/>
    <col min="2315" max="2315" width="11.33203125" style="802" customWidth="1"/>
    <col min="2316" max="2316" width="10.6640625" style="802" customWidth="1"/>
    <col min="2317" max="2317" width="12.83203125" style="802" customWidth="1"/>
    <col min="2318" max="2558" width="9.33203125" style="802"/>
    <col min="2559" max="2559" width="7.33203125" style="802" customWidth="1"/>
    <col min="2560" max="2560" width="33.83203125" style="802" customWidth="1"/>
    <col min="2561" max="2561" width="9.83203125" style="802" customWidth="1"/>
    <col min="2562" max="2562" width="7.6640625" style="802" customWidth="1"/>
    <col min="2563" max="2563" width="10" style="802" customWidth="1"/>
    <col min="2564" max="2566" width="11.33203125" style="802" customWidth="1"/>
    <col min="2567" max="2567" width="10.33203125" style="802" customWidth="1"/>
    <col min="2568" max="2568" width="11" style="802" customWidth="1"/>
    <col min="2569" max="2569" width="11.6640625" style="802" customWidth="1"/>
    <col min="2570" max="2570" width="11" style="802" customWidth="1"/>
    <col min="2571" max="2571" width="11.33203125" style="802" customWidth="1"/>
    <col min="2572" max="2572" width="10.6640625" style="802" customWidth="1"/>
    <col min="2573" max="2573" width="12.83203125" style="802" customWidth="1"/>
    <col min="2574" max="2814" width="9.33203125" style="802"/>
    <col min="2815" max="2815" width="7.33203125" style="802" customWidth="1"/>
    <col min="2816" max="2816" width="33.83203125" style="802" customWidth="1"/>
    <col min="2817" max="2817" width="9.83203125" style="802" customWidth="1"/>
    <col min="2818" max="2818" width="7.6640625" style="802" customWidth="1"/>
    <col min="2819" max="2819" width="10" style="802" customWidth="1"/>
    <col min="2820" max="2822" width="11.33203125" style="802" customWidth="1"/>
    <col min="2823" max="2823" width="10.33203125" style="802" customWidth="1"/>
    <col min="2824" max="2824" width="11" style="802" customWidth="1"/>
    <col min="2825" max="2825" width="11.6640625" style="802" customWidth="1"/>
    <col min="2826" max="2826" width="11" style="802" customWidth="1"/>
    <col min="2827" max="2827" width="11.33203125" style="802" customWidth="1"/>
    <col min="2828" max="2828" width="10.6640625" style="802" customWidth="1"/>
    <col min="2829" max="2829" width="12.83203125" style="802" customWidth="1"/>
    <col min="2830" max="3070" width="9.33203125" style="802"/>
    <col min="3071" max="3071" width="7.33203125" style="802" customWidth="1"/>
    <col min="3072" max="3072" width="33.83203125" style="802" customWidth="1"/>
    <col min="3073" max="3073" width="9.83203125" style="802" customWidth="1"/>
    <col min="3074" max="3074" width="7.6640625" style="802" customWidth="1"/>
    <col min="3075" max="3075" width="10" style="802" customWidth="1"/>
    <col min="3076" max="3078" width="11.33203125" style="802" customWidth="1"/>
    <col min="3079" max="3079" width="10.33203125" style="802" customWidth="1"/>
    <col min="3080" max="3080" width="11" style="802" customWidth="1"/>
    <col min="3081" max="3081" width="11.6640625" style="802" customWidth="1"/>
    <col min="3082" max="3082" width="11" style="802" customWidth="1"/>
    <col min="3083" max="3083" width="11.33203125" style="802" customWidth="1"/>
    <col min="3084" max="3084" width="10.6640625" style="802" customWidth="1"/>
    <col min="3085" max="3085" width="12.83203125" style="802" customWidth="1"/>
    <col min="3086" max="3326" width="9.33203125" style="802"/>
    <col min="3327" max="3327" width="7.33203125" style="802" customWidth="1"/>
    <col min="3328" max="3328" width="33.83203125" style="802" customWidth="1"/>
    <col min="3329" max="3329" width="9.83203125" style="802" customWidth="1"/>
    <col min="3330" max="3330" width="7.6640625" style="802" customWidth="1"/>
    <col min="3331" max="3331" width="10" style="802" customWidth="1"/>
    <col min="3332" max="3334" width="11.33203125" style="802" customWidth="1"/>
    <col min="3335" max="3335" width="10.33203125" style="802" customWidth="1"/>
    <col min="3336" max="3336" width="11" style="802" customWidth="1"/>
    <col min="3337" max="3337" width="11.6640625" style="802" customWidth="1"/>
    <col min="3338" max="3338" width="11" style="802" customWidth="1"/>
    <col min="3339" max="3339" width="11.33203125" style="802" customWidth="1"/>
    <col min="3340" max="3340" width="10.6640625" style="802" customWidth="1"/>
    <col min="3341" max="3341" width="12.83203125" style="802" customWidth="1"/>
    <col min="3342" max="3582" width="9.33203125" style="802"/>
    <col min="3583" max="3583" width="7.33203125" style="802" customWidth="1"/>
    <col min="3584" max="3584" width="33.83203125" style="802" customWidth="1"/>
    <col min="3585" max="3585" width="9.83203125" style="802" customWidth="1"/>
    <col min="3586" max="3586" width="7.6640625" style="802" customWidth="1"/>
    <col min="3587" max="3587" width="10" style="802" customWidth="1"/>
    <col min="3588" max="3590" width="11.33203125" style="802" customWidth="1"/>
    <col min="3591" max="3591" width="10.33203125" style="802" customWidth="1"/>
    <col min="3592" max="3592" width="11" style="802" customWidth="1"/>
    <col min="3593" max="3593" width="11.6640625" style="802" customWidth="1"/>
    <col min="3594" max="3594" width="11" style="802" customWidth="1"/>
    <col min="3595" max="3595" width="11.33203125" style="802" customWidth="1"/>
    <col min="3596" max="3596" width="10.6640625" style="802" customWidth="1"/>
    <col min="3597" max="3597" width="12.83203125" style="802" customWidth="1"/>
    <col min="3598" max="3838" width="9.33203125" style="802"/>
    <col min="3839" max="3839" width="7.33203125" style="802" customWidth="1"/>
    <col min="3840" max="3840" width="33.83203125" style="802" customWidth="1"/>
    <col min="3841" max="3841" width="9.83203125" style="802" customWidth="1"/>
    <col min="3842" max="3842" width="7.6640625" style="802" customWidth="1"/>
    <col min="3843" max="3843" width="10" style="802" customWidth="1"/>
    <col min="3844" max="3846" width="11.33203125" style="802" customWidth="1"/>
    <col min="3847" max="3847" width="10.33203125" style="802" customWidth="1"/>
    <col min="3848" max="3848" width="11" style="802" customWidth="1"/>
    <col min="3849" max="3849" width="11.6640625" style="802" customWidth="1"/>
    <col min="3850" max="3850" width="11" style="802" customWidth="1"/>
    <col min="3851" max="3851" width="11.33203125" style="802" customWidth="1"/>
    <col min="3852" max="3852" width="10.6640625" style="802" customWidth="1"/>
    <col min="3853" max="3853" width="12.83203125" style="802" customWidth="1"/>
    <col min="3854" max="4094" width="9.33203125" style="802"/>
    <col min="4095" max="4095" width="7.33203125" style="802" customWidth="1"/>
    <col min="4096" max="4096" width="33.83203125" style="802" customWidth="1"/>
    <col min="4097" max="4097" width="9.83203125" style="802" customWidth="1"/>
    <col min="4098" max="4098" width="7.6640625" style="802" customWidth="1"/>
    <col min="4099" max="4099" width="10" style="802" customWidth="1"/>
    <col min="4100" max="4102" width="11.33203125" style="802" customWidth="1"/>
    <col min="4103" max="4103" width="10.33203125" style="802" customWidth="1"/>
    <col min="4104" max="4104" width="11" style="802" customWidth="1"/>
    <col min="4105" max="4105" width="11.6640625" style="802" customWidth="1"/>
    <col min="4106" max="4106" width="11" style="802" customWidth="1"/>
    <col min="4107" max="4107" width="11.33203125" style="802" customWidth="1"/>
    <col min="4108" max="4108" width="10.6640625" style="802" customWidth="1"/>
    <col min="4109" max="4109" width="12.83203125" style="802" customWidth="1"/>
    <col min="4110" max="4350" width="9.33203125" style="802"/>
    <col min="4351" max="4351" width="7.33203125" style="802" customWidth="1"/>
    <col min="4352" max="4352" width="33.83203125" style="802" customWidth="1"/>
    <col min="4353" max="4353" width="9.83203125" style="802" customWidth="1"/>
    <col min="4354" max="4354" width="7.6640625" style="802" customWidth="1"/>
    <col min="4355" max="4355" width="10" style="802" customWidth="1"/>
    <col min="4356" max="4358" width="11.33203125" style="802" customWidth="1"/>
    <col min="4359" max="4359" width="10.33203125" style="802" customWidth="1"/>
    <col min="4360" max="4360" width="11" style="802" customWidth="1"/>
    <col min="4361" max="4361" width="11.6640625" style="802" customWidth="1"/>
    <col min="4362" max="4362" width="11" style="802" customWidth="1"/>
    <col min="4363" max="4363" width="11.33203125" style="802" customWidth="1"/>
    <col min="4364" max="4364" width="10.6640625" style="802" customWidth="1"/>
    <col min="4365" max="4365" width="12.83203125" style="802" customWidth="1"/>
    <col min="4366" max="4606" width="9.33203125" style="802"/>
    <col min="4607" max="4607" width="7.33203125" style="802" customWidth="1"/>
    <col min="4608" max="4608" width="33.83203125" style="802" customWidth="1"/>
    <col min="4609" max="4609" width="9.83203125" style="802" customWidth="1"/>
    <col min="4610" max="4610" width="7.6640625" style="802" customWidth="1"/>
    <col min="4611" max="4611" width="10" style="802" customWidth="1"/>
    <col min="4612" max="4614" width="11.33203125" style="802" customWidth="1"/>
    <col min="4615" max="4615" width="10.33203125" style="802" customWidth="1"/>
    <col min="4616" max="4616" width="11" style="802" customWidth="1"/>
    <col min="4617" max="4617" width="11.6640625" style="802" customWidth="1"/>
    <col min="4618" max="4618" width="11" style="802" customWidth="1"/>
    <col min="4619" max="4619" width="11.33203125" style="802" customWidth="1"/>
    <col min="4620" max="4620" width="10.6640625" style="802" customWidth="1"/>
    <col min="4621" max="4621" width="12.83203125" style="802" customWidth="1"/>
    <col min="4622" max="4862" width="9.33203125" style="802"/>
    <col min="4863" max="4863" width="7.33203125" style="802" customWidth="1"/>
    <col min="4864" max="4864" width="33.83203125" style="802" customWidth="1"/>
    <col min="4865" max="4865" width="9.83203125" style="802" customWidth="1"/>
    <col min="4866" max="4866" width="7.6640625" style="802" customWidth="1"/>
    <col min="4867" max="4867" width="10" style="802" customWidth="1"/>
    <col min="4868" max="4870" width="11.33203125" style="802" customWidth="1"/>
    <col min="4871" max="4871" width="10.33203125" style="802" customWidth="1"/>
    <col min="4872" max="4872" width="11" style="802" customWidth="1"/>
    <col min="4873" max="4873" width="11.6640625" style="802" customWidth="1"/>
    <col min="4874" max="4874" width="11" style="802" customWidth="1"/>
    <col min="4875" max="4875" width="11.33203125" style="802" customWidth="1"/>
    <col min="4876" max="4876" width="10.6640625" style="802" customWidth="1"/>
    <col min="4877" max="4877" width="12.83203125" style="802" customWidth="1"/>
    <col min="4878" max="5118" width="9.33203125" style="802"/>
    <col min="5119" max="5119" width="7.33203125" style="802" customWidth="1"/>
    <col min="5120" max="5120" width="33.83203125" style="802" customWidth="1"/>
    <col min="5121" max="5121" width="9.83203125" style="802" customWidth="1"/>
    <col min="5122" max="5122" width="7.6640625" style="802" customWidth="1"/>
    <col min="5123" max="5123" width="10" style="802" customWidth="1"/>
    <col min="5124" max="5126" width="11.33203125" style="802" customWidth="1"/>
    <col min="5127" max="5127" width="10.33203125" style="802" customWidth="1"/>
    <col min="5128" max="5128" width="11" style="802" customWidth="1"/>
    <col min="5129" max="5129" width="11.6640625" style="802" customWidth="1"/>
    <col min="5130" max="5130" width="11" style="802" customWidth="1"/>
    <col min="5131" max="5131" width="11.33203125" style="802" customWidth="1"/>
    <col min="5132" max="5132" width="10.6640625" style="802" customWidth="1"/>
    <col min="5133" max="5133" width="12.83203125" style="802" customWidth="1"/>
    <col min="5134" max="5374" width="9.33203125" style="802"/>
    <col min="5375" max="5375" width="7.33203125" style="802" customWidth="1"/>
    <col min="5376" max="5376" width="33.83203125" style="802" customWidth="1"/>
    <col min="5377" max="5377" width="9.83203125" style="802" customWidth="1"/>
    <col min="5378" max="5378" width="7.6640625" style="802" customWidth="1"/>
    <col min="5379" max="5379" width="10" style="802" customWidth="1"/>
    <col min="5380" max="5382" width="11.33203125" style="802" customWidth="1"/>
    <col min="5383" max="5383" width="10.33203125" style="802" customWidth="1"/>
    <col min="5384" max="5384" width="11" style="802" customWidth="1"/>
    <col min="5385" max="5385" width="11.6640625" style="802" customWidth="1"/>
    <col min="5386" max="5386" width="11" style="802" customWidth="1"/>
    <col min="5387" max="5387" width="11.33203125" style="802" customWidth="1"/>
    <col min="5388" max="5388" width="10.6640625" style="802" customWidth="1"/>
    <col min="5389" max="5389" width="12.83203125" style="802" customWidth="1"/>
    <col min="5390" max="5630" width="9.33203125" style="802"/>
    <col min="5631" max="5631" width="7.33203125" style="802" customWidth="1"/>
    <col min="5632" max="5632" width="33.83203125" style="802" customWidth="1"/>
    <col min="5633" max="5633" width="9.83203125" style="802" customWidth="1"/>
    <col min="5634" max="5634" width="7.6640625" style="802" customWidth="1"/>
    <col min="5635" max="5635" width="10" style="802" customWidth="1"/>
    <col min="5636" max="5638" width="11.33203125" style="802" customWidth="1"/>
    <col min="5639" max="5639" width="10.33203125" style="802" customWidth="1"/>
    <col min="5640" max="5640" width="11" style="802" customWidth="1"/>
    <col min="5641" max="5641" width="11.6640625" style="802" customWidth="1"/>
    <col min="5642" max="5642" width="11" style="802" customWidth="1"/>
    <col min="5643" max="5643" width="11.33203125" style="802" customWidth="1"/>
    <col min="5644" max="5644" width="10.6640625" style="802" customWidth="1"/>
    <col min="5645" max="5645" width="12.83203125" style="802" customWidth="1"/>
    <col min="5646" max="5886" width="9.33203125" style="802"/>
    <col min="5887" max="5887" width="7.33203125" style="802" customWidth="1"/>
    <col min="5888" max="5888" width="33.83203125" style="802" customWidth="1"/>
    <col min="5889" max="5889" width="9.83203125" style="802" customWidth="1"/>
    <col min="5890" max="5890" width="7.6640625" style="802" customWidth="1"/>
    <col min="5891" max="5891" width="10" style="802" customWidth="1"/>
    <col min="5892" max="5894" width="11.33203125" style="802" customWidth="1"/>
    <col min="5895" max="5895" width="10.33203125" style="802" customWidth="1"/>
    <col min="5896" max="5896" width="11" style="802" customWidth="1"/>
    <col min="5897" max="5897" width="11.6640625" style="802" customWidth="1"/>
    <col min="5898" max="5898" width="11" style="802" customWidth="1"/>
    <col min="5899" max="5899" width="11.33203125" style="802" customWidth="1"/>
    <col min="5900" max="5900" width="10.6640625" style="802" customWidth="1"/>
    <col min="5901" max="5901" width="12.83203125" style="802" customWidth="1"/>
    <col min="5902" max="6142" width="9.33203125" style="802"/>
    <col min="6143" max="6143" width="7.33203125" style="802" customWidth="1"/>
    <col min="6144" max="6144" width="33.83203125" style="802" customWidth="1"/>
    <col min="6145" max="6145" width="9.83203125" style="802" customWidth="1"/>
    <col min="6146" max="6146" width="7.6640625" style="802" customWidth="1"/>
    <col min="6147" max="6147" width="10" style="802" customWidth="1"/>
    <col min="6148" max="6150" width="11.33203125" style="802" customWidth="1"/>
    <col min="6151" max="6151" width="10.33203125" style="802" customWidth="1"/>
    <col min="6152" max="6152" width="11" style="802" customWidth="1"/>
    <col min="6153" max="6153" width="11.6640625" style="802" customWidth="1"/>
    <col min="6154" max="6154" width="11" style="802" customWidth="1"/>
    <col min="6155" max="6155" width="11.33203125" style="802" customWidth="1"/>
    <col min="6156" max="6156" width="10.6640625" style="802" customWidth="1"/>
    <col min="6157" max="6157" width="12.83203125" style="802" customWidth="1"/>
    <col min="6158" max="6398" width="9.33203125" style="802"/>
    <col min="6399" max="6399" width="7.33203125" style="802" customWidth="1"/>
    <col min="6400" max="6400" width="33.83203125" style="802" customWidth="1"/>
    <col min="6401" max="6401" width="9.83203125" style="802" customWidth="1"/>
    <col min="6402" max="6402" width="7.6640625" style="802" customWidth="1"/>
    <col min="6403" max="6403" width="10" style="802" customWidth="1"/>
    <col min="6404" max="6406" width="11.33203125" style="802" customWidth="1"/>
    <col min="6407" max="6407" width="10.33203125" style="802" customWidth="1"/>
    <col min="6408" max="6408" width="11" style="802" customWidth="1"/>
    <col min="6409" max="6409" width="11.6640625" style="802" customWidth="1"/>
    <col min="6410" max="6410" width="11" style="802" customWidth="1"/>
    <col min="6411" max="6411" width="11.33203125" style="802" customWidth="1"/>
    <col min="6412" max="6412" width="10.6640625" style="802" customWidth="1"/>
    <col min="6413" max="6413" width="12.83203125" style="802" customWidth="1"/>
    <col min="6414" max="6654" width="9.33203125" style="802"/>
    <col min="6655" max="6655" width="7.33203125" style="802" customWidth="1"/>
    <col min="6656" max="6656" width="33.83203125" style="802" customWidth="1"/>
    <col min="6657" max="6657" width="9.83203125" style="802" customWidth="1"/>
    <col min="6658" max="6658" width="7.6640625" style="802" customWidth="1"/>
    <col min="6659" max="6659" width="10" style="802" customWidth="1"/>
    <col min="6660" max="6662" width="11.33203125" style="802" customWidth="1"/>
    <col min="6663" max="6663" width="10.33203125" style="802" customWidth="1"/>
    <col min="6664" max="6664" width="11" style="802" customWidth="1"/>
    <col min="6665" max="6665" width="11.6640625" style="802" customWidth="1"/>
    <col min="6666" max="6666" width="11" style="802" customWidth="1"/>
    <col min="6667" max="6667" width="11.33203125" style="802" customWidth="1"/>
    <col min="6668" max="6668" width="10.6640625" style="802" customWidth="1"/>
    <col min="6669" max="6669" width="12.83203125" style="802" customWidth="1"/>
    <col min="6670" max="6910" width="9.33203125" style="802"/>
    <col min="6911" max="6911" width="7.33203125" style="802" customWidth="1"/>
    <col min="6912" max="6912" width="33.83203125" style="802" customWidth="1"/>
    <col min="6913" max="6913" width="9.83203125" style="802" customWidth="1"/>
    <col min="6914" max="6914" width="7.6640625" style="802" customWidth="1"/>
    <col min="6915" max="6915" width="10" style="802" customWidth="1"/>
    <col min="6916" max="6918" width="11.33203125" style="802" customWidth="1"/>
    <col min="6919" max="6919" width="10.33203125" style="802" customWidth="1"/>
    <col min="6920" max="6920" width="11" style="802" customWidth="1"/>
    <col min="6921" max="6921" width="11.6640625" style="802" customWidth="1"/>
    <col min="6922" max="6922" width="11" style="802" customWidth="1"/>
    <col min="6923" max="6923" width="11.33203125" style="802" customWidth="1"/>
    <col min="6924" max="6924" width="10.6640625" style="802" customWidth="1"/>
    <col min="6925" max="6925" width="12.83203125" style="802" customWidth="1"/>
    <col min="6926" max="7166" width="9.33203125" style="802"/>
    <col min="7167" max="7167" width="7.33203125" style="802" customWidth="1"/>
    <col min="7168" max="7168" width="33.83203125" style="802" customWidth="1"/>
    <col min="7169" max="7169" width="9.83203125" style="802" customWidth="1"/>
    <col min="7170" max="7170" width="7.6640625" style="802" customWidth="1"/>
    <col min="7171" max="7171" width="10" style="802" customWidth="1"/>
    <col min="7172" max="7174" width="11.33203125" style="802" customWidth="1"/>
    <col min="7175" max="7175" width="10.33203125" style="802" customWidth="1"/>
    <col min="7176" max="7176" width="11" style="802" customWidth="1"/>
    <col min="7177" max="7177" width="11.6640625" style="802" customWidth="1"/>
    <col min="7178" max="7178" width="11" style="802" customWidth="1"/>
    <col min="7179" max="7179" width="11.33203125" style="802" customWidth="1"/>
    <col min="7180" max="7180" width="10.6640625" style="802" customWidth="1"/>
    <col min="7181" max="7181" width="12.83203125" style="802" customWidth="1"/>
    <col min="7182" max="7422" width="9.33203125" style="802"/>
    <col min="7423" max="7423" width="7.33203125" style="802" customWidth="1"/>
    <col min="7424" max="7424" width="33.83203125" style="802" customWidth="1"/>
    <col min="7425" max="7425" width="9.83203125" style="802" customWidth="1"/>
    <col min="7426" max="7426" width="7.6640625" style="802" customWidth="1"/>
    <col min="7427" max="7427" width="10" style="802" customWidth="1"/>
    <col min="7428" max="7430" width="11.33203125" style="802" customWidth="1"/>
    <col min="7431" max="7431" width="10.33203125" style="802" customWidth="1"/>
    <col min="7432" max="7432" width="11" style="802" customWidth="1"/>
    <col min="7433" max="7433" width="11.6640625" style="802" customWidth="1"/>
    <col min="7434" max="7434" width="11" style="802" customWidth="1"/>
    <col min="7435" max="7435" width="11.33203125" style="802" customWidth="1"/>
    <col min="7436" max="7436" width="10.6640625" style="802" customWidth="1"/>
    <col min="7437" max="7437" width="12.83203125" style="802" customWidth="1"/>
    <col min="7438" max="7678" width="9.33203125" style="802"/>
    <col min="7679" max="7679" width="7.33203125" style="802" customWidth="1"/>
    <col min="7680" max="7680" width="33.83203125" style="802" customWidth="1"/>
    <col min="7681" max="7681" width="9.83203125" style="802" customWidth="1"/>
    <col min="7682" max="7682" width="7.6640625" style="802" customWidth="1"/>
    <col min="7683" max="7683" width="10" style="802" customWidth="1"/>
    <col min="7684" max="7686" width="11.33203125" style="802" customWidth="1"/>
    <col min="7687" max="7687" width="10.33203125" style="802" customWidth="1"/>
    <col min="7688" max="7688" width="11" style="802" customWidth="1"/>
    <col min="7689" max="7689" width="11.6640625" style="802" customWidth="1"/>
    <col min="7690" max="7690" width="11" style="802" customWidth="1"/>
    <col min="7691" max="7691" width="11.33203125" style="802" customWidth="1"/>
    <col min="7692" max="7692" width="10.6640625" style="802" customWidth="1"/>
    <col min="7693" max="7693" width="12.83203125" style="802" customWidth="1"/>
    <col min="7694" max="7934" width="9.33203125" style="802"/>
    <col min="7935" max="7935" width="7.33203125" style="802" customWidth="1"/>
    <col min="7936" max="7936" width="33.83203125" style="802" customWidth="1"/>
    <col min="7937" max="7937" width="9.83203125" style="802" customWidth="1"/>
    <col min="7938" max="7938" width="7.6640625" style="802" customWidth="1"/>
    <col min="7939" max="7939" width="10" style="802" customWidth="1"/>
    <col min="7940" max="7942" width="11.33203125" style="802" customWidth="1"/>
    <col min="7943" max="7943" width="10.33203125" style="802" customWidth="1"/>
    <col min="7944" max="7944" width="11" style="802" customWidth="1"/>
    <col min="7945" max="7945" width="11.6640625" style="802" customWidth="1"/>
    <col min="7946" max="7946" width="11" style="802" customWidth="1"/>
    <col min="7947" max="7947" width="11.33203125" style="802" customWidth="1"/>
    <col min="7948" max="7948" width="10.6640625" style="802" customWidth="1"/>
    <col min="7949" max="7949" width="12.83203125" style="802" customWidth="1"/>
    <col min="7950" max="8190" width="9.33203125" style="802"/>
    <col min="8191" max="8191" width="7.33203125" style="802" customWidth="1"/>
    <col min="8192" max="8192" width="33.83203125" style="802" customWidth="1"/>
    <col min="8193" max="8193" width="9.83203125" style="802" customWidth="1"/>
    <col min="8194" max="8194" width="7.6640625" style="802" customWidth="1"/>
    <col min="8195" max="8195" width="10" style="802" customWidth="1"/>
    <col min="8196" max="8198" width="11.33203125" style="802" customWidth="1"/>
    <col min="8199" max="8199" width="10.33203125" style="802" customWidth="1"/>
    <col min="8200" max="8200" width="11" style="802" customWidth="1"/>
    <col min="8201" max="8201" width="11.6640625" style="802" customWidth="1"/>
    <col min="8202" max="8202" width="11" style="802" customWidth="1"/>
    <col min="8203" max="8203" width="11.33203125" style="802" customWidth="1"/>
    <col min="8204" max="8204" width="10.6640625" style="802" customWidth="1"/>
    <col min="8205" max="8205" width="12.83203125" style="802" customWidth="1"/>
    <col min="8206" max="8446" width="9.33203125" style="802"/>
    <col min="8447" max="8447" width="7.33203125" style="802" customWidth="1"/>
    <col min="8448" max="8448" width="33.83203125" style="802" customWidth="1"/>
    <col min="8449" max="8449" width="9.83203125" style="802" customWidth="1"/>
    <col min="8450" max="8450" width="7.6640625" style="802" customWidth="1"/>
    <col min="8451" max="8451" width="10" style="802" customWidth="1"/>
    <col min="8452" max="8454" width="11.33203125" style="802" customWidth="1"/>
    <col min="8455" max="8455" width="10.33203125" style="802" customWidth="1"/>
    <col min="8456" max="8456" width="11" style="802" customWidth="1"/>
    <col min="8457" max="8457" width="11.6640625" style="802" customWidth="1"/>
    <col min="8458" max="8458" width="11" style="802" customWidth="1"/>
    <col min="8459" max="8459" width="11.33203125" style="802" customWidth="1"/>
    <col min="8460" max="8460" width="10.6640625" style="802" customWidth="1"/>
    <col min="8461" max="8461" width="12.83203125" style="802" customWidth="1"/>
    <col min="8462" max="8702" width="9.33203125" style="802"/>
    <col min="8703" max="8703" width="7.33203125" style="802" customWidth="1"/>
    <col min="8704" max="8704" width="33.83203125" style="802" customWidth="1"/>
    <col min="8705" max="8705" width="9.83203125" style="802" customWidth="1"/>
    <col min="8706" max="8706" width="7.6640625" style="802" customWidth="1"/>
    <col min="8707" max="8707" width="10" style="802" customWidth="1"/>
    <col min="8708" max="8710" width="11.33203125" style="802" customWidth="1"/>
    <col min="8711" max="8711" width="10.33203125" style="802" customWidth="1"/>
    <col min="8712" max="8712" width="11" style="802" customWidth="1"/>
    <col min="8713" max="8713" width="11.6640625" style="802" customWidth="1"/>
    <col min="8714" max="8714" width="11" style="802" customWidth="1"/>
    <col min="8715" max="8715" width="11.33203125" style="802" customWidth="1"/>
    <col min="8716" max="8716" width="10.6640625" style="802" customWidth="1"/>
    <col min="8717" max="8717" width="12.83203125" style="802" customWidth="1"/>
    <col min="8718" max="8958" width="9.33203125" style="802"/>
    <col min="8959" max="8959" width="7.33203125" style="802" customWidth="1"/>
    <col min="8960" max="8960" width="33.83203125" style="802" customWidth="1"/>
    <col min="8961" max="8961" width="9.83203125" style="802" customWidth="1"/>
    <col min="8962" max="8962" width="7.6640625" style="802" customWidth="1"/>
    <col min="8963" max="8963" width="10" style="802" customWidth="1"/>
    <col min="8964" max="8966" width="11.33203125" style="802" customWidth="1"/>
    <col min="8967" max="8967" width="10.33203125" style="802" customWidth="1"/>
    <col min="8968" max="8968" width="11" style="802" customWidth="1"/>
    <col min="8969" max="8969" width="11.6640625" style="802" customWidth="1"/>
    <col min="8970" max="8970" width="11" style="802" customWidth="1"/>
    <col min="8971" max="8971" width="11.33203125" style="802" customWidth="1"/>
    <col min="8972" max="8972" width="10.6640625" style="802" customWidth="1"/>
    <col min="8973" max="8973" width="12.83203125" style="802" customWidth="1"/>
    <col min="8974" max="9214" width="9.33203125" style="802"/>
    <col min="9215" max="9215" width="7.33203125" style="802" customWidth="1"/>
    <col min="9216" max="9216" width="33.83203125" style="802" customWidth="1"/>
    <col min="9217" max="9217" width="9.83203125" style="802" customWidth="1"/>
    <col min="9218" max="9218" width="7.6640625" style="802" customWidth="1"/>
    <col min="9219" max="9219" width="10" style="802" customWidth="1"/>
    <col min="9220" max="9222" width="11.33203125" style="802" customWidth="1"/>
    <col min="9223" max="9223" width="10.33203125" style="802" customWidth="1"/>
    <col min="9224" max="9224" width="11" style="802" customWidth="1"/>
    <col min="9225" max="9225" width="11.6640625" style="802" customWidth="1"/>
    <col min="9226" max="9226" width="11" style="802" customWidth="1"/>
    <col min="9227" max="9227" width="11.33203125" style="802" customWidth="1"/>
    <col min="9228" max="9228" width="10.6640625" style="802" customWidth="1"/>
    <col min="9229" max="9229" width="12.83203125" style="802" customWidth="1"/>
    <col min="9230" max="9470" width="9.33203125" style="802"/>
    <col min="9471" max="9471" width="7.33203125" style="802" customWidth="1"/>
    <col min="9472" max="9472" width="33.83203125" style="802" customWidth="1"/>
    <col min="9473" max="9473" width="9.83203125" style="802" customWidth="1"/>
    <col min="9474" max="9474" width="7.6640625" style="802" customWidth="1"/>
    <col min="9475" max="9475" width="10" style="802" customWidth="1"/>
    <col min="9476" max="9478" width="11.33203125" style="802" customWidth="1"/>
    <col min="9479" max="9479" width="10.33203125" style="802" customWidth="1"/>
    <col min="9480" max="9480" width="11" style="802" customWidth="1"/>
    <col min="9481" max="9481" width="11.6640625" style="802" customWidth="1"/>
    <col min="9482" max="9482" width="11" style="802" customWidth="1"/>
    <col min="9483" max="9483" width="11.33203125" style="802" customWidth="1"/>
    <col min="9484" max="9484" width="10.6640625" style="802" customWidth="1"/>
    <col min="9485" max="9485" width="12.83203125" style="802" customWidth="1"/>
    <col min="9486" max="9726" width="9.33203125" style="802"/>
    <col min="9727" max="9727" width="7.33203125" style="802" customWidth="1"/>
    <col min="9728" max="9728" width="33.83203125" style="802" customWidth="1"/>
    <col min="9729" max="9729" width="9.83203125" style="802" customWidth="1"/>
    <col min="9730" max="9730" width="7.6640625" style="802" customWidth="1"/>
    <col min="9731" max="9731" width="10" style="802" customWidth="1"/>
    <col min="9732" max="9734" width="11.33203125" style="802" customWidth="1"/>
    <col min="9735" max="9735" width="10.33203125" style="802" customWidth="1"/>
    <col min="9736" max="9736" width="11" style="802" customWidth="1"/>
    <col min="9737" max="9737" width="11.6640625" style="802" customWidth="1"/>
    <col min="9738" max="9738" width="11" style="802" customWidth="1"/>
    <col min="9739" max="9739" width="11.33203125" style="802" customWidth="1"/>
    <col min="9740" max="9740" width="10.6640625" style="802" customWidth="1"/>
    <col min="9741" max="9741" width="12.83203125" style="802" customWidth="1"/>
    <col min="9742" max="9982" width="9.33203125" style="802"/>
    <col min="9983" max="9983" width="7.33203125" style="802" customWidth="1"/>
    <col min="9984" max="9984" width="33.83203125" style="802" customWidth="1"/>
    <col min="9985" max="9985" width="9.83203125" style="802" customWidth="1"/>
    <col min="9986" max="9986" width="7.6640625" style="802" customWidth="1"/>
    <col min="9987" max="9987" width="10" style="802" customWidth="1"/>
    <col min="9988" max="9990" width="11.33203125" style="802" customWidth="1"/>
    <col min="9991" max="9991" width="10.33203125" style="802" customWidth="1"/>
    <col min="9992" max="9992" width="11" style="802" customWidth="1"/>
    <col min="9993" max="9993" width="11.6640625" style="802" customWidth="1"/>
    <col min="9994" max="9994" width="11" style="802" customWidth="1"/>
    <col min="9995" max="9995" width="11.33203125" style="802" customWidth="1"/>
    <col min="9996" max="9996" width="10.6640625" style="802" customWidth="1"/>
    <col min="9997" max="9997" width="12.83203125" style="802" customWidth="1"/>
    <col min="9998" max="10238" width="9.33203125" style="802"/>
    <col min="10239" max="10239" width="7.33203125" style="802" customWidth="1"/>
    <col min="10240" max="10240" width="33.83203125" style="802" customWidth="1"/>
    <col min="10241" max="10241" width="9.83203125" style="802" customWidth="1"/>
    <col min="10242" max="10242" width="7.6640625" style="802" customWidth="1"/>
    <col min="10243" max="10243" width="10" style="802" customWidth="1"/>
    <col min="10244" max="10246" width="11.33203125" style="802" customWidth="1"/>
    <col min="10247" max="10247" width="10.33203125" style="802" customWidth="1"/>
    <col min="10248" max="10248" width="11" style="802" customWidth="1"/>
    <col min="10249" max="10249" width="11.6640625" style="802" customWidth="1"/>
    <col min="10250" max="10250" width="11" style="802" customWidth="1"/>
    <col min="10251" max="10251" width="11.33203125" style="802" customWidth="1"/>
    <col min="10252" max="10252" width="10.6640625" style="802" customWidth="1"/>
    <col min="10253" max="10253" width="12.83203125" style="802" customWidth="1"/>
    <col min="10254" max="10494" width="9.33203125" style="802"/>
    <col min="10495" max="10495" width="7.33203125" style="802" customWidth="1"/>
    <col min="10496" max="10496" width="33.83203125" style="802" customWidth="1"/>
    <col min="10497" max="10497" width="9.83203125" style="802" customWidth="1"/>
    <col min="10498" max="10498" width="7.6640625" style="802" customWidth="1"/>
    <col min="10499" max="10499" width="10" style="802" customWidth="1"/>
    <col min="10500" max="10502" width="11.33203125" style="802" customWidth="1"/>
    <col min="10503" max="10503" width="10.33203125" style="802" customWidth="1"/>
    <col min="10504" max="10504" width="11" style="802" customWidth="1"/>
    <col min="10505" max="10505" width="11.6640625" style="802" customWidth="1"/>
    <col min="10506" max="10506" width="11" style="802" customWidth="1"/>
    <col min="10507" max="10507" width="11.33203125" style="802" customWidth="1"/>
    <col min="10508" max="10508" width="10.6640625" style="802" customWidth="1"/>
    <col min="10509" max="10509" width="12.83203125" style="802" customWidth="1"/>
    <col min="10510" max="10750" width="9.33203125" style="802"/>
    <col min="10751" max="10751" width="7.33203125" style="802" customWidth="1"/>
    <col min="10752" max="10752" width="33.83203125" style="802" customWidth="1"/>
    <col min="10753" max="10753" width="9.83203125" style="802" customWidth="1"/>
    <col min="10754" max="10754" width="7.6640625" style="802" customWidth="1"/>
    <col min="10755" max="10755" width="10" style="802" customWidth="1"/>
    <col min="10756" max="10758" width="11.33203125" style="802" customWidth="1"/>
    <col min="10759" max="10759" width="10.33203125" style="802" customWidth="1"/>
    <col min="10760" max="10760" width="11" style="802" customWidth="1"/>
    <col min="10761" max="10761" width="11.6640625" style="802" customWidth="1"/>
    <col min="10762" max="10762" width="11" style="802" customWidth="1"/>
    <col min="10763" max="10763" width="11.33203125" style="802" customWidth="1"/>
    <col min="10764" max="10764" width="10.6640625" style="802" customWidth="1"/>
    <col min="10765" max="10765" width="12.83203125" style="802" customWidth="1"/>
    <col min="10766" max="11006" width="9.33203125" style="802"/>
    <col min="11007" max="11007" width="7.33203125" style="802" customWidth="1"/>
    <col min="11008" max="11008" width="33.83203125" style="802" customWidth="1"/>
    <col min="11009" max="11009" width="9.83203125" style="802" customWidth="1"/>
    <col min="11010" max="11010" width="7.6640625" style="802" customWidth="1"/>
    <col min="11011" max="11011" width="10" style="802" customWidth="1"/>
    <col min="11012" max="11014" width="11.33203125" style="802" customWidth="1"/>
    <col min="11015" max="11015" width="10.33203125" style="802" customWidth="1"/>
    <col min="11016" max="11016" width="11" style="802" customWidth="1"/>
    <col min="11017" max="11017" width="11.6640625" style="802" customWidth="1"/>
    <col min="11018" max="11018" width="11" style="802" customWidth="1"/>
    <col min="11019" max="11019" width="11.33203125" style="802" customWidth="1"/>
    <col min="11020" max="11020" width="10.6640625" style="802" customWidth="1"/>
    <col min="11021" max="11021" width="12.83203125" style="802" customWidth="1"/>
    <col min="11022" max="11262" width="9.33203125" style="802"/>
    <col min="11263" max="11263" width="7.33203125" style="802" customWidth="1"/>
    <col min="11264" max="11264" width="33.83203125" style="802" customWidth="1"/>
    <col min="11265" max="11265" width="9.83203125" style="802" customWidth="1"/>
    <col min="11266" max="11266" width="7.6640625" style="802" customWidth="1"/>
    <col min="11267" max="11267" width="10" style="802" customWidth="1"/>
    <col min="11268" max="11270" width="11.33203125" style="802" customWidth="1"/>
    <col min="11271" max="11271" width="10.33203125" style="802" customWidth="1"/>
    <col min="11272" max="11272" width="11" style="802" customWidth="1"/>
    <col min="11273" max="11273" width="11.6640625" style="802" customWidth="1"/>
    <col min="11274" max="11274" width="11" style="802" customWidth="1"/>
    <col min="11275" max="11275" width="11.33203125" style="802" customWidth="1"/>
    <col min="11276" max="11276" width="10.6640625" style="802" customWidth="1"/>
    <col min="11277" max="11277" width="12.83203125" style="802" customWidth="1"/>
    <col min="11278" max="11518" width="9.33203125" style="802"/>
    <col min="11519" max="11519" width="7.33203125" style="802" customWidth="1"/>
    <col min="11520" max="11520" width="33.83203125" style="802" customWidth="1"/>
    <col min="11521" max="11521" width="9.83203125" style="802" customWidth="1"/>
    <col min="11522" max="11522" width="7.6640625" style="802" customWidth="1"/>
    <col min="11523" max="11523" width="10" style="802" customWidth="1"/>
    <col min="11524" max="11526" width="11.33203125" style="802" customWidth="1"/>
    <col min="11527" max="11527" width="10.33203125" style="802" customWidth="1"/>
    <col min="11528" max="11528" width="11" style="802" customWidth="1"/>
    <col min="11529" max="11529" width="11.6640625" style="802" customWidth="1"/>
    <col min="11530" max="11530" width="11" style="802" customWidth="1"/>
    <col min="11531" max="11531" width="11.33203125" style="802" customWidth="1"/>
    <col min="11532" max="11532" width="10.6640625" style="802" customWidth="1"/>
    <col min="11533" max="11533" width="12.83203125" style="802" customWidth="1"/>
    <col min="11534" max="11774" width="9.33203125" style="802"/>
    <col min="11775" max="11775" width="7.33203125" style="802" customWidth="1"/>
    <col min="11776" max="11776" width="33.83203125" style="802" customWidth="1"/>
    <col min="11777" max="11777" width="9.83203125" style="802" customWidth="1"/>
    <col min="11778" max="11778" width="7.6640625" style="802" customWidth="1"/>
    <col min="11779" max="11779" width="10" style="802" customWidth="1"/>
    <col min="11780" max="11782" width="11.33203125" style="802" customWidth="1"/>
    <col min="11783" max="11783" width="10.33203125" style="802" customWidth="1"/>
    <col min="11784" max="11784" width="11" style="802" customWidth="1"/>
    <col min="11785" max="11785" width="11.6640625" style="802" customWidth="1"/>
    <col min="11786" max="11786" width="11" style="802" customWidth="1"/>
    <col min="11787" max="11787" width="11.33203125" style="802" customWidth="1"/>
    <col min="11788" max="11788" width="10.6640625" style="802" customWidth="1"/>
    <col min="11789" max="11789" width="12.83203125" style="802" customWidth="1"/>
    <col min="11790" max="12030" width="9.33203125" style="802"/>
    <col min="12031" max="12031" width="7.33203125" style="802" customWidth="1"/>
    <col min="12032" max="12032" width="33.83203125" style="802" customWidth="1"/>
    <col min="12033" max="12033" width="9.83203125" style="802" customWidth="1"/>
    <col min="12034" max="12034" width="7.6640625" style="802" customWidth="1"/>
    <col min="12035" max="12035" width="10" style="802" customWidth="1"/>
    <col min="12036" max="12038" width="11.33203125" style="802" customWidth="1"/>
    <col min="12039" max="12039" width="10.33203125" style="802" customWidth="1"/>
    <col min="12040" max="12040" width="11" style="802" customWidth="1"/>
    <col min="12041" max="12041" width="11.6640625" style="802" customWidth="1"/>
    <col min="12042" max="12042" width="11" style="802" customWidth="1"/>
    <col min="12043" max="12043" width="11.33203125" style="802" customWidth="1"/>
    <col min="12044" max="12044" width="10.6640625" style="802" customWidth="1"/>
    <col min="12045" max="12045" width="12.83203125" style="802" customWidth="1"/>
    <col min="12046" max="12286" width="9.33203125" style="802"/>
    <col min="12287" max="12287" width="7.33203125" style="802" customWidth="1"/>
    <col min="12288" max="12288" width="33.83203125" style="802" customWidth="1"/>
    <col min="12289" max="12289" width="9.83203125" style="802" customWidth="1"/>
    <col min="12290" max="12290" width="7.6640625" style="802" customWidth="1"/>
    <col min="12291" max="12291" width="10" style="802" customWidth="1"/>
    <col min="12292" max="12294" width="11.33203125" style="802" customWidth="1"/>
    <col min="12295" max="12295" width="10.33203125" style="802" customWidth="1"/>
    <col min="12296" max="12296" width="11" style="802" customWidth="1"/>
    <col min="12297" max="12297" width="11.6640625" style="802" customWidth="1"/>
    <col min="12298" max="12298" width="11" style="802" customWidth="1"/>
    <col min="12299" max="12299" width="11.33203125" style="802" customWidth="1"/>
    <col min="12300" max="12300" width="10.6640625" style="802" customWidth="1"/>
    <col min="12301" max="12301" width="12.83203125" style="802" customWidth="1"/>
    <col min="12302" max="12542" width="9.33203125" style="802"/>
    <col min="12543" max="12543" width="7.33203125" style="802" customWidth="1"/>
    <col min="12544" max="12544" width="33.83203125" style="802" customWidth="1"/>
    <col min="12545" max="12545" width="9.83203125" style="802" customWidth="1"/>
    <col min="12546" max="12546" width="7.6640625" style="802" customWidth="1"/>
    <col min="12547" max="12547" width="10" style="802" customWidth="1"/>
    <col min="12548" max="12550" width="11.33203125" style="802" customWidth="1"/>
    <col min="12551" max="12551" width="10.33203125" style="802" customWidth="1"/>
    <col min="12552" max="12552" width="11" style="802" customWidth="1"/>
    <col min="12553" max="12553" width="11.6640625" style="802" customWidth="1"/>
    <col min="12554" max="12554" width="11" style="802" customWidth="1"/>
    <col min="12555" max="12555" width="11.33203125" style="802" customWidth="1"/>
    <col min="12556" max="12556" width="10.6640625" style="802" customWidth="1"/>
    <col min="12557" max="12557" width="12.83203125" style="802" customWidth="1"/>
    <col min="12558" max="12798" width="9.33203125" style="802"/>
    <col min="12799" max="12799" width="7.33203125" style="802" customWidth="1"/>
    <col min="12800" max="12800" width="33.83203125" style="802" customWidth="1"/>
    <col min="12801" max="12801" width="9.83203125" style="802" customWidth="1"/>
    <col min="12802" max="12802" width="7.6640625" style="802" customWidth="1"/>
    <col min="12803" max="12803" width="10" style="802" customWidth="1"/>
    <col min="12804" max="12806" width="11.33203125" style="802" customWidth="1"/>
    <col min="12807" max="12807" width="10.33203125" style="802" customWidth="1"/>
    <col min="12808" max="12808" width="11" style="802" customWidth="1"/>
    <col min="12809" max="12809" width="11.6640625" style="802" customWidth="1"/>
    <col min="12810" max="12810" width="11" style="802" customWidth="1"/>
    <col min="12811" max="12811" width="11.33203125" style="802" customWidth="1"/>
    <col min="12812" max="12812" width="10.6640625" style="802" customWidth="1"/>
    <col min="12813" max="12813" width="12.83203125" style="802" customWidth="1"/>
    <col min="12814" max="13054" width="9.33203125" style="802"/>
    <col min="13055" max="13055" width="7.33203125" style="802" customWidth="1"/>
    <col min="13056" max="13056" width="33.83203125" style="802" customWidth="1"/>
    <col min="13057" max="13057" width="9.83203125" style="802" customWidth="1"/>
    <col min="13058" max="13058" width="7.6640625" style="802" customWidth="1"/>
    <col min="13059" max="13059" width="10" style="802" customWidth="1"/>
    <col min="13060" max="13062" width="11.33203125" style="802" customWidth="1"/>
    <col min="13063" max="13063" width="10.33203125" style="802" customWidth="1"/>
    <col min="13064" max="13064" width="11" style="802" customWidth="1"/>
    <col min="13065" max="13065" width="11.6640625" style="802" customWidth="1"/>
    <col min="13066" max="13066" width="11" style="802" customWidth="1"/>
    <col min="13067" max="13067" width="11.33203125" style="802" customWidth="1"/>
    <col min="13068" max="13068" width="10.6640625" style="802" customWidth="1"/>
    <col min="13069" max="13069" width="12.83203125" style="802" customWidth="1"/>
    <col min="13070" max="13310" width="9.33203125" style="802"/>
    <col min="13311" max="13311" width="7.33203125" style="802" customWidth="1"/>
    <col min="13312" max="13312" width="33.83203125" style="802" customWidth="1"/>
    <col min="13313" max="13313" width="9.83203125" style="802" customWidth="1"/>
    <col min="13314" max="13314" width="7.6640625" style="802" customWidth="1"/>
    <col min="13315" max="13315" width="10" style="802" customWidth="1"/>
    <col min="13316" max="13318" width="11.33203125" style="802" customWidth="1"/>
    <col min="13319" max="13319" width="10.33203125" style="802" customWidth="1"/>
    <col min="13320" max="13320" width="11" style="802" customWidth="1"/>
    <col min="13321" max="13321" width="11.6640625" style="802" customWidth="1"/>
    <col min="13322" max="13322" width="11" style="802" customWidth="1"/>
    <col min="13323" max="13323" width="11.33203125" style="802" customWidth="1"/>
    <col min="13324" max="13324" width="10.6640625" style="802" customWidth="1"/>
    <col min="13325" max="13325" width="12.83203125" style="802" customWidth="1"/>
    <col min="13326" max="13566" width="9.33203125" style="802"/>
    <col min="13567" max="13567" width="7.33203125" style="802" customWidth="1"/>
    <col min="13568" max="13568" width="33.83203125" style="802" customWidth="1"/>
    <col min="13569" max="13569" width="9.83203125" style="802" customWidth="1"/>
    <col min="13570" max="13570" width="7.6640625" style="802" customWidth="1"/>
    <col min="13571" max="13571" width="10" style="802" customWidth="1"/>
    <col min="13572" max="13574" width="11.33203125" style="802" customWidth="1"/>
    <col min="13575" max="13575" width="10.33203125" style="802" customWidth="1"/>
    <col min="13576" max="13576" width="11" style="802" customWidth="1"/>
    <col min="13577" max="13577" width="11.6640625" style="802" customWidth="1"/>
    <col min="13578" max="13578" width="11" style="802" customWidth="1"/>
    <col min="13579" max="13579" width="11.33203125" style="802" customWidth="1"/>
    <col min="13580" max="13580" width="10.6640625" style="802" customWidth="1"/>
    <col min="13581" max="13581" width="12.83203125" style="802" customWidth="1"/>
    <col min="13582" max="13822" width="9.33203125" style="802"/>
    <col min="13823" max="13823" width="7.33203125" style="802" customWidth="1"/>
    <col min="13824" max="13824" width="33.83203125" style="802" customWidth="1"/>
    <col min="13825" max="13825" width="9.83203125" style="802" customWidth="1"/>
    <col min="13826" max="13826" width="7.6640625" style="802" customWidth="1"/>
    <col min="13827" max="13827" width="10" style="802" customWidth="1"/>
    <col min="13828" max="13830" width="11.33203125" style="802" customWidth="1"/>
    <col min="13831" max="13831" width="10.33203125" style="802" customWidth="1"/>
    <col min="13832" max="13832" width="11" style="802" customWidth="1"/>
    <col min="13833" max="13833" width="11.6640625" style="802" customWidth="1"/>
    <col min="13834" max="13834" width="11" style="802" customWidth="1"/>
    <col min="13835" max="13835" width="11.33203125" style="802" customWidth="1"/>
    <col min="13836" max="13836" width="10.6640625" style="802" customWidth="1"/>
    <col min="13837" max="13837" width="12.83203125" style="802" customWidth="1"/>
    <col min="13838" max="14078" width="9.33203125" style="802"/>
    <col min="14079" max="14079" width="7.33203125" style="802" customWidth="1"/>
    <col min="14080" max="14080" width="33.83203125" style="802" customWidth="1"/>
    <col min="14081" max="14081" width="9.83203125" style="802" customWidth="1"/>
    <col min="14082" max="14082" width="7.6640625" style="802" customWidth="1"/>
    <col min="14083" max="14083" width="10" style="802" customWidth="1"/>
    <col min="14084" max="14086" width="11.33203125" style="802" customWidth="1"/>
    <col min="14087" max="14087" width="10.33203125" style="802" customWidth="1"/>
    <col min="14088" max="14088" width="11" style="802" customWidth="1"/>
    <col min="14089" max="14089" width="11.6640625" style="802" customWidth="1"/>
    <col min="14090" max="14090" width="11" style="802" customWidth="1"/>
    <col min="14091" max="14091" width="11.33203125" style="802" customWidth="1"/>
    <col min="14092" max="14092" width="10.6640625" style="802" customWidth="1"/>
    <col min="14093" max="14093" width="12.83203125" style="802" customWidth="1"/>
    <col min="14094" max="14334" width="9.33203125" style="802"/>
    <col min="14335" max="14335" width="7.33203125" style="802" customWidth="1"/>
    <col min="14336" max="14336" width="33.83203125" style="802" customWidth="1"/>
    <col min="14337" max="14337" width="9.83203125" style="802" customWidth="1"/>
    <col min="14338" max="14338" width="7.6640625" style="802" customWidth="1"/>
    <col min="14339" max="14339" width="10" style="802" customWidth="1"/>
    <col min="14340" max="14342" width="11.33203125" style="802" customWidth="1"/>
    <col min="14343" max="14343" width="10.33203125" style="802" customWidth="1"/>
    <col min="14344" max="14344" width="11" style="802" customWidth="1"/>
    <col min="14345" max="14345" width="11.6640625" style="802" customWidth="1"/>
    <col min="14346" max="14346" width="11" style="802" customWidth="1"/>
    <col min="14347" max="14347" width="11.33203125" style="802" customWidth="1"/>
    <col min="14348" max="14348" width="10.6640625" style="802" customWidth="1"/>
    <col min="14349" max="14349" width="12.83203125" style="802" customWidth="1"/>
    <col min="14350" max="14590" width="9.33203125" style="802"/>
    <col min="14591" max="14591" width="7.33203125" style="802" customWidth="1"/>
    <col min="14592" max="14592" width="33.83203125" style="802" customWidth="1"/>
    <col min="14593" max="14593" width="9.83203125" style="802" customWidth="1"/>
    <col min="14594" max="14594" width="7.6640625" style="802" customWidth="1"/>
    <col min="14595" max="14595" width="10" style="802" customWidth="1"/>
    <col min="14596" max="14598" width="11.33203125" style="802" customWidth="1"/>
    <col min="14599" max="14599" width="10.33203125" style="802" customWidth="1"/>
    <col min="14600" max="14600" width="11" style="802" customWidth="1"/>
    <col min="14601" max="14601" width="11.6640625" style="802" customWidth="1"/>
    <col min="14602" max="14602" width="11" style="802" customWidth="1"/>
    <col min="14603" max="14603" width="11.33203125" style="802" customWidth="1"/>
    <col min="14604" max="14604" width="10.6640625" style="802" customWidth="1"/>
    <col min="14605" max="14605" width="12.83203125" style="802" customWidth="1"/>
    <col min="14606" max="14846" width="9.33203125" style="802"/>
    <col min="14847" max="14847" width="7.33203125" style="802" customWidth="1"/>
    <col min="14848" max="14848" width="33.83203125" style="802" customWidth="1"/>
    <col min="14849" max="14849" width="9.83203125" style="802" customWidth="1"/>
    <col min="14850" max="14850" width="7.6640625" style="802" customWidth="1"/>
    <col min="14851" max="14851" width="10" style="802" customWidth="1"/>
    <col min="14852" max="14854" width="11.33203125" style="802" customWidth="1"/>
    <col min="14855" max="14855" width="10.33203125" style="802" customWidth="1"/>
    <col min="14856" max="14856" width="11" style="802" customWidth="1"/>
    <col min="14857" max="14857" width="11.6640625" style="802" customWidth="1"/>
    <col min="14858" max="14858" width="11" style="802" customWidth="1"/>
    <col min="14859" max="14859" width="11.33203125" style="802" customWidth="1"/>
    <col min="14860" max="14860" width="10.6640625" style="802" customWidth="1"/>
    <col min="14861" max="14861" width="12.83203125" style="802" customWidth="1"/>
    <col min="14862" max="15102" width="9.33203125" style="802"/>
    <col min="15103" max="15103" width="7.33203125" style="802" customWidth="1"/>
    <col min="15104" max="15104" width="33.83203125" style="802" customWidth="1"/>
    <col min="15105" max="15105" width="9.83203125" style="802" customWidth="1"/>
    <col min="15106" max="15106" width="7.6640625" style="802" customWidth="1"/>
    <col min="15107" max="15107" width="10" style="802" customWidth="1"/>
    <col min="15108" max="15110" width="11.33203125" style="802" customWidth="1"/>
    <col min="15111" max="15111" width="10.33203125" style="802" customWidth="1"/>
    <col min="15112" max="15112" width="11" style="802" customWidth="1"/>
    <col min="15113" max="15113" width="11.6640625" style="802" customWidth="1"/>
    <col min="15114" max="15114" width="11" style="802" customWidth="1"/>
    <col min="15115" max="15115" width="11.33203125" style="802" customWidth="1"/>
    <col min="15116" max="15116" width="10.6640625" style="802" customWidth="1"/>
    <col min="15117" max="15117" width="12.83203125" style="802" customWidth="1"/>
    <col min="15118" max="15358" width="9.33203125" style="802"/>
    <col min="15359" max="15359" width="7.33203125" style="802" customWidth="1"/>
    <col min="15360" max="15360" width="33.83203125" style="802" customWidth="1"/>
    <col min="15361" max="15361" width="9.83203125" style="802" customWidth="1"/>
    <col min="15362" max="15362" width="7.6640625" style="802" customWidth="1"/>
    <col min="15363" max="15363" width="10" style="802" customWidth="1"/>
    <col min="15364" max="15366" width="11.33203125" style="802" customWidth="1"/>
    <col min="15367" max="15367" width="10.33203125" style="802" customWidth="1"/>
    <col min="15368" max="15368" width="11" style="802" customWidth="1"/>
    <col min="15369" max="15369" width="11.6640625" style="802" customWidth="1"/>
    <col min="15370" max="15370" width="11" style="802" customWidth="1"/>
    <col min="15371" max="15371" width="11.33203125" style="802" customWidth="1"/>
    <col min="15372" max="15372" width="10.6640625" style="802" customWidth="1"/>
    <col min="15373" max="15373" width="12.83203125" style="802" customWidth="1"/>
    <col min="15374" max="15614" width="9.33203125" style="802"/>
    <col min="15615" max="15615" width="7.33203125" style="802" customWidth="1"/>
    <col min="15616" max="15616" width="33.83203125" style="802" customWidth="1"/>
    <col min="15617" max="15617" width="9.83203125" style="802" customWidth="1"/>
    <col min="15618" max="15618" width="7.6640625" style="802" customWidth="1"/>
    <col min="15619" max="15619" width="10" style="802" customWidth="1"/>
    <col min="15620" max="15622" width="11.33203125" style="802" customWidth="1"/>
    <col min="15623" max="15623" width="10.33203125" style="802" customWidth="1"/>
    <col min="15624" max="15624" width="11" style="802" customWidth="1"/>
    <col min="15625" max="15625" width="11.6640625" style="802" customWidth="1"/>
    <col min="15626" max="15626" width="11" style="802" customWidth="1"/>
    <col min="15627" max="15627" width="11.33203125" style="802" customWidth="1"/>
    <col min="15628" max="15628" width="10.6640625" style="802" customWidth="1"/>
    <col min="15629" max="15629" width="12.83203125" style="802" customWidth="1"/>
    <col min="15630" max="15870" width="9.33203125" style="802"/>
    <col min="15871" max="15871" width="7.33203125" style="802" customWidth="1"/>
    <col min="15872" max="15872" width="33.83203125" style="802" customWidth="1"/>
    <col min="15873" max="15873" width="9.83203125" style="802" customWidth="1"/>
    <col min="15874" max="15874" width="7.6640625" style="802" customWidth="1"/>
    <col min="15875" max="15875" width="10" style="802" customWidth="1"/>
    <col min="15876" max="15878" width="11.33203125" style="802" customWidth="1"/>
    <col min="15879" max="15879" width="10.33203125" style="802" customWidth="1"/>
    <col min="15880" max="15880" width="11" style="802" customWidth="1"/>
    <col min="15881" max="15881" width="11.6640625" style="802" customWidth="1"/>
    <col min="15882" max="15882" width="11" style="802" customWidth="1"/>
    <col min="15883" max="15883" width="11.33203125" style="802" customWidth="1"/>
    <col min="15884" max="15884" width="10.6640625" style="802" customWidth="1"/>
    <col min="15885" max="15885" width="12.83203125" style="802" customWidth="1"/>
    <col min="15886" max="16126" width="9.33203125" style="802"/>
    <col min="16127" max="16127" width="7.33203125" style="802" customWidth="1"/>
    <col min="16128" max="16128" width="33.83203125" style="802" customWidth="1"/>
    <col min="16129" max="16129" width="9.83203125" style="802" customWidth="1"/>
    <col min="16130" max="16130" width="7.6640625" style="802" customWidth="1"/>
    <col min="16131" max="16131" width="10" style="802" customWidth="1"/>
    <col min="16132" max="16134" width="11.33203125" style="802" customWidth="1"/>
    <col min="16135" max="16135" width="10.33203125" style="802" customWidth="1"/>
    <col min="16136" max="16136" width="11" style="802" customWidth="1"/>
    <col min="16137" max="16137" width="11.6640625" style="802" customWidth="1"/>
    <col min="16138" max="16138" width="11" style="802" customWidth="1"/>
    <col min="16139" max="16139" width="11.33203125" style="802" customWidth="1"/>
    <col min="16140" max="16140" width="10.6640625" style="802" customWidth="1"/>
    <col min="16141" max="16141" width="12.83203125" style="802" customWidth="1"/>
    <col min="16142" max="16382" width="9.33203125" style="802"/>
    <col min="16383" max="16384" width="8.83203125" style="802" customWidth="1"/>
  </cols>
  <sheetData>
    <row r="1" spans="1:13" s="795" customFormat="1" ht="42.6" customHeight="1" x14ac:dyDescent="0.2">
      <c r="A1" s="849"/>
      <c r="B1" s="848" t="s">
        <v>111</v>
      </c>
      <c r="C1" s="848" t="s">
        <v>1072</v>
      </c>
      <c r="D1" s="848" t="s">
        <v>1073</v>
      </c>
      <c r="E1" s="848" t="s">
        <v>1098</v>
      </c>
      <c r="F1" s="848" t="s">
        <v>1074</v>
      </c>
      <c r="G1" s="848" t="s">
        <v>1075</v>
      </c>
      <c r="H1" s="848"/>
      <c r="I1" s="848" t="s">
        <v>1076</v>
      </c>
      <c r="J1" s="848"/>
      <c r="K1" s="848" t="s">
        <v>1077</v>
      </c>
      <c r="L1" s="848"/>
      <c r="M1" s="848" t="s">
        <v>1097</v>
      </c>
    </row>
    <row r="2" spans="1:13" s="795" customFormat="1" ht="60.75" customHeight="1" x14ac:dyDescent="0.2">
      <c r="A2" s="849"/>
      <c r="B2" s="848"/>
      <c r="C2" s="848"/>
      <c r="D2" s="848"/>
      <c r="E2" s="848"/>
      <c r="F2" s="848"/>
      <c r="G2" s="796" t="s">
        <v>1078</v>
      </c>
      <c r="H2" s="796" t="s">
        <v>1079</v>
      </c>
      <c r="I2" s="796" t="s">
        <v>1080</v>
      </c>
      <c r="J2" s="796" t="s">
        <v>1079</v>
      </c>
      <c r="K2" s="796" t="s">
        <v>1080</v>
      </c>
      <c r="L2" s="796" t="s">
        <v>1079</v>
      </c>
      <c r="M2" s="848"/>
    </row>
    <row r="3" spans="1:13" ht="39.950000000000003" customHeight="1" x14ac:dyDescent="0.2">
      <c r="A3" s="797" t="s">
        <v>83</v>
      </c>
      <c r="B3" s="798" t="s">
        <v>1081</v>
      </c>
      <c r="C3" s="799" t="s">
        <v>1082</v>
      </c>
      <c r="D3" s="800" t="s">
        <v>1083</v>
      </c>
      <c r="E3" s="801">
        <v>211637997</v>
      </c>
      <c r="F3" s="798">
        <v>133253487</v>
      </c>
      <c r="G3" s="798">
        <v>10451268</v>
      </c>
      <c r="H3" s="798">
        <v>8031657.6391500002</v>
      </c>
      <c r="I3" s="798">
        <v>10451268</v>
      </c>
      <c r="J3" s="798">
        <v>7382633.8963500001</v>
      </c>
      <c r="K3" s="798">
        <v>10451268</v>
      </c>
      <c r="L3" s="798">
        <v>6733610.1535499999</v>
      </c>
      <c r="M3" s="798">
        <v>133539481</v>
      </c>
    </row>
    <row r="4" spans="1:13" ht="39.950000000000003" customHeight="1" x14ac:dyDescent="0.2">
      <c r="A4" s="797" t="s">
        <v>82</v>
      </c>
      <c r="B4" s="798" t="s">
        <v>1084</v>
      </c>
      <c r="C4" s="797" t="s">
        <v>1082</v>
      </c>
      <c r="D4" s="797" t="s">
        <v>1085</v>
      </c>
      <c r="E4" s="801">
        <v>950000000</v>
      </c>
      <c r="F4" s="798">
        <v>570100000</v>
      </c>
      <c r="G4" s="798">
        <v>52400000</v>
      </c>
      <c r="H4" s="798">
        <v>42549785</v>
      </c>
      <c r="I4" s="798">
        <v>52400000</v>
      </c>
      <c r="J4" s="798">
        <v>38499265</v>
      </c>
      <c r="K4" s="798">
        <v>52400000</v>
      </c>
      <c r="L4" s="798">
        <v>34448745</v>
      </c>
      <c r="M4" s="798">
        <v>542671240</v>
      </c>
    </row>
    <row r="5" spans="1:13" ht="39.950000000000003" customHeight="1" x14ac:dyDescent="0.2">
      <c r="A5" s="797" t="s">
        <v>84</v>
      </c>
      <c r="B5" s="798" t="s">
        <v>1086</v>
      </c>
      <c r="C5" s="797" t="s">
        <v>1082</v>
      </c>
      <c r="D5" s="797" t="s">
        <v>1087</v>
      </c>
      <c r="E5" s="801">
        <v>100000000</v>
      </c>
      <c r="F5" s="798">
        <v>37417082</v>
      </c>
      <c r="G5" s="798">
        <v>10000000</v>
      </c>
      <c r="H5" s="798">
        <v>2501464.1926000002</v>
      </c>
      <c r="I5" s="798">
        <v>10000000</v>
      </c>
      <c r="J5" s="798">
        <v>1758464.1926000002</v>
      </c>
      <c r="K5" s="798">
        <v>10000000</v>
      </c>
      <c r="L5" s="798">
        <v>1015464.1926000002</v>
      </c>
      <c r="M5" s="798">
        <v>7691087</v>
      </c>
    </row>
    <row r="6" spans="1:13" ht="39.950000000000003" customHeight="1" x14ac:dyDescent="0.2">
      <c r="A6" s="797" t="s">
        <v>85</v>
      </c>
      <c r="B6" s="798" t="s">
        <v>1088</v>
      </c>
      <c r="C6" s="797" t="s">
        <v>1082</v>
      </c>
      <c r="D6" s="797" t="s">
        <v>1089</v>
      </c>
      <c r="E6" s="801">
        <v>240000000</v>
      </c>
      <c r="F6" s="798">
        <v>52500000</v>
      </c>
      <c r="G6" s="798">
        <v>30000000</v>
      </c>
      <c r="H6" s="798">
        <v>2998462.5</v>
      </c>
      <c r="I6" s="798">
        <v>22500000</v>
      </c>
      <c r="J6" s="798">
        <v>817762.5</v>
      </c>
      <c r="K6" s="798">
        <v>0</v>
      </c>
      <c r="L6" s="798">
        <v>0</v>
      </c>
      <c r="M6" s="798">
        <f>SUM(F6-G6-I6-K6)</f>
        <v>0</v>
      </c>
    </row>
    <row r="7" spans="1:13" ht="51.75" customHeight="1" x14ac:dyDescent="0.2">
      <c r="A7" s="797" t="s">
        <v>73</v>
      </c>
      <c r="B7" s="798" t="s">
        <v>1090</v>
      </c>
      <c r="C7" s="797" t="s">
        <v>1082</v>
      </c>
      <c r="D7" s="797" t="s">
        <v>1091</v>
      </c>
      <c r="E7" s="801">
        <v>150000000</v>
      </c>
      <c r="F7" s="798">
        <v>82498979</v>
      </c>
      <c r="G7" s="798">
        <v>15000000</v>
      </c>
      <c r="H7" s="798">
        <v>2144784.0141000003</v>
      </c>
      <c r="I7" s="798">
        <v>15000000</v>
      </c>
      <c r="J7" s="798">
        <v>1726284.0141</v>
      </c>
      <c r="K7" s="798">
        <v>15000000</v>
      </c>
      <c r="L7" s="798">
        <v>1307784.0141</v>
      </c>
      <c r="M7" s="798">
        <v>38937502</v>
      </c>
    </row>
    <row r="8" spans="1:13" ht="51.75" customHeight="1" x14ac:dyDescent="0.2">
      <c r="A8" s="809" t="s">
        <v>72</v>
      </c>
      <c r="B8" s="810" t="s">
        <v>1093</v>
      </c>
      <c r="C8" s="811" t="s">
        <v>1082</v>
      </c>
      <c r="D8" s="811" t="s">
        <v>1094</v>
      </c>
      <c r="E8" s="812">
        <v>500000000</v>
      </c>
      <c r="F8" s="813">
        <v>0</v>
      </c>
      <c r="G8" s="813">
        <v>500000000</v>
      </c>
      <c r="H8" s="798"/>
      <c r="I8" s="798"/>
      <c r="J8" s="798"/>
      <c r="K8" s="798"/>
      <c r="L8" s="798"/>
      <c r="M8" s="798"/>
    </row>
    <row r="9" spans="1:13" ht="51.75" customHeight="1" x14ac:dyDescent="0.2">
      <c r="A9" s="809" t="s">
        <v>74</v>
      </c>
      <c r="B9" s="810" t="s">
        <v>1095</v>
      </c>
      <c r="C9" s="811" t="s">
        <v>1099</v>
      </c>
      <c r="D9" s="811" t="s">
        <v>1096</v>
      </c>
      <c r="E9" s="812">
        <v>500000000</v>
      </c>
      <c r="F9" s="813">
        <v>0</v>
      </c>
      <c r="G9" s="815"/>
      <c r="H9" s="798"/>
      <c r="I9" s="813">
        <v>249999996</v>
      </c>
      <c r="K9" s="813">
        <v>250000004</v>
      </c>
      <c r="L9" s="798"/>
      <c r="M9" s="798"/>
    </row>
    <row r="10" spans="1:13" ht="28.5" customHeight="1" x14ac:dyDescent="0.2">
      <c r="A10" s="803"/>
      <c r="B10" s="804" t="s">
        <v>1092</v>
      </c>
      <c r="C10" s="805"/>
      <c r="D10" s="805"/>
      <c r="E10" s="806">
        <f>SUM(E3:E9)</f>
        <v>2651637997</v>
      </c>
      <c r="F10" s="806">
        <f t="shared" ref="F10:M10" si="0">SUM(F3:F9)</f>
        <v>875769548</v>
      </c>
      <c r="G10" s="806">
        <f t="shared" si="0"/>
        <v>617851268</v>
      </c>
      <c r="H10" s="806">
        <f t="shared" si="0"/>
        <v>58226153.345849998</v>
      </c>
      <c r="I10" s="806">
        <f t="shared" si="0"/>
        <v>360351264</v>
      </c>
      <c r="J10" s="806">
        <f t="shared" si="0"/>
        <v>50184409.603049994</v>
      </c>
      <c r="K10" s="806">
        <f t="shared" si="0"/>
        <v>337851272</v>
      </c>
      <c r="L10" s="806">
        <f t="shared" si="0"/>
        <v>43505603.360249996</v>
      </c>
      <c r="M10" s="806">
        <f t="shared" si="0"/>
        <v>722839310</v>
      </c>
    </row>
    <row r="11" spans="1:13" ht="20.100000000000001" customHeight="1" x14ac:dyDescent="0.2">
      <c r="B11" s="807"/>
      <c r="C11" s="807"/>
      <c r="D11" s="807"/>
      <c r="E11" s="807"/>
      <c r="F11" s="807"/>
      <c r="G11" s="807"/>
      <c r="H11" s="807"/>
      <c r="I11" s="807"/>
    </row>
    <row r="12" spans="1:13" ht="36.75" customHeight="1" x14ac:dyDescent="0.2">
      <c r="A12"/>
      <c r="B12"/>
      <c r="C12" s="808"/>
    </row>
    <row r="13" spans="1:13" ht="20.100000000000001" customHeight="1" x14ac:dyDescent="0.2">
      <c r="A13"/>
      <c r="B13"/>
      <c r="C13"/>
      <c r="L13" s="802" t="s">
        <v>79</v>
      </c>
    </row>
    <row r="14" spans="1:13" ht="20.100000000000001" customHeight="1" x14ac:dyDescent="0.2">
      <c r="A14"/>
      <c r="B14"/>
      <c r="C14" s="808"/>
    </row>
    <row r="15" spans="1:13" ht="20.100000000000001" customHeight="1" x14ac:dyDescent="0.2">
      <c r="A15"/>
      <c r="B15"/>
      <c r="C15"/>
    </row>
    <row r="16" spans="1:13" ht="20.100000000000001" customHeight="1" x14ac:dyDescent="0.2">
      <c r="A16"/>
      <c r="B16"/>
      <c r="C16" s="808"/>
    </row>
    <row r="17" spans="1:6" ht="20.100000000000001" customHeight="1" x14ac:dyDescent="0.2">
      <c r="A17"/>
      <c r="B17"/>
      <c r="C17"/>
    </row>
    <row r="18" spans="1:6" ht="20.100000000000001" customHeight="1" x14ac:dyDescent="0.2">
      <c r="A18"/>
      <c r="B18"/>
      <c r="C18" s="808"/>
    </row>
    <row r="19" spans="1:6" ht="20.100000000000001" customHeight="1" x14ac:dyDescent="0.2">
      <c r="A19"/>
      <c r="B19"/>
      <c r="C19"/>
    </row>
    <row r="20" spans="1:6" ht="20.100000000000001" customHeight="1" x14ac:dyDescent="0.2">
      <c r="A20"/>
      <c r="B20"/>
      <c r="C20" s="808"/>
    </row>
    <row r="21" spans="1:6" ht="20.100000000000001" customHeight="1" x14ac:dyDescent="0.2">
      <c r="A21"/>
      <c r="B21"/>
      <c r="C21"/>
    </row>
    <row r="22" spans="1:6" ht="20.100000000000001" customHeight="1" x14ac:dyDescent="0.2">
      <c r="A22"/>
      <c r="B22"/>
      <c r="C22" s="808"/>
    </row>
    <row r="23" spans="1:6" ht="20.100000000000001" customHeight="1" x14ac:dyDescent="0.2">
      <c r="A23"/>
      <c r="B23"/>
      <c r="C23"/>
    </row>
    <row r="24" spans="1:6" ht="20.100000000000001" customHeight="1" x14ac:dyDescent="0.2">
      <c r="A24"/>
      <c r="B24"/>
      <c r="C24" s="808"/>
    </row>
    <row r="25" spans="1:6" ht="20.100000000000001" customHeight="1" x14ac:dyDescent="0.2"/>
    <row r="26" spans="1:6" ht="20.100000000000001" customHeight="1" x14ac:dyDescent="0.2">
      <c r="B26"/>
      <c r="C26"/>
      <c r="D26"/>
      <c r="E26"/>
      <c r="F26"/>
    </row>
    <row r="27" spans="1:6" ht="20.100000000000001" customHeight="1" x14ac:dyDescent="0.2"/>
    <row r="28" spans="1:6" ht="20.100000000000001" customHeight="1" x14ac:dyDescent="0.2"/>
    <row r="29" spans="1:6" ht="20.100000000000001" customHeight="1" x14ac:dyDescent="0.2"/>
    <row r="30" spans="1:6" ht="20.100000000000001" customHeight="1" x14ac:dyDescent="0.2"/>
    <row r="31" spans="1:6" ht="20.100000000000001" customHeight="1" x14ac:dyDescent="0.2"/>
    <row r="32" spans="1:6" ht="20.100000000000001" customHeight="1" x14ac:dyDescent="0.2"/>
    <row r="33" ht="20.100000000000001" customHeight="1" x14ac:dyDescent="0.2"/>
    <row r="34" ht="20.100000000000001" customHeight="1" x14ac:dyDescent="0.2"/>
    <row r="35" ht="20.100000000000001" customHeight="1" x14ac:dyDescent="0.2"/>
    <row r="36" ht="20.100000000000001" customHeight="1" x14ac:dyDescent="0.2"/>
    <row r="37" ht="20.100000000000001" customHeight="1" x14ac:dyDescent="0.2"/>
    <row r="38" ht="20.100000000000001" customHeight="1" x14ac:dyDescent="0.2"/>
    <row r="39" ht="20.100000000000001" customHeight="1" x14ac:dyDescent="0.2"/>
    <row r="40" ht="20.100000000000001" customHeight="1" x14ac:dyDescent="0.2"/>
    <row r="41" ht="20.100000000000001" customHeight="1" x14ac:dyDescent="0.2"/>
    <row r="42" ht="20.100000000000001" customHeight="1" x14ac:dyDescent="0.2"/>
    <row r="43" ht="20.100000000000001" customHeight="1" x14ac:dyDescent="0.2"/>
    <row r="44" ht="20.100000000000001" customHeight="1" x14ac:dyDescent="0.2"/>
    <row r="45" ht="20.100000000000001" customHeight="1" x14ac:dyDescent="0.2"/>
    <row r="46" ht="20.100000000000001" customHeight="1" x14ac:dyDescent="0.2"/>
    <row r="47" ht="20.100000000000001" customHeight="1" x14ac:dyDescent="0.2"/>
    <row r="48" ht="20.100000000000001" customHeight="1" x14ac:dyDescent="0.2"/>
    <row r="49" ht="20.100000000000001" customHeight="1" x14ac:dyDescent="0.2"/>
    <row r="50" ht="20.100000000000001" customHeight="1" x14ac:dyDescent="0.2"/>
    <row r="51" ht="20.100000000000001" customHeight="1" x14ac:dyDescent="0.2"/>
    <row r="52" ht="20.100000000000001" customHeight="1" x14ac:dyDescent="0.2"/>
    <row r="53" ht="20.100000000000001" customHeight="1" x14ac:dyDescent="0.2"/>
    <row r="54" ht="20.100000000000001" customHeight="1" x14ac:dyDescent="0.2"/>
    <row r="55" ht="20.100000000000001" customHeight="1" x14ac:dyDescent="0.2"/>
    <row r="56" ht="20.100000000000001" customHeight="1" x14ac:dyDescent="0.2"/>
    <row r="57" ht="20.100000000000001" customHeight="1" x14ac:dyDescent="0.2"/>
    <row r="58" ht="20.100000000000001" customHeight="1" x14ac:dyDescent="0.2"/>
    <row r="59" ht="20.100000000000001" customHeight="1" x14ac:dyDescent="0.2"/>
    <row r="60" ht="20.100000000000001" customHeight="1" x14ac:dyDescent="0.2"/>
    <row r="61" ht="20.100000000000001" customHeight="1" x14ac:dyDescent="0.2"/>
    <row r="62" ht="20.100000000000001" customHeight="1" x14ac:dyDescent="0.2"/>
    <row r="63" ht="20.100000000000001" customHeight="1" x14ac:dyDescent="0.2"/>
    <row r="64" ht="20.100000000000001" customHeight="1" x14ac:dyDescent="0.2"/>
    <row r="65" ht="20.100000000000001" customHeight="1" x14ac:dyDescent="0.2"/>
    <row r="66" ht="20.100000000000001" customHeight="1" x14ac:dyDescent="0.2"/>
    <row r="67" ht="20.100000000000001" customHeight="1" x14ac:dyDescent="0.2"/>
    <row r="68" ht="20.100000000000001" customHeight="1" x14ac:dyDescent="0.2"/>
    <row r="69" ht="20.100000000000001" customHeight="1" x14ac:dyDescent="0.2"/>
    <row r="70" ht="20.100000000000001" customHeight="1" x14ac:dyDescent="0.2"/>
    <row r="71" ht="20.100000000000001" customHeight="1" x14ac:dyDescent="0.2"/>
    <row r="72" ht="20.100000000000001" customHeight="1" x14ac:dyDescent="0.2"/>
    <row r="73" ht="20.100000000000001" customHeight="1" x14ac:dyDescent="0.2"/>
    <row r="74" ht="20.100000000000001" customHeight="1" x14ac:dyDescent="0.2"/>
    <row r="75" ht="20.100000000000001" customHeight="1" x14ac:dyDescent="0.2"/>
    <row r="76" ht="20.100000000000001" customHeight="1" x14ac:dyDescent="0.2"/>
  </sheetData>
  <mergeCells count="10">
    <mergeCell ref="G1:H1"/>
    <mergeCell ref="I1:J1"/>
    <mergeCell ref="K1:L1"/>
    <mergeCell ref="M1:M2"/>
    <mergeCell ref="A1:A2"/>
    <mergeCell ref="B1:B2"/>
    <mergeCell ref="C1:C2"/>
    <mergeCell ref="D1:D2"/>
    <mergeCell ref="E1:E2"/>
    <mergeCell ref="F1:F2"/>
  </mergeCells>
  <printOptions horizontalCentered="1"/>
  <pageMargins left="0.39370078740157483" right="0.39370078740157483" top="0.98425196850393704" bottom="0.98425196850393704" header="0.51181102362204722" footer="0.51181102362204722"/>
  <pageSetup paperSize="9" scale="85" orientation="landscape" r:id="rId1"/>
  <headerFooter alignWithMargins="0">
    <oddHeader>&amp;C&amp;"Times New Roman CE,Félkövér dőlt"A HITELÁLLOMÁNY ÉS ADÓSSÁGSZOLGÁLAT ALAKULÁSA 2026-2028. ÉVEKBEN&amp;R&amp;"Times New Roman,Félkövér dőlt"11. melléklet
Adatok forintban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21"/>
  <sheetViews>
    <sheetView workbookViewId="0">
      <selection activeCell="B17" sqref="B17"/>
    </sheetView>
  </sheetViews>
  <sheetFormatPr defaultColWidth="10.6640625" defaultRowHeight="12.75" x14ac:dyDescent="0.2"/>
  <cols>
    <col min="1" max="1" width="65.83203125" style="733" customWidth="1"/>
    <col min="2" max="2" width="15.1640625" style="733" customWidth="1"/>
    <col min="3" max="3" width="16.6640625" style="733" customWidth="1"/>
    <col min="4" max="5" width="16.33203125" style="733" customWidth="1"/>
    <col min="6" max="6" width="37" style="733" customWidth="1"/>
    <col min="7" max="257" width="10.6640625" style="733"/>
    <col min="258" max="258" width="61.1640625" style="733" customWidth="1"/>
    <col min="259" max="259" width="15.1640625" style="733" customWidth="1"/>
    <col min="260" max="260" width="16.6640625" style="733" customWidth="1"/>
    <col min="261" max="261" width="16.33203125" style="733" customWidth="1"/>
    <col min="262" max="262" width="37" style="733" customWidth="1"/>
    <col min="263" max="513" width="10.6640625" style="733"/>
    <col min="514" max="514" width="61.1640625" style="733" customWidth="1"/>
    <col min="515" max="515" width="15.1640625" style="733" customWidth="1"/>
    <col min="516" max="516" width="16.6640625" style="733" customWidth="1"/>
    <col min="517" max="517" width="16.33203125" style="733" customWidth="1"/>
    <col min="518" max="518" width="37" style="733" customWidth="1"/>
    <col min="519" max="769" width="10.6640625" style="733"/>
    <col min="770" max="770" width="61.1640625" style="733" customWidth="1"/>
    <col min="771" max="771" width="15.1640625" style="733" customWidth="1"/>
    <col min="772" max="772" width="16.6640625" style="733" customWidth="1"/>
    <col min="773" max="773" width="16.33203125" style="733" customWidth="1"/>
    <col min="774" max="774" width="37" style="733" customWidth="1"/>
    <col min="775" max="1025" width="10.6640625" style="733"/>
    <col min="1026" max="1026" width="61.1640625" style="733" customWidth="1"/>
    <col min="1027" max="1027" width="15.1640625" style="733" customWidth="1"/>
    <col min="1028" max="1028" width="16.6640625" style="733" customWidth="1"/>
    <col min="1029" max="1029" width="16.33203125" style="733" customWidth="1"/>
    <col min="1030" max="1030" width="37" style="733" customWidth="1"/>
    <col min="1031" max="1281" width="10.6640625" style="733"/>
    <col min="1282" max="1282" width="61.1640625" style="733" customWidth="1"/>
    <col min="1283" max="1283" width="15.1640625" style="733" customWidth="1"/>
    <col min="1284" max="1284" width="16.6640625" style="733" customWidth="1"/>
    <col min="1285" max="1285" width="16.33203125" style="733" customWidth="1"/>
    <col min="1286" max="1286" width="37" style="733" customWidth="1"/>
    <col min="1287" max="1537" width="10.6640625" style="733"/>
    <col min="1538" max="1538" width="61.1640625" style="733" customWidth="1"/>
    <col min="1539" max="1539" width="15.1640625" style="733" customWidth="1"/>
    <col min="1540" max="1540" width="16.6640625" style="733" customWidth="1"/>
    <col min="1541" max="1541" width="16.33203125" style="733" customWidth="1"/>
    <col min="1542" max="1542" width="37" style="733" customWidth="1"/>
    <col min="1543" max="1793" width="10.6640625" style="733"/>
    <col min="1794" max="1794" width="61.1640625" style="733" customWidth="1"/>
    <col min="1795" max="1795" width="15.1640625" style="733" customWidth="1"/>
    <col min="1796" max="1796" width="16.6640625" style="733" customWidth="1"/>
    <col min="1797" max="1797" width="16.33203125" style="733" customWidth="1"/>
    <col min="1798" max="1798" width="37" style="733" customWidth="1"/>
    <col min="1799" max="2049" width="10.6640625" style="733"/>
    <col min="2050" max="2050" width="61.1640625" style="733" customWidth="1"/>
    <col min="2051" max="2051" width="15.1640625" style="733" customWidth="1"/>
    <col min="2052" max="2052" width="16.6640625" style="733" customWidth="1"/>
    <col min="2053" max="2053" width="16.33203125" style="733" customWidth="1"/>
    <col min="2054" max="2054" width="37" style="733" customWidth="1"/>
    <col min="2055" max="2305" width="10.6640625" style="733"/>
    <col min="2306" max="2306" width="61.1640625" style="733" customWidth="1"/>
    <col min="2307" max="2307" width="15.1640625" style="733" customWidth="1"/>
    <col min="2308" max="2308" width="16.6640625" style="733" customWidth="1"/>
    <col min="2309" max="2309" width="16.33203125" style="733" customWidth="1"/>
    <col min="2310" max="2310" width="37" style="733" customWidth="1"/>
    <col min="2311" max="2561" width="10.6640625" style="733"/>
    <col min="2562" max="2562" width="61.1640625" style="733" customWidth="1"/>
    <col min="2563" max="2563" width="15.1640625" style="733" customWidth="1"/>
    <col min="2564" max="2564" width="16.6640625" style="733" customWidth="1"/>
    <col min="2565" max="2565" width="16.33203125" style="733" customWidth="1"/>
    <col min="2566" max="2566" width="37" style="733" customWidth="1"/>
    <col min="2567" max="2817" width="10.6640625" style="733"/>
    <col min="2818" max="2818" width="61.1640625" style="733" customWidth="1"/>
    <col min="2819" max="2819" width="15.1640625" style="733" customWidth="1"/>
    <col min="2820" max="2820" width="16.6640625" style="733" customWidth="1"/>
    <col min="2821" max="2821" width="16.33203125" style="733" customWidth="1"/>
    <col min="2822" max="2822" width="37" style="733" customWidth="1"/>
    <col min="2823" max="3073" width="10.6640625" style="733"/>
    <col min="3074" max="3074" width="61.1640625" style="733" customWidth="1"/>
    <col min="3075" max="3075" width="15.1640625" style="733" customWidth="1"/>
    <col min="3076" max="3076" width="16.6640625" style="733" customWidth="1"/>
    <col min="3077" max="3077" width="16.33203125" style="733" customWidth="1"/>
    <col min="3078" max="3078" width="37" style="733" customWidth="1"/>
    <col min="3079" max="3329" width="10.6640625" style="733"/>
    <col min="3330" max="3330" width="61.1640625" style="733" customWidth="1"/>
    <col min="3331" max="3331" width="15.1640625" style="733" customWidth="1"/>
    <col min="3332" max="3332" width="16.6640625" style="733" customWidth="1"/>
    <col min="3333" max="3333" width="16.33203125" style="733" customWidth="1"/>
    <col min="3334" max="3334" width="37" style="733" customWidth="1"/>
    <col min="3335" max="3585" width="10.6640625" style="733"/>
    <col min="3586" max="3586" width="61.1640625" style="733" customWidth="1"/>
    <col min="3587" max="3587" width="15.1640625" style="733" customWidth="1"/>
    <col min="3588" max="3588" width="16.6640625" style="733" customWidth="1"/>
    <col min="3589" max="3589" width="16.33203125" style="733" customWidth="1"/>
    <col min="3590" max="3590" width="37" style="733" customWidth="1"/>
    <col min="3591" max="3841" width="10.6640625" style="733"/>
    <col min="3842" max="3842" width="61.1640625" style="733" customWidth="1"/>
    <col min="3843" max="3843" width="15.1640625" style="733" customWidth="1"/>
    <col min="3844" max="3844" width="16.6640625" style="733" customWidth="1"/>
    <col min="3845" max="3845" width="16.33203125" style="733" customWidth="1"/>
    <col min="3846" max="3846" width="37" style="733" customWidth="1"/>
    <col min="3847" max="4097" width="10.6640625" style="733"/>
    <col min="4098" max="4098" width="61.1640625" style="733" customWidth="1"/>
    <col min="4099" max="4099" width="15.1640625" style="733" customWidth="1"/>
    <col min="4100" max="4100" width="16.6640625" style="733" customWidth="1"/>
    <col min="4101" max="4101" width="16.33203125" style="733" customWidth="1"/>
    <col min="4102" max="4102" width="37" style="733" customWidth="1"/>
    <col min="4103" max="4353" width="10.6640625" style="733"/>
    <col min="4354" max="4354" width="61.1640625" style="733" customWidth="1"/>
    <col min="4355" max="4355" width="15.1640625" style="733" customWidth="1"/>
    <col min="4356" max="4356" width="16.6640625" style="733" customWidth="1"/>
    <col min="4357" max="4357" width="16.33203125" style="733" customWidth="1"/>
    <col min="4358" max="4358" width="37" style="733" customWidth="1"/>
    <col min="4359" max="4609" width="10.6640625" style="733"/>
    <col min="4610" max="4610" width="61.1640625" style="733" customWidth="1"/>
    <col min="4611" max="4611" width="15.1640625" style="733" customWidth="1"/>
    <col min="4612" max="4612" width="16.6640625" style="733" customWidth="1"/>
    <col min="4613" max="4613" width="16.33203125" style="733" customWidth="1"/>
    <col min="4614" max="4614" width="37" style="733" customWidth="1"/>
    <col min="4615" max="4865" width="10.6640625" style="733"/>
    <col min="4866" max="4866" width="61.1640625" style="733" customWidth="1"/>
    <col min="4867" max="4867" width="15.1640625" style="733" customWidth="1"/>
    <col min="4868" max="4868" width="16.6640625" style="733" customWidth="1"/>
    <col min="4869" max="4869" width="16.33203125" style="733" customWidth="1"/>
    <col min="4870" max="4870" width="37" style="733" customWidth="1"/>
    <col min="4871" max="5121" width="10.6640625" style="733"/>
    <col min="5122" max="5122" width="61.1640625" style="733" customWidth="1"/>
    <col min="5123" max="5123" width="15.1640625" style="733" customWidth="1"/>
    <col min="5124" max="5124" width="16.6640625" style="733" customWidth="1"/>
    <col min="5125" max="5125" width="16.33203125" style="733" customWidth="1"/>
    <col min="5126" max="5126" width="37" style="733" customWidth="1"/>
    <col min="5127" max="5377" width="10.6640625" style="733"/>
    <col min="5378" max="5378" width="61.1640625" style="733" customWidth="1"/>
    <col min="5379" max="5379" width="15.1640625" style="733" customWidth="1"/>
    <col min="5380" max="5380" width="16.6640625" style="733" customWidth="1"/>
    <col min="5381" max="5381" width="16.33203125" style="733" customWidth="1"/>
    <col min="5382" max="5382" width="37" style="733" customWidth="1"/>
    <col min="5383" max="5633" width="10.6640625" style="733"/>
    <col min="5634" max="5634" width="61.1640625" style="733" customWidth="1"/>
    <col min="5635" max="5635" width="15.1640625" style="733" customWidth="1"/>
    <col min="5636" max="5636" width="16.6640625" style="733" customWidth="1"/>
    <col min="5637" max="5637" width="16.33203125" style="733" customWidth="1"/>
    <col min="5638" max="5638" width="37" style="733" customWidth="1"/>
    <col min="5639" max="5889" width="10.6640625" style="733"/>
    <col min="5890" max="5890" width="61.1640625" style="733" customWidth="1"/>
    <col min="5891" max="5891" width="15.1640625" style="733" customWidth="1"/>
    <col min="5892" max="5892" width="16.6640625" style="733" customWidth="1"/>
    <col min="5893" max="5893" width="16.33203125" style="733" customWidth="1"/>
    <col min="5894" max="5894" width="37" style="733" customWidth="1"/>
    <col min="5895" max="6145" width="10.6640625" style="733"/>
    <col min="6146" max="6146" width="61.1640625" style="733" customWidth="1"/>
    <col min="6147" max="6147" width="15.1640625" style="733" customWidth="1"/>
    <col min="6148" max="6148" width="16.6640625" style="733" customWidth="1"/>
    <col min="6149" max="6149" width="16.33203125" style="733" customWidth="1"/>
    <col min="6150" max="6150" width="37" style="733" customWidth="1"/>
    <col min="6151" max="6401" width="10.6640625" style="733"/>
    <col min="6402" max="6402" width="61.1640625" style="733" customWidth="1"/>
    <col min="6403" max="6403" width="15.1640625" style="733" customWidth="1"/>
    <col min="6404" max="6404" width="16.6640625" style="733" customWidth="1"/>
    <col min="6405" max="6405" width="16.33203125" style="733" customWidth="1"/>
    <col min="6406" max="6406" width="37" style="733" customWidth="1"/>
    <col min="6407" max="6657" width="10.6640625" style="733"/>
    <col min="6658" max="6658" width="61.1640625" style="733" customWidth="1"/>
    <col min="6659" max="6659" width="15.1640625" style="733" customWidth="1"/>
    <col min="6660" max="6660" width="16.6640625" style="733" customWidth="1"/>
    <col min="6661" max="6661" width="16.33203125" style="733" customWidth="1"/>
    <col min="6662" max="6662" width="37" style="733" customWidth="1"/>
    <col min="6663" max="6913" width="10.6640625" style="733"/>
    <col min="6914" max="6914" width="61.1640625" style="733" customWidth="1"/>
    <col min="6915" max="6915" width="15.1640625" style="733" customWidth="1"/>
    <col min="6916" max="6916" width="16.6640625" style="733" customWidth="1"/>
    <col min="6917" max="6917" width="16.33203125" style="733" customWidth="1"/>
    <col min="6918" max="6918" width="37" style="733" customWidth="1"/>
    <col min="6919" max="7169" width="10.6640625" style="733"/>
    <col min="7170" max="7170" width="61.1640625" style="733" customWidth="1"/>
    <col min="7171" max="7171" width="15.1640625" style="733" customWidth="1"/>
    <col min="7172" max="7172" width="16.6640625" style="733" customWidth="1"/>
    <col min="7173" max="7173" width="16.33203125" style="733" customWidth="1"/>
    <col min="7174" max="7174" width="37" style="733" customWidth="1"/>
    <col min="7175" max="7425" width="10.6640625" style="733"/>
    <col min="7426" max="7426" width="61.1640625" style="733" customWidth="1"/>
    <col min="7427" max="7427" width="15.1640625" style="733" customWidth="1"/>
    <col min="7428" max="7428" width="16.6640625" style="733" customWidth="1"/>
    <col min="7429" max="7429" width="16.33203125" style="733" customWidth="1"/>
    <col min="7430" max="7430" width="37" style="733" customWidth="1"/>
    <col min="7431" max="7681" width="10.6640625" style="733"/>
    <col min="7682" max="7682" width="61.1640625" style="733" customWidth="1"/>
    <col min="7683" max="7683" width="15.1640625" style="733" customWidth="1"/>
    <col min="7684" max="7684" width="16.6640625" style="733" customWidth="1"/>
    <col min="7685" max="7685" width="16.33203125" style="733" customWidth="1"/>
    <col min="7686" max="7686" width="37" style="733" customWidth="1"/>
    <col min="7687" max="7937" width="10.6640625" style="733"/>
    <col min="7938" max="7938" width="61.1640625" style="733" customWidth="1"/>
    <col min="7939" max="7939" width="15.1640625" style="733" customWidth="1"/>
    <col min="7940" max="7940" width="16.6640625" style="733" customWidth="1"/>
    <col min="7941" max="7941" width="16.33203125" style="733" customWidth="1"/>
    <col min="7942" max="7942" width="37" style="733" customWidth="1"/>
    <col min="7943" max="8193" width="10.6640625" style="733"/>
    <col min="8194" max="8194" width="61.1640625" style="733" customWidth="1"/>
    <col min="8195" max="8195" width="15.1640625" style="733" customWidth="1"/>
    <col min="8196" max="8196" width="16.6640625" style="733" customWidth="1"/>
    <col min="8197" max="8197" width="16.33203125" style="733" customWidth="1"/>
    <col min="8198" max="8198" width="37" style="733" customWidth="1"/>
    <col min="8199" max="8449" width="10.6640625" style="733"/>
    <col min="8450" max="8450" width="61.1640625" style="733" customWidth="1"/>
    <col min="8451" max="8451" width="15.1640625" style="733" customWidth="1"/>
    <col min="8452" max="8452" width="16.6640625" style="733" customWidth="1"/>
    <col min="8453" max="8453" width="16.33203125" style="733" customWidth="1"/>
    <col min="8454" max="8454" width="37" style="733" customWidth="1"/>
    <col min="8455" max="8705" width="10.6640625" style="733"/>
    <col min="8706" max="8706" width="61.1640625" style="733" customWidth="1"/>
    <col min="8707" max="8707" width="15.1640625" style="733" customWidth="1"/>
    <col min="8708" max="8708" width="16.6640625" style="733" customWidth="1"/>
    <col min="8709" max="8709" width="16.33203125" style="733" customWidth="1"/>
    <col min="8710" max="8710" width="37" style="733" customWidth="1"/>
    <col min="8711" max="8961" width="10.6640625" style="733"/>
    <col min="8962" max="8962" width="61.1640625" style="733" customWidth="1"/>
    <col min="8963" max="8963" width="15.1640625" style="733" customWidth="1"/>
    <col min="8964" max="8964" width="16.6640625" style="733" customWidth="1"/>
    <col min="8965" max="8965" width="16.33203125" style="733" customWidth="1"/>
    <col min="8966" max="8966" width="37" style="733" customWidth="1"/>
    <col min="8967" max="9217" width="10.6640625" style="733"/>
    <col min="9218" max="9218" width="61.1640625" style="733" customWidth="1"/>
    <col min="9219" max="9219" width="15.1640625" style="733" customWidth="1"/>
    <col min="9220" max="9220" width="16.6640625" style="733" customWidth="1"/>
    <col min="9221" max="9221" width="16.33203125" style="733" customWidth="1"/>
    <col min="9222" max="9222" width="37" style="733" customWidth="1"/>
    <col min="9223" max="9473" width="10.6640625" style="733"/>
    <col min="9474" max="9474" width="61.1640625" style="733" customWidth="1"/>
    <col min="9475" max="9475" width="15.1640625" style="733" customWidth="1"/>
    <col min="9476" max="9476" width="16.6640625" style="733" customWidth="1"/>
    <col min="9477" max="9477" width="16.33203125" style="733" customWidth="1"/>
    <col min="9478" max="9478" width="37" style="733" customWidth="1"/>
    <col min="9479" max="9729" width="10.6640625" style="733"/>
    <col min="9730" max="9730" width="61.1640625" style="733" customWidth="1"/>
    <col min="9731" max="9731" width="15.1640625" style="733" customWidth="1"/>
    <col min="9732" max="9732" width="16.6640625" style="733" customWidth="1"/>
    <col min="9733" max="9733" width="16.33203125" style="733" customWidth="1"/>
    <col min="9734" max="9734" width="37" style="733" customWidth="1"/>
    <col min="9735" max="9985" width="10.6640625" style="733"/>
    <col min="9986" max="9986" width="61.1640625" style="733" customWidth="1"/>
    <col min="9987" max="9987" width="15.1640625" style="733" customWidth="1"/>
    <col min="9988" max="9988" width="16.6640625" style="733" customWidth="1"/>
    <col min="9989" max="9989" width="16.33203125" style="733" customWidth="1"/>
    <col min="9990" max="9990" width="37" style="733" customWidth="1"/>
    <col min="9991" max="10241" width="10.6640625" style="733"/>
    <col min="10242" max="10242" width="61.1640625" style="733" customWidth="1"/>
    <col min="10243" max="10243" width="15.1640625" style="733" customWidth="1"/>
    <col min="10244" max="10244" width="16.6640625" style="733" customWidth="1"/>
    <col min="10245" max="10245" width="16.33203125" style="733" customWidth="1"/>
    <col min="10246" max="10246" width="37" style="733" customWidth="1"/>
    <col min="10247" max="10497" width="10.6640625" style="733"/>
    <col min="10498" max="10498" width="61.1640625" style="733" customWidth="1"/>
    <col min="10499" max="10499" width="15.1640625" style="733" customWidth="1"/>
    <col min="10500" max="10500" width="16.6640625" style="733" customWidth="1"/>
    <col min="10501" max="10501" width="16.33203125" style="733" customWidth="1"/>
    <col min="10502" max="10502" width="37" style="733" customWidth="1"/>
    <col min="10503" max="10753" width="10.6640625" style="733"/>
    <col min="10754" max="10754" width="61.1640625" style="733" customWidth="1"/>
    <col min="10755" max="10755" width="15.1640625" style="733" customWidth="1"/>
    <col min="10756" max="10756" width="16.6640625" style="733" customWidth="1"/>
    <col min="10757" max="10757" width="16.33203125" style="733" customWidth="1"/>
    <col min="10758" max="10758" width="37" style="733" customWidth="1"/>
    <col min="10759" max="11009" width="10.6640625" style="733"/>
    <col min="11010" max="11010" width="61.1640625" style="733" customWidth="1"/>
    <col min="11011" max="11011" width="15.1640625" style="733" customWidth="1"/>
    <col min="11012" max="11012" width="16.6640625" style="733" customWidth="1"/>
    <col min="11013" max="11013" width="16.33203125" style="733" customWidth="1"/>
    <col min="11014" max="11014" width="37" style="733" customWidth="1"/>
    <col min="11015" max="11265" width="10.6640625" style="733"/>
    <col min="11266" max="11266" width="61.1640625" style="733" customWidth="1"/>
    <col min="11267" max="11267" width="15.1640625" style="733" customWidth="1"/>
    <col min="11268" max="11268" width="16.6640625" style="733" customWidth="1"/>
    <col min="11269" max="11269" width="16.33203125" style="733" customWidth="1"/>
    <col min="11270" max="11270" width="37" style="733" customWidth="1"/>
    <col min="11271" max="11521" width="10.6640625" style="733"/>
    <col min="11522" max="11522" width="61.1640625" style="733" customWidth="1"/>
    <col min="11523" max="11523" width="15.1640625" style="733" customWidth="1"/>
    <col min="11524" max="11524" width="16.6640625" style="733" customWidth="1"/>
    <col min="11525" max="11525" width="16.33203125" style="733" customWidth="1"/>
    <col min="11526" max="11526" width="37" style="733" customWidth="1"/>
    <col min="11527" max="11777" width="10.6640625" style="733"/>
    <col min="11778" max="11778" width="61.1640625" style="733" customWidth="1"/>
    <col min="11779" max="11779" width="15.1640625" style="733" customWidth="1"/>
    <col min="11780" max="11780" width="16.6640625" style="733" customWidth="1"/>
    <col min="11781" max="11781" width="16.33203125" style="733" customWidth="1"/>
    <col min="11782" max="11782" width="37" style="733" customWidth="1"/>
    <col min="11783" max="12033" width="10.6640625" style="733"/>
    <col min="12034" max="12034" width="61.1640625" style="733" customWidth="1"/>
    <col min="12035" max="12035" width="15.1640625" style="733" customWidth="1"/>
    <col min="12036" max="12036" width="16.6640625" style="733" customWidth="1"/>
    <col min="12037" max="12037" width="16.33203125" style="733" customWidth="1"/>
    <col min="12038" max="12038" width="37" style="733" customWidth="1"/>
    <col min="12039" max="12289" width="10.6640625" style="733"/>
    <col min="12290" max="12290" width="61.1640625" style="733" customWidth="1"/>
    <col min="12291" max="12291" width="15.1640625" style="733" customWidth="1"/>
    <col min="12292" max="12292" width="16.6640625" style="733" customWidth="1"/>
    <col min="12293" max="12293" width="16.33203125" style="733" customWidth="1"/>
    <col min="12294" max="12294" width="37" style="733" customWidth="1"/>
    <col min="12295" max="12545" width="10.6640625" style="733"/>
    <col min="12546" max="12546" width="61.1640625" style="733" customWidth="1"/>
    <col min="12547" max="12547" width="15.1640625" style="733" customWidth="1"/>
    <col min="12548" max="12548" width="16.6640625" style="733" customWidth="1"/>
    <col min="12549" max="12549" width="16.33203125" style="733" customWidth="1"/>
    <col min="12550" max="12550" width="37" style="733" customWidth="1"/>
    <col min="12551" max="12801" width="10.6640625" style="733"/>
    <col min="12802" max="12802" width="61.1640625" style="733" customWidth="1"/>
    <col min="12803" max="12803" width="15.1640625" style="733" customWidth="1"/>
    <col min="12804" max="12804" width="16.6640625" style="733" customWidth="1"/>
    <col min="12805" max="12805" width="16.33203125" style="733" customWidth="1"/>
    <col min="12806" max="12806" width="37" style="733" customWidth="1"/>
    <col min="12807" max="13057" width="10.6640625" style="733"/>
    <col min="13058" max="13058" width="61.1640625" style="733" customWidth="1"/>
    <col min="13059" max="13059" width="15.1640625" style="733" customWidth="1"/>
    <col min="13060" max="13060" width="16.6640625" style="733" customWidth="1"/>
    <col min="13061" max="13061" width="16.33203125" style="733" customWidth="1"/>
    <col min="13062" max="13062" width="37" style="733" customWidth="1"/>
    <col min="13063" max="13313" width="10.6640625" style="733"/>
    <col min="13314" max="13314" width="61.1640625" style="733" customWidth="1"/>
    <col min="13315" max="13315" width="15.1640625" style="733" customWidth="1"/>
    <col min="13316" max="13316" width="16.6640625" style="733" customWidth="1"/>
    <col min="13317" max="13317" width="16.33203125" style="733" customWidth="1"/>
    <col min="13318" max="13318" width="37" style="733" customWidth="1"/>
    <col min="13319" max="13569" width="10.6640625" style="733"/>
    <col min="13570" max="13570" width="61.1640625" style="733" customWidth="1"/>
    <col min="13571" max="13571" width="15.1640625" style="733" customWidth="1"/>
    <col min="13572" max="13572" width="16.6640625" style="733" customWidth="1"/>
    <col min="13573" max="13573" width="16.33203125" style="733" customWidth="1"/>
    <col min="13574" max="13574" width="37" style="733" customWidth="1"/>
    <col min="13575" max="13825" width="10.6640625" style="733"/>
    <col min="13826" max="13826" width="61.1640625" style="733" customWidth="1"/>
    <col min="13827" max="13827" width="15.1640625" style="733" customWidth="1"/>
    <col min="13828" max="13828" width="16.6640625" style="733" customWidth="1"/>
    <col min="13829" max="13829" width="16.33203125" style="733" customWidth="1"/>
    <col min="13830" max="13830" width="37" style="733" customWidth="1"/>
    <col min="13831" max="14081" width="10.6640625" style="733"/>
    <col min="14082" max="14082" width="61.1640625" style="733" customWidth="1"/>
    <col min="14083" max="14083" width="15.1640625" style="733" customWidth="1"/>
    <col min="14084" max="14084" width="16.6640625" style="733" customWidth="1"/>
    <col min="14085" max="14085" width="16.33203125" style="733" customWidth="1"/>
    <col min="14086" max="14086" width="37" style="733" customWidth="1"/>
    <col min="14087" max="14337" width="10.6640625" style="733"/>
    <col min="14338" max="14338" width="61.1640625" style="733" customWidth="1"/>
    <col min="14339" max="14339" width="15.1640625" style="733" customWidth="1"/>
    <col min="14340" max="14340" width="16.6640625" style="733" customWidth="1"/>
    <col min="14341" max="14341" width="16.33203125" style="733" customWidth="1"/>
    <col min="14342" max="14342" width="37" style="733" customWidth="1"/>
    <col min="14343" max="14593" width="10.6640625" style="733"/>
    <col min="14594" max="14594" width="61.1640625" style="733" customWidth="1"/>
    <col min="14595" max="14595" width="15.1640625" style="733" customWidth="1"/>
    <col min="14596" max="14596" width="16.6640625" style="733" customWidth="1"/>
    <col min="14597" max="14597" width="16.33203125" style="733" customWidth="1"/>
    <col min="14598" max="14598" width="37" style="733" customWidth="1"/>
    <col min="14599" max="14849" width="10.6640625" style="733"/>
    <col min="14850" max="14850" width="61.1640625" style="733" customWidth="1"/>
    <col min="14851" max="14851" width="15.1640625" style="733" customWidth="1"/>
    <col min="14852" max="14852" width="16.6640625" style="733" customWidth="1"/>
    <col min="14853" max="14853" width="16.33203125" style="733" customWidth="1"/>
    <col min="14854" max="14854" width="37" style="733" customWidth="1"/>
    <col min="14855" max="15105" width="10.6640625" style="733"/>
    <col min="15106" max="15106" width="61.1640625" style="733" customWidth="1"/>
    <col min="15107" max="15107" width="15.1640625" style="733" customWidth="1"/>
    <col min="15108" max="15108" width="16.6640625" style="733" customWidth="1"/>
    <col min="15109" max="15109" width="16.33203125" style="733" customWidth="1"/>
    <col min="15110" max="15110" width="37" style="733" customWidth="1"/>
    <col min="15111" max="15361" width="10.6640625" style="733"/>
    <col min="15362" max="15362" width="61.1640625" style="733" customWidth="1"/>
    <col min="15363" max="15363" width="15.1640625" style="733" customWidth="1"/>
    <col min="15364" max="15364" width="16.6640625" style="733" customWidth="1"/>
    <col min="15365" max="15365" width="16.33203125" style="733" customWidth="1"/>
    <col min="15366" max="15366" width="37" style="733" customWidth="1"/>
    <col min="15367" max="15617" width="10.6640625" style="733"/>
    <col min="15618" max="15618" width="61.1640625" style="733" customWidth="1"/>
    <col min="15619" max="15619" width="15.1640625" style="733" customWidth="1"/>
    <col min="15620" max="15620" width="16.6640625" style="733" customWidth="1"/>
    <col min="15621" max="15621" width="16.33203125" style="733" customWidth="1"/>
    <col min="15622" max="15622" width="37" style="733" customWidth="1"/>
    <col min="15623" max="15873" width="10.6640625" style="733"/>
    <col min="15874" max="15874" width="61.1640625" style="733" customWidth="1"/>
    <col min="15875" max="15875" width="15.1640625" style="733" customWidth="1"/>
    <col min="15876" max="15876" width="16.6640625" style="733" customWidth="1"/>
    <col min="15877" max="15877" width="16.33203125" style="733" customWidth="1"/>
    <col min="15878" max="15878" width="37" style="733" customWidth="1"/>
    <col min="15879" max="16129" width="10.6640625" style="733"/>
    <col min="16130" max="16130" width="61.1640625" style="733" customWidth="1"/>
    <col min="16131" max="16131" width="15.1640625" style="733" customWidth="1"/>
    <col min="16132" max="16132" width="16.6640625" style="733" customWidth="1"/>
    <col min="16133" max="16133" width="16.33203125" style="733" customWidth="1"/>
    <col min="16134" max="16134" width="37" style="733" customWidth="1"/>
    <col min="16135" max="16384" width="10.6640625" style="733"/>
  </cols>
  <sheetData>
    <row r="1" spans="1:6" x14ac:dyDescent="0.2">
      <c r="A1" s="732"/>
      <c r="B1" s="732"/>
      <c r="C1" s="732"/>
      <c r="D1" s="732"/>
      <c r="E1" s="732"/>
      <c r="F1" s="732"/>
    </row>
    <row r="2" spans="1:6" x14ac:dyDescent="0.2">
      <c r="A2" s="732"/>
      <c r="B2" s="732"/>
      <c r="C2" s="732"/>
      <c r="D2" s="732"/>
      <c r="E2" s="732"/>
      <c r="F2" s="732"/>
    </row>
    <row r="3" spans="1:6" x14ac:dyDescent="0.2">
      <c r="A3" s="732"/>
      <c r="B3" s="732"/>
      <c r="C3" s="732"/>
      <c r="D3" s="732"/>
      <c r="E3" s="732"/>
      <c r="F3" s="732"/>
    </row>
    <row r="4" spans="1:6" x14ac:dyDescent="0.2">
      <c r="A4" s="732"/>
      <c r="B4" s="732"/>
      <c r="C4" s="732"/>
      <c r="D4" s="732"/>
      <c r="E4" s="732"/>
      <c r="F4" s="732"/>
    </row>
    <row r="5" spans="1:6" ht="27" x14ac:dyDescent="0.2">
      <c r="A5" s="734"/>
      <c r="B5" s="735" t="s">
        <v>1036</v>
      </c>
      <c r="C5" s="735" t="s">
        <v>1037</v>
      </c>
      <c r="D5" s="735" t="s">
        <v>1038</v>
      </c>
      <c r="E5" s="735" t="s">
        <v>1039</v>
      </c>
      <c r="F5" s="736" t="s">
        <v>1040</v>
      </c>
    </row>
    <row r="6" spans="1:6" ht="20.25" customHeight="1" x14ac:dyDescent="0.25">
      <c r="A6" s="737" t="s">
        <v>1041</v>
      </c>
      <c r="B6" s="738">
        <v>676077421</v>
      </c>
      <c r="C6" s="738">
        <v>160535678</v>
      </c>
      <c r="D6" s="738">
        <v>131356871</v>
      </c>
      <c r="E6" s="739">
        <v>122914450</v>
      </c>
      <c r="F6" s="740" t="s">
        <v>1042</v>
      </c>
    </row>
    <row r="7" spans="1:6" x14ac:dyDescent="0.2">
      <c r="A7" s="740"/>
      <c r="B7" s="738"/>
      <c r="C7" s="738"/>
      <c r="D7" s="738"/>
      <c r="E7" s="738"/>
      <c r="F7" s="740"/>
    </row>
    <row r="8" spans="1:6" ht="17.25" customHeight="1" x14ac:dyDescent="0.2">
      <c r="A8" s="741" t="s">
        <v>1043</v>
      </c>
      <c r="B8" s="738"/>
      <c r="C8" s="738"/>
      <c r="D8" s="738"/>
      <c r="E8" s="738"/>
      <c r="F8" s="740"/>
    </row>
    <row r="9" spans="1:6" ht="24" customHeight="1" x14ac:dyDescent="0.2">
      <c r="A9" s="742" t="s">
        <v>1044</v>
      </c>
      <c r="B9" s="743">
        <v>95000000</v>
      </c>
      <c r="C9" s="743">
        <v>165000000</v>
      </c>
      <c r="D9" s="743">
        <v>165000000</v>
      </c>
      <c r="E9" s="743">
        <v>165000000</v>
      </c>
      <c r="F9" s="744" t="s">
        <v>1045</v>
      </c>
    </row>
    <row r="10" spans="1:6" ht="13.5" x14ac:dyDescent="0.2">
      <c r="A10" s="741"/>
      <c r="B10" s="745"/>
      <c r="C10" s="745"/>
      <c r="D10" s="745"/>
      <c r="E10" s="745"/>
      <c r="F10" s="746"/>
    </row>
    <row r="11" spans="1:6" ht="13.5" x14ac:dyDescent="0.2">
      <c r="A11" s="741" t="s">
        <v>1046</v>
      </c>
      <c r="B11" s="743"/>
      <c r="C11" s="743"/>
      <c r="D11" s="743"/>
      <c r="E11" s="743"/>
      <c r="F11" s="746"/>
    </row>
    <row r="12" spans="1:6" ht="28.5" customHeight="1" x14ac:dyDescent="0.2">
      <c r="A12" s="747" t="s">
        <v>1047</v>
      </c>
      <c r="B12" s="743">
        <v>50186664</v>
      </c>
      <c r="C12" s="743">
        <v>50186664</v>
      </c>
      <c r="D12" s="743">
        <v>50186664</v>
      </c>
      <c r="E12" s="743">
        <v>50186664</v>
      </c>
      <c r="F12" s="748" t="s">
        <v>1048</v>
      </c>
    </row>
    <row r="13" spans="1:6" ht="28.5" customHeight="1" x14ac:dyDescent="0.2">
      <c r="A13" s="749" t="s">
        <v>1049</v>
      </c>
      <c r="B13" s="743"/>
      <c r="C13" s="743"/>
      <c r="D13" s="743"/>
      <c r="E13" s="743"/>
      <c r="F13" s="748"/>
    </row>
    <row r="14" spans="1:6" s="750" customFormat="1" ht="28.5" customHeight="1" x14ac:dyDescent="0.2">
      <c r="A14" s="747" t="s">
        <v>1050</v>
      </c>
      <c r="B14" s="743">
        <v>8871868</v>
      </c>
      <c r="C14" s="743">
        <v>9883798</v>
      </c>
      <c r="D14" s="743">
        <v>11004180</v>
      </c>
      <c r="E14" s="743">
        <v>12266327</v>
      </c>
      <c r="F14" s="748" t="s">
        <v>1051</v>
      </c>
    </row>
    <row r="15" spans="1:6" s="750" customFormat="1" ht="28.5" customHeight="1" x14ac:dyDescent="0.2">
      <c r="A15" s="747" t="s">
        <v>1052</v>
      </c>
      <c r="B15" s="743">
        <v>0</v>
      </c>
      <c r="C15" s="743">
        <v>0</v>
      </c>
      <c r="D15" s="743">
        <v>0</v>
      </c>
      <c r="E15" s="743">
        <v>0</v>
      </c>
      <c r="F15" s="748" t="s">
        <v>1053</v>
      </c>
    </row>
    <row r="16" spans="1:6" s="750" customFormat="1" ht="22.5" customHeight="1" x14ac:dyDescent="0.2">
      <c r="A16" s="749" t="s">
        <v>1054</v>
      </c>
      <c r="B16" s="743"/>
      <c r="C16" s="743"/>
      <c r="D16" s="743"/>
      <c r="E16" s="743"/>
      <c r="F16" s="748"/>
    </row>
    <row r="17" spans="1:6" s="750" customFormat="1" ht="24.75" customHeight="1" x14ac:dyDescent="0.2">
      <c r="A17" s="747" t="s">
        <v>1055</v>
      </c>
      <c r="B17" s="814"/>
      <c r="C17" s="743">
        <v>249999996</v>
      </c>
      <c r="D17" s="743">
        <v>250000004</v>
      </c>
      <c r="E17" s="743"/>
      <c r="F17" s="748" t="s">
        <v>1056</v>
      </c>
    </row>
    <row r="18" spans="1:6" ht="20.100000000000001" customHeight="1" x14ac:dyDescent="0.2">
      <c r="A18" s="751" t="s">
        <v>1057</v>
      </c>
      <c r="B18" s="752">
        <f>SUM(B6:B17)</f>
        <v>830135953</v>
      </c>
      <c r="C18" s="752">
        <f t="shared" ref="C18:E18" si="0">SUM(C6:C17)</f>
        <v>635606136</v>
      </c>
      <c r="D18" s="752">
        <f t="shared" si="0"/>
        <v>607547719</v>
      </c>
      <c r="E18" s="752">
        <f t="shared" si="0"/>
        <v>350367441</v>
      </c>
      <c r="F18" s="751"/>
    </row>
    <row r="19" spans="1:6" x14ac:dyDescent="0.2">
      <c r="A19" s="732"/>
      <c r="B19" s="732"/>
      <c r="C19" s="732"/>
      <c r="D19" s="732"/>
      <c r="E19" s="732"/>
      <c r="F19" s="732"/>
    </row>
    <row r="20" spans="1:6" x14ac:dyDescent="0.2">
      <c r="A20" s="732"/>
      <c r="B20" s="732"/>
      <c r="C20" s="732"/>
      <c r="D20" s="732"/>
      <c r="E20" s="732"/>
      <c r="F20" s="732"/>
    </row>
    <row r="21" spans="1:6" x14ac:dyDescent="0.2">
      <c r="A21" s="753" t="s">
        <v>79</v>
      </c>
      <c r="B21" s="753"/>
      <c r="C21" s="753"/>
      <c r="D21" s="753"/>
      <c r="E21" s="753"/>
      <c r="F21" s="753"/>
    </row>
  </sheetData>
  <printOptions horizontalCentered="1" verticalCentered="1"/>
  <pageMargins left="0.39370078740157483" right="0.39370078740157483" top="0.59055118110236227" bottom="0.78740157480314965" header="0.11811023622047245" footer="0.31496062992125984"/>
  <pageSetup paperSize="9" scale="90" orientation="landscape" r:id="rId1"/>
  <headerFooter alignWithMargins="0">
    <oddHeader>&amp;C&amp;"Times New Roman CE,Félkövér"&amp;12
&amp;"Times New Roman,Félkövér"Több éves kihatással járó döntések számszerűsítése évenkénti bontásban&amp;R
&amp;"Times New Roman CE,Félkövér dőlt"17. melléklet
Adatok forintban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Q169"/>
  <sheetViews>
    <sheetView topLeftCell="B1" zoomScale="96" zoomScaleNormal="96" workbookViewId="0">
      <pane ySplit="2" topLeftCell="A3" activePane="bottomLeft" state="frozen"/>
      <selection activeCell="M5" sqref="M5"/>
      <selection pane="bottomLeft" activeCell="C185" sqref="C185"/>
    </sheetView>
  </sheetViews>
  <sheetFormatPr defaultRowHeight="12.75" x14ac:dyDescent="0.2"/>
  <cols>
    <col min="1" max="1" width="4.5" style="19" customWidth="1"/>
    <col min="2" max="2" width="4.6640625" style="19" customWidth="1"/>
    <col min="3" max="3" width="38.5" style="19" customWidth="1"/>
    <col min="4" max="4" width="9.5" style="34" customWidth="1"/>
    <col min="5" max="5" width="17.83203125" style="19" customWidth="1"/>
    <col min="6" max="6" width="16.5" style="19" customWidth="1"/>
    <col min="7" max="7" width="16.83203125" style="19" customWidth="1"/>
    <col min="8" max="8" width="16.5" style="19" customWidth="1"/>
    <col min="9" max="9" width="15.6640625" style="19" customWidth="1"/>
    <col min="10" max="10" width="12.5" style="19" customWidth="1"/>
    <col min="11" max="11" width="11" style="19" customWidth="1"/>
    <col min="12" max="12" width="14.1640625" style="19" customWidth="1"/>
    <col min="13" max="13" width="17.83203125" style="19" customWidth="1"/>
    <col min="14" max="14" width="11.6640625" style="19" customWidth="1"/>
    <col min="15" max="15" width="18.6640625" style="19" customWidth="1"/>
    <col min="16" max="16" width="15.83203125" style="19" customWidth="1"/>
    <col min="17" max="254" width="9.33203125" style="19"/>
    <col min="255" max="256" width="5.33203125" style="19" customWidth="1"/>
    <col min="257" max="257" width="40.83203125" style="19" customWidth="1"/>
    <col min="258" max="258" width="9.83203125" style="19" customWidth="1"/>
    <col min="259" max="259" width="13" style="19" customWidth="1"/>
    <col min="260" max="260" width="13.1640625" style="19" customWidth="1"/>
    <col min="261" max="261" width="12.33203125" style="19" customWidth="1"/>
    <col min="262" max="262" width="11.33203125" style="19" customWidth="1"/>
    <col min="263" max="263" width="11.83203125" style="19" customWidth="1"/>
    <col min="264" max="264" width="10.83203125" style="19" customWidth="1"/>
    <col min="265" max="265" width="13.1640625" style="19" customWidth="1"/>
    <col min="266" max="266" width="11.33203125" style="19" customWidth="1"/>
    <col min="267" max="268" width="12.33203125" style="19" customWidth="1"/>
    <col min="269" max="269" width="13.1640625" style="19" customWidth="1"/>
    <col min="270" max="270" width="18.33203125" style="19" customWidth="1"/>
    <col min="271" max="271" width="7.33203125" style="19" customWidth="1"/>
    <col min="272" max="510" width="9.33203125" style="19"/>
    <col min="511" max="512" width="5.33203125" style="19" customWidth="1"/>
    <col min="513" max="513" width="40.83203125" style="19" customWidth="1"/>
    <col min="514" max="514" width="9.83203125" style="19" customWidth="1"/>
    <col min="515" max="515" width="13" style="19" customWidth="1"/>
    <col min="516" max="516" width="13.1640625" style="19" customWidth="1"/>
    <col min="517" max="517" width="12.33203125" style="19" customWidth="1"/>
    <col min="518" max="518" width="11.33203125" style="19" customWidth="1"/>
    <col min="519" max="519" width="11.83203125" style="19" customWidth="1"/>
    <col min="520" max="520" width="10.83203125" style="19" customWidth="1"/>
    <col min="521" max="521" width="13.1640625" style="19" customWidth="1"/>
    <col min="522" max="522" width="11.33203125" style="19" customWidth="1"/>
    <col min="523" max="524" width="12.33203125" style="19" customWidth="1"/>
    <col min="525" max="525" width="13.1640625" style="19" customWidth="1"/>
    <col min="526" max="526" width="18.33203125" style="19" customWidth="1"/>
    <col min="527" max="527" width="7.33203125" style="19" customWidth="1"/>
    <col min="528" max="766" width="9.33203125" style="19"/>
    <col min="767" max="768" width="5.33203125" style="19" customWidth="1"/>
    <col min="769" max="769" width="40.83203125" style="19" customWidth="1"/>
    <col min="770" max="770" width="9.83203125" style="19" customWidth="1"/>
    <col min="771" max="771" width="13" style="19" customWidth="1"/>
    <col min="772" max="772" width="13.1640625" style="19" customWidth="1"/>
    <col min="773" max="773" width="12.33203125" style="19" customWidth="1"/>
    <col min="774" max="774" width="11.33203125" style="19" customWidth="1"/>
    <col min="775" max="775" width="11.83203125" style="19" customWidth="1"/>
    <col min="776" max="776" width="10.83203125" style="19" customWidth="1"/>
    <col min="777" max="777" width="13.1640625" style="19" customWidth="1"/>
    <col min="778" max="778" width="11.33203125" style="19" customWidth="1"/>
    <col min="779" max="780" width="12.33203125" style="19" customWidth="1"/>
    <col min="781" max="781" width="13.1640625" style="19" customWidth="1"/>
    <col min="782" max="782" width="18.33203125" style="19" customWidth="1"/>
    <col min="783" max="783" width="7.33203125" style="19" customWidth="1"/>
    <col min="784" max="1022" width="9.33203125" style="19"/>
    <col min="1023" max="1024" width="5.33203125" style="19" customWidth="1"/>
    <col min="1025" max="1025" width="40.83203125" style="19" customWidth="1"/>
    <col min="1026" max="1026" width="9.83203125" style="19" customWidth="1"/>
    <col min="1027" max="1027" width="13" style="19" customWidth="1"/>
    <col min="1028" max="1028" width="13.1640625" style="19" customWidth="1"/>
    <col min="1029" max="1029" width="12.33203125" style="19" customWidth="1"/>
    <col min="1030" max="1030" width="11.33203125" style="19" customWidth="1"/>
    <col min="1031" max="1031" width="11.83203125" style="19" customWidth="1"/>
    <col min="1032" max="1032" width="10.83203125" style="19" customWidth="1"/>
    <col min="1033" max="1033" width="13.1640625" style="19" customWidth="1"/>
    <col min="1034" max="1034" width="11.33203125" style="19" customWidth="1"/>
    <col min="1035" max="1036" width="12.33203125" style="19" customWidth="1"/>
    <col min="1037" max="1037" width="13.1640625" style="19" customWidth="1"/>
    <col min="1038" max="1038" width="18.33203125" style="19" customWidth="1"/>
    <col min="1039" max="1039" width="7.33203125" style="19" customWidth="1"/>
    <col min="1040" max="1278" width="9.33203125" style="19"/>
    <col min="1279" max="1280" width="5.33203125" style="19" customWidth="1"/>
    <col min="1281" max="1281" width="40.83203125" style="19" customWidth="1"/>
    <col min="1282" max="1282" width="9.83203125" style="19" customWidth="1"/>
    <col min="1283" max="1283" width="13" style="19" customWidth="1"/>
    <col min="1284" max="1284" width="13.1640625" style="19" customWidth="1"/>
    <col min="1285" max="1285" width="12.33203125" style="19" customWidth="1"/>
    <col min="1286" max="1286" width="11.33203125" style="19" customWidth="1"/>
    <col min="1287" max="1287" width="11.83203125" style="19" customWidth="1"/>
    <col min="1288" max="1288" width="10.83203125" style="19" customWidth="1"/>
    <col min="1289" max="1289" width="13.1640625" style="19" customWidth="1"/>
    <col min="1290" max="1290" width="11.33203125" style="19" customWidth="1"/>
    <col min="1291" max="1292" width="12.33203125" style="19" customWidth="1"/>
    <col min="1293" max="1293" width="13.1640625" style="19" customWidth="1"/>
    <col min="1294" max="1294" width="18.33203125" style="19" customWidth="1"/>
    <col min="1295" max="1295" width="7.33203125" style="19" customWidth="1"/>
    <col min="1296" max="1534" width="9.33203125" style="19"/>
    <col min="1535" max="1536" width="5.33203125" style="19" customWidth="1"/>
    <col min="1537" max="1537" width="40.83203125" style="19" customWidth="1"/>
    <col min="1538" max="1538" width="9.83203125" style="19" customWidth="1"/>
    <col min="1539" max="1539" width="13" style="19" customWidth="1"/>
    <col min="1540" max="1540" width="13.1640625" style="19" customWidth="1"/>
    <col min="1541" max="1541" width="12.33203125" style="19" customWidth="1"/>
    <col min="1542" max="1542" width="11.33203125" style="19" customWidth="1"/>
    <col min="1543" max="1543" width="11.83203125" style="19" customWidth="1"/>
    <col min="1544" max="1544" width="10.83203125" style="19" customWidth="1"/>
    <col min="1545" max="1545" width="13.1640625" style="19" customWidth="1"/>
    <col min="1546" max="1546" width="11.33203125" style="19" customWidth="1"/>
    <col min="1547" max="1548" width="12.33203125" style="19" customWidth="1"/>
    <col min="1549" max="1549" width="13.1640625" style="19" customWidth="1"/>
    <col min="1550" max="1550" width="18.33203125" style="19" customWidth="1"/>
    <col min="1551" max="1551" width="7.33203125" style="19" customWidth="1"/>
    <col min="1552" max="1790" width="9.33203125" style="19"/>
    <col min="1791" max="1792" width="5.33203125" style="19" customWidth="1"/>
    <col min="1793" max="1793" width="40.83203125" style="19" customWidth="1"/>
    <col min="1794" max="1794" width="9.83203125" style="19" customWidth="1"/>
    <col min="1795" max="1795" width="13" style="19" customWidth="1"/>
    <col min="1796" max="1796" width="13.1640625" style="19" customWidth="1"/>
    <col min="1797" max="1797" width="12.33203125" style="19" customWidth="1"/>
    <col min="1798" max="1798" width="11.33203125" style="19" customWidth="1"/>
    <col min="1799" max="1799" width="11.83203125" style="19" customWidth="1"/>
    <col min="1800" max="1800" width="10.83203125" style="19" customWidth="1"/>
    <col min="1801" max="1801" width="13.1640625" style="19" customWidth="1"/>
    <col min="1802" max="1802" width="11.33203125" style="19" customWidth="1"/>
    <col min="1803" max="1804" width="12.33203125" style="19" customWidth="1"/>
    <col min="1805" max="1805" width="13.1640625" style="19" customWidth="1"/>
    <col min="1806" max="1806" width="18.33203125" style="19" customWidth="1"/>
    <col min="1807" max="1807" width="7.33203125" style="19" customWidth="1"/>
    <col min="1808" max="2046" width="9.33203125" style="19"/>
    <col min="2047" max="2048" width="5.33203125" style="19" customWidth="1"/>
    <col min="2049" max="2049" width="40.83203125" style="19" customWidth="1"/>
    <col min="2050" max="2050" width="9.83203125" style="19" customWidth="1"/>
    <col min="2051" max="2051" width="13" style="19" customWidth="1"/>
    <col min="2052" max="2052" width="13.1640625" style="19" customWidth="1"/>
    <col min="2053" max="2053" width="12.33203125" style="19" customWidth="1"/>
    <col min="2054" max="2054" width="11.33203125" style="19" customWidth="1"/>
    <col min="2055" max="2055" width="11.83203125" style="19" customWidth="1"/>
    <col min="2056" max="2056" width="10.83203125" style="19" customWidth="1"/>
    <col min="2057" max="2057" width="13.1640625" style="19" customWidth="1"/>
    <col min="2058" max="2058" width="11.33203125" style="19" customWidth="1"/>
    <col min="2059" max="2060" width="12.33203125" style="19" customWidth="1"/>
    <col min="2061" max="2061" width="13.1640625" style="19" customWidth="1"/>
    <col min="2062" max="2062" width="18.33203125" style="19" customWidth="1"/>
    <col min="2063" max="2063" width="7.33203125" style="19" customWidth="1"/>
    <col min="2064" max="2302" width="9.33203125" style="19"/>
    <col min="2303" max="2304" width="5.33203125" style="19" customWidth="1"/>
    <col min="2305" max="2305" width="40.83203125" style="19" customWidth="1"/>
    <col min="2306" max="2306" width="9.83203125" style="19" customWidth="1"/>
    <col min="2307" max="2307" width="13" style="19" customWidth="1"/>
    <col min="2308" max="2308" width="13.1640625" style="19" customWidth="1"/>
    <col min="2309" max="2309" width="12.33203125" style="19" customWidth="1"/>
    <col min="2310" max="2310" width="11.33203125" style="19" customWidth="1"/>
    <col min="2311" max="2311" width="11.83203125" style="19" customWidth="1"/>
    <col min="2312" max="2312" width="10.83203125" style="19" customWidth="1"/>
    <col min="2313" max="2313" width="13.1640625" style="19" customWidth="1"/>
    <col min="2314" max="2314" width="11.33203125" style="19" customWidth="1"/>
    <col min="2315" max="2316" width="12.33203125" style="19" customWidth="1"/>
    <col min="2317" max="2317" width="13.1640625" style="19" customWidth="1"/>
    <col min="2318" max="2318" width="18.33203125" style="19" customWidth="1"/>
    <col min="2319" max="2319" width="7.33203125" style="19" customWidth="1"/>
    <col min="2320" max="2558" width="9.33203125" style="19"/>
    <col min="2559" max="2560" width="5.33203125" style="19" customWidth="1"/>
    <col min="2561" max="2561" width="40.83203125" style="19" customWidth="1"/>
    <col min="2562" max="2562" width="9.83203125" style="19" customWidth="1"/>
    <col min="2563" max="2563" width="13" style="19" customWidth="1"/>
    <col min="2564" max="2564" width="13.1640625" style="19" customWidth="1"/>
    <col min="2565" max="2565" width="12.33203125" style="19" customWidth="1"/>
    <col min="2566" max="2566" width="11.33203125" style="19" customWidth="1"/>
    <col min="2567" max="2567" width="11.83203125" style="19" customWidth="1"/>
    <col min="2568" max="2568" width="10.83203125" style="19" customWidth="1"/>
    <col min="2569" max="2569" width="13.1640625" style="19" customWidth="1"/>
    <col min="2570" max="2570" width="11.33203125" style="19" customWidth="1"/>
    <col min="2571" max="2572" width="12.33203125" style="19" customWidth="1"/>
    <col min="2573" max="2573" width="13.1640625" style="19" customWidth="1"/>
    <col min="2574" max="2574" width="18.33203125" style="19" customWidth="1"/>
    <col min="2575" max="2575" width="7.33203125" style="19" customWidth="1"/>
    <col min="2576" max="2814" width="9.33203125" style="19"/>
    <col min="2815" max="2816" width="5.33203125" style="19" customWidth="1"/>
    <col min="2817" max="2817" width="40.83203125" style="19" customWidth="1"/>
    <col min="2818" max="2818" width="9.83203125" style="19" customWidth="1"/>
    <col min="2819" max="2819" width="13" style="19" customWidth="1"/>
    <col min="2820" max="2820" width="13.1640625" style="19" customWidth="1"/>
    <col min="2821" max="2821" width="12.33203125" style="19" customWidth="1"/>
    <col min="2822" max="2822" width="11.33203125" style="19" customWidth="1"/>
    <col min="2823" max="2823" width="11.83203125" style="19" customWidth="1"/>
    <col min="2824" max="2824" width="10.83203125" style="19" customWidth="1"/>
    <col min="2825" max="2825" width="13.1640625" style="19" customWidth="1"/>
    <col min="2826" max="2826" width="11.33203125" style="19" customWidth="1"/>
    <col min="2827" max="2828" width="12.33203125" style="19" customWidth="1"/>
    <col min="2829" max="2829" width="13.1640625" style="19" customWidth="1"/>
    <col min="2830" max="2830" width="18.33203125" style="19" customWidth="1"/>
    <col min="2831" max="2831" width="7.33203125" style="19" customWidth="1"/>
    <col min="2832" max="3070" width="9.33203125" style="19"/>
    <col min="3071" max="3072" width="5.33203125" style="19" customWidth="1"/>
    <col min="3073" max="3073" width="40.83203125" style="19" customWidth="1"/>
    <col min="3074" max="3074" width="9.83203125" style="19" customWidth="1"/>
    <col min="3075" max="3075" width="13" style="19" customWidth="1"/>
    <col min="3076" max="3076" width="13.1640625" style="19" customWidth="1"/>
    <col min="3077" max="3077" width="12.33203125" style="19" customWidth="1"/>
    <col min="3078" max="3078" width="11.33203125" style="19" customWidth="1"/>
    <col min="3079" max="3079" width="11.83203125" style="19" customWidth="1"/>
    <col min="3080" max="3080" width="10.83203125" style="19" customWidth="1"/>
    <col min="3081" max="3081" width="13.1640625" style="19" customWidth="1"/>
    <col min="3082" max="3082" width="11.33203125" style="19" customWidth="1"/>
    <col min="3083" max="3084" width="12.33203125" style="19" customWidth="1"/>
    <col min="3085" max="3085" width="13.1640625" style="19" customWidth="1"/>
    <col min="3086" max="3086" width="18.33203125" style="19" customWidth="1"/>
    <col min="3087" max="3087" width="7.33203125" style="19" customWidth="1"/>
    <col min="3088" max="3326" width="9.33203125" style="19"/>
    <col min="3327" max="3328" width="5.33203125" style="19" customWidth="1"/>
    <col min="3329" max="3329" width="40.83203125" style="19" customWidth="1"/>
    <col min="3330" max="3330" width="9.83203125" style="19" customWidth="1"/>
    <col min="3331" max="3331" width="13" style="19" customWidth="1"/>
    <col min="3332" max="3332" width="13.1640625" style="19" customWidth="1"/>
    <col min="3333" max="3333" width="12.33203125" style="19" customWidth="1"/>
    <col min="3334" max="3334" width="11.33203125" style="19" customWidth="1"/>
    <col min="3335" max="3335" width="11.83203125" style="19" customWidth="1"/>
    <col min="3336" max="3336" width="10.83203125" style="19" customWidth="1"/>
    <col min="3337" max="3337" width="13.1640625" style="19" customWidth="1"/>
    <col min="3338" max="3338" width="11.33203125" style="19" customWidth="1"/>
    <col min="3339" max="3340" width="12.33203125" style="19" customWidth="1"/>
    <col min="3341" max="3341" width="13.1640625" style="19" customWidth="1"/>
    <col min="3342" max="3342" width="18.33203125" style="19" customWidth="1"/>
    <col min="3343" max="3343" width="7.33203125" style="19" customWidth="1"/>
    <col min="3344" max="3582" width="9.33203125" style="19"/>
    <col min="3583" max="3584" width="5.33203125" style="19" customWidth="1"/>
    <col min="3585" max="3585" width="40.83203125" style="19" customWidth="1"/>
    <col min="3586" max="3586" width="9.83203125" style="19" customWidth="1"/>
    <col min="3587" max="3587" width="13" style="19" customWidth="1"/>
    <col min="3588" max="3588" width="13.1640625" style="19" customWidth="1"/>
    <col min="3589" max="3589" width="12.33203125" style="19" customWidth="1"/>
    <col min="3590" max="3590" width="11.33203125" style="19" customWidth="1"/>
    <col min="3591" max="3591" width="11.83203125" style="19" customWidth="1"/>
    <col min="3592" max="3592" width="10.83203125" style="19" customWidth="1"/>
    <col min="3593" max="3593" width="13.1640625" style="19" customWidth="1"/>
    <col min="3594" max="3594" width="11.33203125" style="19" customWidth="1"/>
    <col min="3595" max="3596" width="12.33203125" style="19" customWidth="1"/>
    <col min="3597" max="3597" width="13.1640625" style="19" customWidth="1"/>
    <col min="3598" max="3598" width="18.33203125" style="19" customWidth="1"/>
    <col min="3599" max="3599" width="7.33203125" style="19" customWidth="1"/>
    <col min="3600" max="3838" width="9.33203125" style="19"/>
    <col min="3839" max="3840" width="5.33203125" style="19" customWidth="1"/>
    <col min="3841" max="3841" width="40.83203125" style="19" customWidth="1"/>
    <col min="3842" max="3842" width="9.83203125" style="19" customWidth="1"/>
    <col min="3843" max="3843" width="13" style="19" customWidth="1"/>
    <col min="3844" max="3844" width="13.1640625" style="19" customWidth="1"/>
    <col min="3845" max="3845" width="12.33203125" style="19" customWidth="1"/>
    <col min="3846" max="3846" width="11.33203125" style="19" customWidth="1"/>
    <col min="3847" max="3847" width="11.83203125" style="19" customWidth="1"/>
    <col min="3848" max="3848" width="10.83203125" style="19" customWidth="1"/>
    <col min="3849" max="3849" width="13.1640625" style="19" customWidth="1"/>
    <col min="3850" max="3850" width="11.33203125" style="19" customWidth="1"/>
    <col min="3851" max="3852" width="12.33203125" style="19" customWidth="1"/>
    <col min="3853" max="3853" width="13.1640625" style="19" customWidth="1"/>
    <col min="3854" max="3854" width="18.33203125" style="19" customWidth="1"/>
    <col min="3855" max="3855" width="7.33203125" style="19" customWidth="1"/>
    <col min="3856" max="4094" width="9.33203125" style="19"/>
    <col min="4095" max="4096" width="5.33203125" style="19" customWidth="1"/>
    <col min="4097" max="4097" width="40.83203125" style="19" customWidth="1"/>
    <col min="4098" max="4098" width="9.83203125" style="19" customWidth="1"/>
    <col min="4099" max="4099" width="13" style="19" customWidth="1"/>
    <col min="4100" max="4100" width="13.1640625" style="19" customWidth="1"/>
    <col min="4101" max="4101" width="12.33203125" style="19" customWidth="1"/>
    <col min="4102" max="4102" width="11.33203125" style="19" customWidth="1"/>
    <col min="4103" max="4103" width="11.83203125" style="19" customWidth="1"/>
    <col min="4104" max="4104" width="10.83203125" style="19" customWidth="1"/>
    <col min="4105" max="4105" width="13.1640625" style="19" customWidth="1"/>
    <col min="4106" max="4106" width="11.33203125" style="19" customWidth="1"/>
    <col min="4107" max="4108" width="12.33203125" style="19" customWidth="1"/>
    <col min="4109" max="4109" width="13.1640625" style="19" customWidth="1"/>
    <col min="4110" max="4110" width="18.33203125" style="19" customWidth="1"/>
    <col min="4111" max="4111" width="7.33203125" style="19" customWidth="1"/>
    <col min="4112" max="4350" width="9.33203125" style="19"/>
    <col min="4351" max="4352" width="5.33203125" style="19" customWidth="1"/>
    <col min="4353" max="4353" width="40.83203125" style="19" customWidth="1"/>
    <col min="4354" max="4354" width="9.83203125" style="19" customWidth="1"/>
    <col min="4355" max="4355" width="13" style="19" customWidth="1"/>
    <col min="4356" max="4356" width="13.1640625" style="19" customWidth="1"/>
    <col min="4357" max="4357" width="12.33203125" style="19" customWidth="1"/>
    <col min="4358" max="4358" width="11.33203125" style="19" customWidth="1"/>
    <col min="4359" max="4359" width="11.83203125" style="19" customWidth="1"/>
    <col min="4360" max="4360" width="10.83203125" style="19" customWidth="1"/>
    <col min="4361" max="4361" width="13.1640625" style="19" customWidth="1"/>
    <col min="4362" max="4362" width="11.33203125" style="19" customWidth="1"/>
    <col min="4363" max="4364" width="12.33203125" style="19" customWidth="1"/>
    <col min="4365" max="4365" width="13.1640625" style="19" customWidth="1"/>
    <col min="4366" max="4366" width="18.33203125" style="19" customWidth="1"/>
    <col min="4367" max="4367" width="7.33203125" style="19" customWidth="1"/>
    <col min="4368" max="4606" width="9.33203125" style="19"/>
    <col min="4607" max="4608" width="5.33203125" style="19" customWidth="1"/>
    <col min="4609" max="4609" width="40.83203125" style="19" customWidth="1"/>
    <col min="4610" max="4610" width="9.83203125" style="19" customWidth="1"/>
    <col min="4611" max="4611" width="13" style="19" customWidth="1"/>
    <col min="4612" max="4612" width="13.1640625" style="19" customWidth="1"/>
    <col min="4613" max="4613" width="12.33203125" style="19" customWidth="1"/>
    <col min="4614" max="4614" width="11.33203125" style="19" customWidth="1"/>
    <col min="4615" max="4615" width="11.83203125" style="19" customWidth="1"/>
    <col min="4616" max="4616" width="10.83203125" style="19" customWidth="1"/>
    <col min="4617" max="4617" width="13.1640625" style="19" customWidth="1"/>
    <col min="4618" max="4618" width="11.33203125" style="19" customWidth="1"/>
    <col min="4619" max="4620" width="12.33203125" style="19" customWidth="1"/>
    <col min="4621" max="4621" width="13.1640625" style="19" customWidth="1"/>
    <col min="4622" max="4622" width="18.33203125" style="19" customWidth="1"/>
    <col min="4623" max="4623" width="7.33203125" style="19" customWidth="1"/>
    <col min="4624" max="4862" width="9.33203125" style="19"/>
    <col min="4863" max="4864" width="5.33203125" style="19" customWidth="1"/>
    <col min="4865" max="4865" width="40.83203125" style="19" customWidth="1"/>
    <col min="4866" max="4866" width="9.83203125" style="19" customWidth="1"/>
    <col min="4867" max="4867" width="13" style="19" customWidth="1"/>
    <col min="4868" max="4868" width="13.1640625" style="19" customWidth="1"/>
    <col min="4869" max="4869" width="12.33203125" style="19" customWidth="1"/>
    <col min="4870" max="4870" width="11.33203125" style="19" customWidth="1"/>
    <col min="4871" max="4871" width="11.83203125" style="19" customWidth="1"/>
    <col min="4872" max="4872" width="10.83203125" style="19" customWidth="1"/>
    <col min="4873" max="4873" width="13.1640625" style="19" customWidth="1"/>
    <col min="4874" max="4874" width="11.33203125" style="19" customWidth="1"/>
    <col min="4875" max="4876" width="12.33203125" style="19" customWidth="1"/>
    <col min="4877" max="4877" width="13.1640625" style="19" customWidth="1"/>
    <col min="4878" max="4878" width="18.33203125" style="19" customWidth="1"/>
    <col min="4879" max="4879" width="7.33203125" style="19" customWidth="1"/>
    <col min="4880" max="5118" width="9.33203125" style="19"/>
    <col min="5119" max="5120" width="5.33203125" style="19" customWidth="1"/>
    <col min="5121" max="5121" width="40.83203125" style="19" customWidth="1"/>
    <col min="5122" max="5122" width="9.83203125" style="19" customWidth="1"/>
    <col min="5123" max="5123" width="13" style="19" customWidth="1"/>
    <col min="5124" max="5124" width="13.1640625" style="19" customWidth="1"/>
    <col min="5125" max="5125" width="12.33203125" style="19" customWidth="1"/>
    <col min="5126" max="5126" width="11.33203125" style="19" customWidth="1"/>
    <col min="5127" max="5127" width="11.83203125" style="19" customWidth="1"/>
    <col min="5128" max="5128" width="10.83203125" style="19" customWidth="1"/>
    <col min="5129" max="5129" width="13.1640625" style="19" customWidth="1"/>
    <col min="5130" max="5130" width="11.33203125" style="19" customWidth="1"/>
    <col min="5131" max="5132" width="12.33203125" style="19" customWidth="1"/>
    <col min="5133" max="5133" width="13.1640625" style="19" customWidth="1"/>
    <col min="5134" max="5134" width="18.33203125" style="19" customWidth="1"/>
    <col min="5135" max="5135" width="7.33203125" style="19" customWidth="1"/>
    <col min="5136" max="5374" width="9.33203125" style="19"/>
    <col min="5375" max="5376" width="5.33203125" style="19" customWidth="1"/>
    <col min="5377" max="5377" width="40.83203125" style="19" customWidth="1"/>
    <col min="5378" max="5378" width="9.83203125" style="19" customWidth="1"/>
    <col min="5379" max="5379" width="13" style="19" customWidth="1"/>
    <col min="5380" max="5380" width="13.1640625" style="19" customWidth="1"/>
    <col min="5381" max="5381" width="12.33203125" style="19" customWidth="1"/>
    <col min="5382" max="5382" width="11.33203125" style="19" customWidth="1"/>
    <col min="5383" max="5383" width="11.83203125" style="19" customWidth="1"/>
    <col min="5384" max="5384" width="10.83203125" style="19" customWidth="1"/>
    <col min="5385" max="5385" width="13.1640625" style="19" customWidth="1"/>
    <col min="5386" max="5386" width="11.33203125" style="19" customWidth="1"/>
    <col min="5387" max="5388" width="12.33203125" style="19" customWidth="1"/>
    <col min="5389" max="5389" width="13.1640625" style="19" customWidth="1"/>
    <col min="5390" max="5390" width="18.33203125" style="19" customWidth="1"/>
    <col min="5391" max="5391" width="7.33203125" style="19" customWidth="1"/>
    <col min="5392" max="5630" width="9.33203125" style="19"/>
    <col min="5631" max="5632" width="5.33203125" style="19" customWidth="1"/>
    <col min="5633" max="5633" width="40.83203125" style="19" customWidth="1"/>
    <col min="5634" max="5634" width="9.83203125" style="19" customWidth="1"/>
    <col min="5635" max="5635" width="13" style="19" customWidth="1"/>
    <col min="5636" max="5636" width="13.1640625" style="19" customWidth="1"/>
    <col min="5637" max="5637" width="12.33203125" style="19" customWidth="1"/>
    <col min="5638" max="5638" width="11.33203125" style="19" customWidth="1"/>
    <col min="5639" max="5639" width="11.83203125" style="19" customWidth="1"/>
    <col min="5640" max="5640" width="10.83203125" style="19" customWidth="1"/>
    <col min="5641" max="5641" width="13.1640625" style="19" customWidth="1"/>
    <col min="5642" max="5642" width="11.33203125" style="19" customWidth="1"/>
    <col min="5643" max="5644" width="12.33203125" style="19" customWidth="1"/>
    <col min="5645" max="5645" width="13.1640625" style="19" customWidth="1"/>
    <col min="5646" max="5646" width="18.33203125" style="19" customWidth="1"/>
    <col min="5647" max="5647" width="7.33203125" style="19" customWidth="1"/>
    <col min="5648" max="5886" width="9.33203125" style="19"/>
    <col min="5887" max="5888" width="5.33203125" style="19" customWidth="1"/>
    <col min="5889" max="5889" width="40.83203125" style="19" customWidth="1"/>
    <col min="5890" max="5890" width="9.83203125" style="19" customWidth="1"/>
    <col min="5891" max="5891" width="13" style="19" customWidth="1"/>
    <col min="5892" max="5892" width="13.1640625" style="19" customWidth="1"/>
    <col min="5893" max="5893" width="12.33203125" style="19" customWidth="1"/>
    <col min="5894" max="5894" width="11.33203125" style="19" customWidth="1"/>
    <col min="5895" max="5895" width="11.83203125" style="19" customWidth="1"/>
    <col min="5896" max="5896" width="10.83203125" style="19" customWidth="1"/>
    <col min="5897" max="5897" width="13.1640625" style="19" customWidth="1"/>
    <col min="5898" max="5898" width="11.33203125" style="19" customWidth="1"/>
    <col min="5899" max="5900" width="12.33203125" style="19" customWidth="1"/>
    <col min="5901" max="5901" width="13.1640625" style="19" customWidth="1"/>
    <col min="5902" max="5902" width="18.33203125" style="19" customWidth="1"/>
    <col min="5903" max="5903" width="7.33203125" style="19" customWidth="1"/>
    <col min="5904" max="6142" width="9.33203125" style="19"/>
    <col min="6143" max="6144" width="5.33203125" style="19" customWidth="1"/>
    <col min="6145" max="6145" width="40.83203125" style="19" customWidth="1"/>
    <col min="6146" max="6146" width="9.83203125" style="19" customWidth="1"/>
    <col min="6147" max="6147" width="13" style="19" customWidth="1"/>
    <col min="6148" max="6148" width="13.1640625" style="19" customWidth="1"/>
    <col min="6149" max="6149" width="12.33203125" style="19" customWidth="1"/>
    <col min="6150" max="6150" width="11.33203125" style="19" customWidth="1"/>
    <col min="6151" max="6151" width="11.83203125" style="19" customWidth="1"/>
    <col min="6152" max="6152" width="10.83203125" style="19" customWidth="1"/>
    <col min="6153" max="6153" width="13.1640625" style="19" customWidth="1"/>
    <col min="6154" max="6154" width="11.33203125" style="19" customWidth="1"/>
    <col min="6155" max="6156" width="12.33203125" style="19" customWidth="1"/>
    <col min="6157" max="6157" width="13.1640625" style="19" customWidth="1"/>
    <col min="6158" max="6158" width="18.33203125" style="19" customWidth="1"/>
    <col min="6159" max="6159" width="7.33203125" style="19" customWidth="1"/>
    <col min="6160" max="6398" width="9.33203125" style="19"/>
    <col min="6399" max="6400" width="5.33203125" style="19" customWidth="1"/>
    <col min="6401" max="6401" width="40.83203125" style="19" customWidth="1"/>
    <col min="6402" max="6402" width="9.83203125" style="19" customWidth="1"/>
    <col min="6403" max="6403" width="13" style="19" customWidth="1"/>
    <col min="6404" max="6404" width="13.1640625" style="19" customWidth="1"/>
    <col min="6405" max="6405" width="12.33203125" style="19" customWidth="1"/>
    <col min="6406" max="6406" width="11.33203125" style="19" customWidth="1"/>
    <col min="6407" max="6407" width="11.83203125" style="19" customWidth="1"/>
    <col min="6408" max="6408" width="10.83203125" style="19" customWidth="1"/>
    <col min="6409" max="6409" width="13.1640625" style="19" customWidth="1"/>
    <col min="6410" max="6410" width="11.33203125" style="19" customWidth="1"/>
    <col min="6411" max="6412" width="12.33203125" style="19" customWidth="1"/>
    <col min="6413" max="6413" width="13.1640625" style="19" customWidth="1"/>
    <col min="6414" max="6414" width="18.33203125" style="19" customWidth="1"/>
    <col min="6415" max="6415" width="7.33203125" style="19" customWidth="1"/>
    <col min="6416" max="6654" width="9.33203125" style="19"/>
    <col min="6655" max="6656" width="5.33203125" style="19" customWidth="1"/>
    <col min="6657" max="6657" width="40.83203125" style="19" customWidth="1"/>
    <col min="6658" max="6658" width="9.83203125" style="19" customWidth="1"/>
    <col min="6659" max="6659" width="13" style="19" customWidth="1"/>
    <col min="6660" max="6660" width="13.1640625" style="19" customWidth="1"/>
    <col min="6661" max="6661" width="12.33203125" style="19" customWidth="1"/>
    <col min="6662" max="6662" width="11.33203125" style="19" customWidth="1"/>
    <col min="6663" max="6663" width="11.83203125" style="19" customWidth="1"/>
    <col min="6664" max="6664" width="10.83203125" style="19" customWidth="1"/>
    <col min="6665" max="6665" width="13.1640625" style="19" customWidth="1"/>
    <col min="6666" max="6666" width="11.33203125" style="19" customWidth="1"/>
    <col min="6667" max="6668" width="12.33203125" style="19" customWidth="1"/>
    <col min="6669" max="6669" width="13.1640625" style="19" customWidth="1"/>
    <col min="6670" max="6670" width="18.33203125" style="19" customWidth="1"/>
    <col min="6671" max="6671" width="7.33203125" style="19" customWidth="1"/>
    <col min="6672" max="6910" width="9.33203125" style="19"/>
    <col min="6911" max="6912" width="5.33203125" style="19" customWidth="1"/>
    <col min="6913" max="6913" width="40.83203125" style="19" customWidth="1"/>
    <col min="6914" max="6914" width="9.83203125" style="19" customWidth="1"/>
    <col min="6915" max="6915" width="13" style="19" customWidth="1"/>
    <col min="6916" max="6916" width="13.1640625" style="19" customWidth="1"/>
    <col min="6917" max="6917" width="12.33203125" style="19" customWidth="1"/>
    <col min="6918" max="6918" width="11.33203125" style="19" customWidth="1"/>
    <col min="6919" max="6919" width="11.83203125" style="19" customWidth="1"/>
    <col min="6920" max="6920" width="10.83203125" style="19" customWidth="1"/>
    <col min="6921" max="6921" width="13.1640625" style="19" customWidth="1"/>
    <col min="6922" max="6922" width="11.33203125" style="19" customWidth="1"/>
    <col min="6923" max="6924" width="12.33203125" style="19" customWidth="1"/>
    <col min="6925" max="6925" width="13.1640625" style="19" customWidth="1"/>
    <col min="6926" max="6926" width="18.33203125" style="19" customWidth="1"/>
    <col min="6927" max="6927" width="7.33203125" style="19" customWidth="1"/>
    <col min="6928" max="7166" width="9.33203125" style="19"/>
    <col min="7167" max="7168" width="5.33203125" style="19" customWidth="1"/>
    <col min="7169" max="7169" width="40.83203125" style="19" customWidth="1"/>
    <col min="7170" max="7170" width="9.83203125" style="19" customWidth="1"/>
    <col min="7171" max="7171" width="13" style="19" customWidth="1"/>
    <col min="7172" max="7172" width="13.1640625" style="19" customWidth="1"/>
    <col min="7173" max="7173" width="12.33203125" style="19" customWidth="1"/>
    <col min="7174" max="7174" width="11.33203125" style="19" customWidth="1"/>
    <col min="7175" max="7175" width="11.83203125" style="19" customWidth="1"/>
    <col min="7176" max="7176" width="10.83203125" style="19" customWidth="1"/>
    <col min="7177" max="7177" width="13.1640625" style="19" customWidth="1"/>
    <col min="7178" max="7178" width="11.33203125" style="19" customWidth="1"/>
    <col min="7179" max="7180" width="12.33203125" style="19" customWidth="1"/>
    <col min="7181" max="7181" width="13.1640625" style="19" customWidth="1"/>
    <col min="7182" max="7182" width="18.33203125" style="19" customWidth="1"/>
    <col min="7183" max="7183" width="7.33203125" style="19" customWidth="1"/>
    <col min="7184" max="7422" width="9.33203125" style="19"/>
    <col min="7423" max="7424" width="5.33203125" style="19" customWidth="1"/>
    <col min="7425" max="7425" width="40.83203125" style="19" customWidth="1"/>
    <col min="7426" max="7426" width="9.83203125" style="19" customWidth="1"/>
    <col min="7427" max="7427" width="13" style="19" customWidth="1"/>
    <col min="7428" max="7428" width="13.1640625" style="19" customWidth="1"/>
    <col min="7429" max="7429" width="12.33203125" style="19" customWidth="1"/>
    <col min="7430" max="7430" width="11.33203125" style="19" customWidth="1"/>
    <col min="7431" max="7431" width="11.83203125" style="19" customWidth="1"/>
    <col min="7432" max="7432" width="10.83203125" style="19" customWidth="1"/>
    <col min="7433" max="7433" width="13.1640625" style="19" customWidth="1"/>
    <col min="7434" max="7434" width="11.33203125" style="19" customWidth="1"/>
    <col min="7435" max="7436" width="12.33203125" style="19" customWidth="1"/>
    <col min="7437" max="7437" width="13.1640625" style="19" customWidth="1"/>
    <col min="7438" max="7438" width="18.33203125" style="19" customWidth="1"/>
    <col min="7439" max="7439" width="7.33203125" style="19" customWidth="1"/>
    <col min="7440" max="7678" width="9.33203125" style="19"/>
    <col min="7679" max="7680" width="5.33203125" style="19" customWidth="1"/>
    <col min="7681" max="7681" width="40.83203125" style="19" customWidth="1"/>
    <col min="7682" max="7682" width="9.83203125" style="19" customWidth="1"/>
    <col min="7683" max="7683" width="13" style="19" customWidth="1"/>
    <col min="7684" max="7684" width="13.1640625" style="19" customWidth="1"/>
    <col min="7685" max="7685" width="12.33203125" style="19" customWidth="1"/>
    <col min="7686" max="7686" width="11.33203125" style="19" customWidth="1"/>
    <col min="7687" max="7687" width="11.83203125" style="19" customWidth="1"/>
    <col min="7688" max="7688" width="10.83203125" style="19" customWidth="1"/>
    <col min="7689" max="7689" width="13.1640625" style="19" customWidth="1"/>
    <col min="7690" max="7690" width="11.33203125" style="19" customWidth="1"/>
    <col min="7691" max="7692" width="12.33203125" style="19" customWidth="1"/>
    <col min="7693" max="7693" width="13.1640625" style="19" customWidth="1"/>
    <col min="7694" max="7694" width="18.33203125" style="19" customWidth="1"/>
    <col min="7695" max="7695" width="7.33203125" style="19" customWidth="1"/>
    <col min="7696" max="7934" width="9.33203125" style="19"/>
    <col min="7935" max="7936" width="5.33203125" style="19" customWidth="1"/>
    <col min="7937" max="7937" width="40.83203125" style="19" customWidth="1"/>
    <col min="7938" max="7938" width="9.83203125" style="19" customWidth="1"/>
    <col min="7939" max="7939" width="13" style="19" customWidth="1"/>
    <col min="7940" max="7940" width="13.1640625" style="19" customWidth="1"/>
    <col min="7941" max="7941" width="12.33203125" style="19" customWidth="1"/>
    <col min="7942" max="7942" width="11.33203125" style="19" customWidth="1"/>
    <col min="7943" max="7943" width="11.83203125" style="19" customWidth="1"/>
    <col min="7944" max="7944" width="10.83203125" style="19" customWidth="1"/>
    <col min="7945" max="7945" width="13.1640625" style="19" customWidth="1"/>
    <col min="7946" max="7946" width="11.33203125" style="19" customWidth="1"/>
    <col min="7947" max="7948" width="12.33203125" style="19" customWidth="1"/>
    <col min="7949" max="7949" width="13.1640625" style="19" customWidth="1"/>
    <col min="7950" max="7950" width="18.33203125" style="19" customWidth="1"/>
    <col min="7951" max="7951" width="7.33203125" style="19" customWidth="1"/>
    <col min="7952" max="8190" width="9.33203125" style="19"/>
    <col min="8191" max="8192" width="5.33203125" style="19" customWidth="1"/>
    <col min="8193" max="8193" width="40.83203125" style="19" customWidth="1"/>
    <col min="8194" max="8194" width="9.83203125" style="19" customWidth="1"/>
    <col min="8195" max="8195" width="13" style="19" customWidth="1"/>
    <col min="8196" max="8196" width="13.1640625" style="19" customWidth="1"/>
    <col min="8197" max="8197" width="12.33203125" style="19" customWidth="1"/>
    <col min="8198" max="8198" width="11.33203125" style="19" customWidth="1"/>
    <col min="8199" max="8199" width="11.83203125" style="19" customWidth="1"/>
    <col min="8200" max="8200" width="10.83203125" style="19" customWidth="1"/>
    <col min="8201" max="8201" width="13.1640625" style="19" customWidth="1"/>
    <col min="8202" max="8202" width="11.33203125" style="19" customWidth="1"/>
    <col min="8203" max="8204" width="12.33203125" style="19" customWidth="1"/>
    <col min="8205" max="8205" width="13.1640625" style="19" customWidth="1"/>
    <col min="8206" max="8206" width="18.33203125" style="19" customWidth="1"/>
    <col min="8207" max="8207" width="7.33203125" style="19" customWidth="1"/>
    <col min="8208" max="8446" width="9.33203125" style="19"/>
    <col min="8447" max="8448" width="5.33203125" style="19" customWidth="1"/>
    <col min="8449" max="8449" width="40.83203125" style="19" customWidth="1"/>
    <col min="8450" max="8450" width="9.83203125" style="19" customWidth="1"/>
    <col min="8451" max="8451" width="13" style="19" customWidth="1"/>
    <col min="8452" max="8452" width="13.1640625" style="19" customWidth="1"/>
    <col min="8453" max="8453" width="12.33203125" style="19" customWidth="1"/>
    <col min="8454" max="8454" width="11.33203125" style="19" customWidth="1"/>
    <col min="8455" max="8455" width="11.83203125" style="19" customWidth="1"/>
    <col min="8456" max="8456" width="10.83203125" style="19" customWidth="1"/>
    <col min="8457" max="8457" width="13.1640625" style="19" customWidth="1"/>
    <col min="8458" max="8458" width="11.33203125" style="19" customWidth="1"/>
    <col min="8459" max="8460" width="12.33203125" style="19" customWidth="1"/>
    <col min="8461" max="8461" width="13.1640625" style="19" customWidth="1"/>
    <col min="8462" max="8462" width="18.33203125" style="19" customWidth="1"/>
    <col min="8463" max="8463" width="7.33203125" style="19" customWidth="1"/>
    <col min="8464" max="8702" width="9.33203125" style="19"/>
    <col min="8703" max="8704" width="5.33203125" style="19" customWidth="1"/>
    <col min="8705" max="8705" width="40.83203125" style="19" customWidth="1"/>
    <col min="8706" max="8706" width="9.83203125" style="19" customWidth="1"/>
    <col min="8707" max="8707" width="13" style="19" customWidth="1"/>
    <col min="8708" max="8708" width="13.1640625" style="19" customWidth="1"/>
    <col min="8709" max="8709" width="12.33203125" style="19" customWidth="1"/>
    <col min="8710" max="8710" width="11.33203125" style="19" customWidth="1"/>
    <col min="8711" max="8711" width="11.83203125" style="19" customWidth="1"/>
    <col min="8712" max="8712" width="10.83203125" style="19" customWidth="1"/>
    <col min="8713" max="8713" width="13.1640625" style="19" customWidth="1"/>
    <col min="8714" max="8714" width="11.33203125" style="19" customWidth="1"/>
    <col min="8715" max="8716" width="12.33203125" style="19" customWidth="1"/>
    <col min="8717" max="8717" width="13.1640625" style="19" customWidth="1"/>
    <col min="8718" max="8718" width="18.33203125" style="19" customWidth="1"/>
    <col min="8719" max="8719" width="7.33203125" style="19" customWidth="1"/>
    <col min="8720" max="8958" width="9.33203125" style="19"/>
    <col min="8959" max="8960" width="5.33203125" style="19" customWidth="1"/>
    <col min="8961" max="8961" width="40.83203125" style="19" customWidth="1"/>
    <col min="8962" max="8962" width="9.83203125" style="19" customWidth="1"/>
    <col min="8963" max="8963" width="13" style="19" customWidth="1"/>
    <col min="8964" max="8964" width="13.1640625" style="19" customWidth="1"/>
    <col min="8965" max="8965" width="12.33203125" style="19" customWidth="1"/>
    <col min="8966" max="8966" width="11.33203125" style="19" customWidth="1"/>
    <col min="8967" max="8967" width="11.83203125" style="19" customWidth="1"/>
    <col min="8968" max="8968" width="10.83203125" style="19" customWidth="1"/>
    <col min="8969" max="8969" width="13.1640625" style="19" customWidth="1"/>
    <col min="8970" max="8970" width="11.33203125" style="19" customWidth="1"/>
    <col min="8971" max="8972" width="12.33203125" style="19" customWidth="1"/>
    <col min="8973" max="8973" width="13.1640625" style="19" customWidth="1"/>
    <col min="8974" max="8974" width="18.33203125" style="19" customWidth="1"/>
    <col min="8975" max="8975" width="7.33203125" style="19" customWidth="1"/>
    <col min="8976" max="9214" width="9.33203125" style="19"/>
    <col min="9215" max="9216" width="5.33203125" style="19" customWidth="1"/>
    <col min="9217" max="9217" width="40.83203125" style="19" customWidth="1"/>
    <col min="9218" max="9218" width="9.83203125" style="19" customWidth="1"/>
    <col min="9219" max="9219" width="13" style="19" customWidth="1"/>
    <col min="9220" max="9220" width="13.1640625" style="19" customWidth="1"/>
    <col min="9221" max="9221" width="12.33203125" style="19" customWidth="1"/>
    <col min="9222" max="9222" width="11.33203125" style="19" customWidth="1"/>
    <col min="9223" max="9223" width="11.83203125" style="19" customWidth="1"/>
    <col min="9224" max="9224" width="10.83203125" style="19" customWidth="1"/>
    <col min="9225" max="9225" width="13.1640625" style="19" customWidth="1"/>
    <col min="9226" max="9226" width="11.33203125" style="19" customWidth="1"/>
    <col min="9227" max="9228" width="12.33203125" style="19" customWidth="1"/>
    <col min="9229" max="9229" width="13.1640625" style="19" customWidth="1"/>
    <col min="9230" max="9230" width="18.33203125" style="19" customWidth="1"/>
    <col min="9231" max="9231" width="7.33203125" style="19" customWidth="1"/>
    <col min="9232" max="9470" width="9.33203125" style="19"/>
    <col min="9471" max="9472" width="5.33203125" style="19" customWidth="1"/>
    <col min="9473" max="9473" width="40.83203125" style="19" customWidth="1"/>
    <col min="9474" max="9474" width="9.83203125" style="19" customWidth="1"/>
    <col min="9475" max="9475" width="13" style="19" customWidth="1"/>
    <col min="9476" max="9476" width="13.1640625" style="19" customWidth="1"/>
    <col min="9477" max="9477" width="12.33203125" style="19" customWidth="1"/>
    <col min="9478" max="9478" width="11.33203125" style="19" customWidth="1"/>
    <col min="9479" max="9479" width="11.83203125" style="19" customWidth="1"/>
    <col min="9480" max="9480" width="10.83203125" style="19" customWidth="1"/>
    <col min="9481" max="9481" width="13.1640625" style="19" customWidth="1"/>
    <col min="9482" max="9482" width="11.33203125" style="19" customWidth="1"/>
    <col min="9483" max="9484" width="12.33203125" style="19" customWidth="1"/>
    <col min="9485" max="9485" width="13.1640625" style="19" customWidth="1"/>
    <col min="9486" max="9486" width="18.33203125" style="19" customWidth="1"/>
    <col min="9487" max="9487" width="7.33203125" style="19" customWidth="1"/>
    <col min="9488" max="9726" width="9.33203125" style="19"/>
    <col min="9727" max="9728" width="5.33203125" style="19" customWidth="1"/>
    <col min="9729" max="9729" width="40.83203125" style="19" customWidth="1"/>
    <col min="9730" max="9730" width="9.83203125" style="19" customWidth="1"/>
    <col min="9731" max="9731" width="13" style="19" customWidth="1"/>
    <col min="9732" max="9732" width="13.1640625" style="19" customWidth="1"/>
    <col min="9733" max="9733" width="12.33203125" style="19" customWidth="1"/>
    <col min="9734" max="9734" width="11.33203125" style="19" customWidth="1"/>
    <col min="9735" max="9735" width="11.83203125" style="19" customWidth="1"/>
    <col min="9736" max="9736" width="10.83203125" style="19" customWidth="1"/>
    <col min="9737" max="9737" width="13.1640625" style="19" customWidth="1"/>
    <col min="9738" max="9738" width="11.33203125" style="19" customWidth="1"/>
    <col min="9739" max="9740" width="12.33203125" style="19" customWidth="1"/>
    <col min="9741" max="9741" width="13.1640625" style="19" customWidth="1"/>
    <col min="9742" max="9742" width="18.33203125" style="19" customWidth="1"/>
    <col min="9743" max="9743" width="7.33203125" style="19" customWidth="1"/>
    <col min="9744" max="9982" width="9.33203125" style="19"/>
    <col min="9983" max="9984" width="5.33203125" style="19" customWidth="1"/>
    <col min="9985" max="9985" width="40.83203125" style="19" customWidth="1"/>
    <col min="9986" max="9986" width="9.83203125" style="19" customWidth="1"/>
    <col min="9987" max="9987" width="13" style="19" customWidth="1"/>
    <col min="9988" max="9988" width="13.1640625" style="19" customWidth="1"/>
    <col min="9989" max="9989" width="12.33203125" style="19" customWidth="1"/>
    <col min="9990" max="9990" width="11.33203125" style="19" customWidth="1"/>
    <col min="9991" max="9991" width="11.83203125" style="19" customWidth="1"/>
    <col min="9992" max="9992" width="10.83203125" style="19" customWidth="1"/>
    <col min="9993" max="9993" width="13.1640625" style="19" customWidth="1"/>
    <col min="9994" max="9994" width="11.33203125" style="19" customWidth="1"/>
    <col min="9995" max="9996" width="12.33203125" style="19" customWidth="1"/>
    <col min="9997" max="9997" width="13.1640625" style="19" customWidth="1"/>
    <col min="9998" max="9998" width="18.33203125" style="19" customWidth="1"/>
    <col min="9999" max="9999" width="7.33203125" style="19" customWidth="1"/>
    <col min="10000" max="10238" width="9.33203125" style="19"/>
    <col min="10239" max="10240" width="5.33203125" style="19" customWidth="1"/>
    <col min="10241" max="10241" width="40.83203125" style="19" customWidth="1"/>
    <col min="10242" max="10242" width="9.83203125" style="19" customWidth="1"/>
    <col min="10243" max="10243" width="13" style="19" customWidth="1"/>
    <col min="10244" max="10244" width="13.1640625" style="19" customWidth="1"/>
    <col min="10245" max="10245" width="12.33203125" style="19" customWidth="1"/>
    <col min="10246" max="10246" width="11.33203125" style="19" customWidth="1"/>
    <col min="10247" max="10247" width="11.83203125" style="19" customWidth="1"/>
    <col min="10248" max="10248" width="10.83203125" style="19" customWidth="1"/>
    <col min="10249" max="10249" width="13.1640625" style="19" customWidth="1"/>
    <col min="10250" max="10250" width="11.33203125" style="19" customWidth="1"/>
    <col min="10251" max="10252" width="12.33203125" style="19" customWidth="1"/>
    <col min="10253" max="10253" width="13.1640625" style="19" customWidth="1"/>
    <col min="10254" max="10254" width="18.33203125" style="19" customWidth="1"/>
    <col min="10255" max="10255" width="7.33203125" style="19" customWidth="1"/>
    <col min="10256" max="10494" width="9.33203125" style="19"/>
    <col min="10495" max="10496" width="5.33203125" style="19" customWidth="1"/>
    <col min="10497" max="10497" width="40.83203125" style="19" customWidth="1"/>
    <col min="10498" max="10498" width="9.83203125" style="19" customWidth="1"/>
    <col min="10499" max="10499" width="13" style="19" customWidth="1"/>
    <col min="10500" max="10500" width="13.1640625" style="19" customWidth="1"/>
    <col min="10501" max="10501" width="12.33203125" style="19" customWidth="1"/>
    <col min="10502" max="10502" width="11.33203125" style="19" customWidth="1"/>
    <col min="10503" max="10503" width="11.83203125" style="19" customWidth="1"/>
    <col min="10504" max="10504" width="10.83203125" style="19" customWidth="1"/>
    <col min="10505" max="10505" width="13.1640625" style="19" customWidth="1"/>
    <col min="10506" max="10506" width="11.33203125" style="19" customWidth="1"/>
    <col min="10507" max="10508" width="12.33203125" style="19" customWidth="1"/>
    <col min="10509" max="10509" width="13.1640625" style="19" customWidth="1"/>
    <col min="10510" max="10510" width="18.33203125" style="19" customWidth="1"/>
    <col min="10511" max="10511" width="7.33203125" style="19" customWidth="1"/>
    <col min="10512" max="10750" width="9.33203125" style="19"/>
    <col min="10751" max="10752" width="5.33203125" style="19" customWidth="1"/>
    <col min="10753" max="10753" width="40.83203125" style="19" customWidth="1"/>
    <col min="10754" max="10754" width="9.83203125" style="19" customWidth="1"/>
    <col min="10755" max="10755" width="13" style="19" customWidth="1"/>
    <col min="10756" max="10756" width="13.1640625" style="19" customWidth="1"/>
    <col min="10757" max="10757" width="12.33203125" style="19" customWidth="1"/>
    <col min="10758" max="10758" width="11.33203125" style="19" customWidth="1"/>
    <col min="10759" max="10759" width="11.83203125" style="19" customWidth="1"/>
    <col min="10760" max="10760" width="10.83203125" style="19" customWidth="1"/>
    <col min="10761" max="10761" width="13.1640625" style="19" customWidth="1"/>
    <col min="10762" max="10762" width="11.33203125" style="19" customWidth="1"/>
    <col min="10763" max="10764" width="12.33203125" style="19" customWidth="1"/>
    <col min="10765" max="10765" width="13.1640625" style="19" customWidth="1"/>
    <col min="10766" max="10766" width="18.33203125" style="19" customWidth="1"/>
    <col min="10767" max="10767" width="7.33203125" style="19" customWidth="1"/>
    <col min="10768" max="11006" width="9.33203125" style="19"/>
    <col min="11007" max="11008" width="5.33203125" style="19" customWidth="1"/>
    <col min="11009" max="11009" width="40.83203125" style="19" customWidth="1"/>
    <col min="11010" max="11010" width="9.83203125" style="19" customWidth="1"/>
    <col min="11011" max="11011" width="13" style="19" customWidth="1"/>
    <col min="11012" max="11012" width="13.1640625" style="19" customWidth="1"/>
    <col min="11013" max="11013" width="12.33203125" style="19" customWidth="1"/>
    <col min="11014" max="11014" width="11.33203125" style="19" customWidth="1"/>
    <col min="11015" max="11015" width="11.83203125" style="19" customWidth="1"/>
    <col min="11016" max="11016" width="10.83203125" style="19" customWidth="1"/>
    <col min="11017" max="11017" width="13.1640625" style="19" customWidth="1"/>
    <col min="11018" max="11018" width="11.33203125" style="19" customWidth="1"/>
    <col min="11019" max="11020" width="12.33203125" style="19" customWidth="1"/>
    <col min="11021" max="11021" width="13.1640625" style="19" customWidth="1"/>
    <col min="11022" max="11022" width="18.33203125" style="19" customWidth="1"/>
    <col min="11023" max="11023" width="7.33203125" style="19" customWidth="1"/>
    <col min="11024" max="11262" width="9.33203125" style="19"/>
    <col min="11263" max="11264" width="5.33203125" style="19" customWidth="1"/>
    <col min="11265" max="11265" width="40.83203125" style="19" customWidth="1"/>
    <col min="11266" max="11266" width="9.83203125" style="19" customWidth="1"/>
    <col min="11267" max="11267" width="13" style="19" customWidth="1"/>
    <col min="11268" max="11268" width="13.1640625" style="19" customWidth="1"/>
    <col min="11269" max="11269" width="12.33203125" style="19" customWidth="1"/>
    <col min="11270" max="11270" width="11.33203125" style="19" customWidth="1"/>
    <col min="11271" max="11271" width="11.83203125" style="19" customWidth="1"/>
    <col min="11272" max="11272" width="10.83203125" style="19" customWidth="1"/>
    <col min="11273" max="11273" width="13.1640625" style="19" customWidth="1"/>
    <col min="11274" max="11274" width="11.33203125" style="19" customWidth="1"/>
    <col min="11275" max="11276" width="12.33203125" style="19" customWidth="1"/>
    <col min="11277" max="11277" width="13.1640625" style="19" customWidth="1"/>
    <col min="11278" max="11278" width="18.33203125" style="19" customWidth="1"/>
    <col min="11279" max="11279" width="7.33203125" style="19" customWidth="1"/>
    <col min="11280" max="11518" width="9.33203125" style="19"/>
    <col min="11519" max="11520" width="5.33203125" style="19" customWidth="1"/>
    <col min="11521" max="11521" width="40.83203125" style="19" customWidth="1"/>
    <col min="11522" max="11522" width="9.83203125" style="19" customWidth="1"/>
    <col min="11523" max="11523" width="13" style="19" customWidth="1"/>
    <col min="11524" max="11524" width="13.1640625" style="19" customWidth="1"/>
    <col min="11525" max="11525" width="12.33203125" style="19" customWidth="1"/>
    <col min="11526" max="11526" width="11.33203125" style="19" customWidth="1"/>
    <col min="11527" max="11527" width="11.83203125" style="19" customWidth="1"/>
    <col min="11528" max="11528" width="10.83203125" style="19" customWidth="1"/>
    <col min="11529" max="11529" width="13.1640625" style="19" customWidth="1"/>
    <col min="11530" max="11530" width="11.33203125" style="19" customWidth="1"/>
    <col min="11531" max="11532" width="12.33203125" style="19" customWidth="1"/>
    <col min="11533" max="11533" width="13.1640625" style="19" customWidth="1"/>
    <col min="11534" max="11534" width="18.33203125" style="19" customWidth="1"/>
    <col min="11535" max="11535" width="7.33203125" style="19" customWidth="1"/>
    <col min="11536" max="11774" width="9.33203125" style="19"/>
    <col min="11775" max="11776" width="5.33203125" style="19" customWidth="1"/>
    <col min="11777" max="11777" width="40.83203125" style="19" customWidth="1"/>
    <col min="11778" max="11778" width="9.83203125" style="19" customWidth="1"/>
    <col min="11779" max="11779" width="13" style="19" customWidth="1"/>
    <col min="11780" max="11780" width="13.1640625" style="19" customWidth="1"/>
    <col min="11781" max="11781" width="12.33203125" style="19" customWidth="1"/>
    <col min="11782" max="11782" width="11.33203125" style="19" customWidth="1"/>
    <col min="11783" max="11783" width="11.83203125" style="19" customWidth="1"/>
    <col min="11784" max="11784" width="10.83203125" style="19" customWidth="1"/>
    <col min="11785" max="11785" width="13.1640625" style="19" customWidth="1"/>
    <col min="11786" max="11786" width="11.33203125" style="19" customWidth="1"/>
    <col min="11787" max="11788" width="12.33203125" style="19" customWidth="1"/>
    <col min="11789" max="11789" width="13.1640625" style="19" customWidth="1"/>
    <col min="11790" max="11790" width="18.33203125" style="19" customWidth="1"/>
    <col min="11791" max="11791" width="7.33203125" style="19" customWidth="1"/>
    <col min="11792" max="12030" width="9.33203125" style="19"/>
    <col min="12031" max="12032" width="5.33203125" style="19" customWidth="1"/>
    <col min="12033" max="12033" width="40.83203125" style="19" customWidth="1"/>
    <col min="12034" max="12034" width="9.83203125" style="19" customWidth="1"/>
    <col min="12035" max="12035" width="13" style="19" customWidth="1"/>
    <col min="12036" max="12036" width="13.1640625" style="19" customWidth="1"/>
    <col min="12037" max="12037" width="12.33203125" style="19" customWidth="1"/>
    <col min="12038" max="12038" width="11.33203125" style="19" customWidth="1"/>
    <col min="12039" max="12039" width="11.83203125" style="19" customWidth="1"/>
    <col min="12040" max="12040" width="10.83203125" style="19" customWidth="1"/>
    <col min="12041" max="12041" width="13.1640625" style="19" customWidth="1"/>
    <col min="12042" max="12042" width="11.33203125" style="19" customWidth="1"/>
    <col min="12043" max="12044" width="12.33203125" style="19" customWidth="1"/>
    <col min="12045" max="12045" width="13.1640625" style="19" customWidth="1"/>
    <col min="12046" max="12046" width="18.33203125" style="19" customWidth="1"/>
    <col min="12047" max="12047" width="7.33203125" style="19" customWidth="1"/>
    <col min="12048" max="12286" width="9.33203125" style="19"/>
    <col min="12287" max="12288" width="5.33203125" style="19" customWidth="1"/>
    <col min="12289" max="12289" width="40.83203125" style="19" customWidth="1"/>
    <col min="12290" max="12290" width="9.83203125" style="19" customWidth="1"/>
    <col min="12291" max="12291" width="13" style="19" customWidth="1"/>
    <col min="12292" max="12292" width="13.1640625" style="19" customWidth="1"/>
    <col min="12293" max="12293" width="12.33203125" style="19" customWidth="1"/>
    <col min="12294" max="12294" width="11.33203125" style="19" customWidth="1"/>
    <col min="12295" max="12295" width="11.83203125" style="19" customWidth="1"/>
    <col min="12296" max="12296" width="10.83203125" style="19" customWidth="1"/>
    <col min="12297" max="12297" width="13.1640625" style="19" customWidth="1"/>
    <col min="12298" max="12298" width="11.33203125" style="19" customWidth="1"/>
    <col min="12299" max="12300" width="12.33203125" style="19" customWidth="1"/>
    <col min="12301" max="12301" width="13.1640625" style="19" customWidth="1"/>
    <col min="12302" max="12302" width="18.33203125" style="19" customWidth="1"/>
    <col min="12303" max="12303" width="7.33203125" style="19" customWidth="1"/>
    <col min="12304" max="12542" width="9.33203125" style="19"/>
    <col min="12543" max="12544" width="5.33203125" style="19" customWidth="1"/>
    <col min="12545" max="12545" width="40.83203125" style="19" customWidth="1"/>
    <col min="12546" max="12546" width="9.83203125" style="19" customWidth="1"/>
    <col min="12547" max="12547" width="13" style="19" customWidth="1"/>
    <col min="12548" max="12548" width="13.1640625" style="19" customWidth="1"/>
    <col min="12549" max="12549" width="12.33203125" style="19" customWidth="1"/>
    <col min="12550" max="12550" width="11.33203125" style="19" customWidth="1"/>
    <col min="12551" max="12551" width="11.83203125" style="19" customWidth="1"/>
    <col min="12552" max="12552" width="10.83203125" style="19" customWidth="1"/>
    <col min="12553" max="12553" width="13.1640625" style="19" customWidth="1"/>
    <col min="12554" max="12554" width="11.33203125" style="19" customWidth="1"/>
    <col min="12555" max="12556" width="12.33203125" style="19" customWidth="1"/>
    <col min="12557" max="12557" width="13.1640625" style="19" customWidth="1"/>
    <col min="12558" max="12558" width="18.33203125" style="19" customWidth="1"/>
    <col min="12559" max="12559" width="7.33203125" style="19" customWidth="1"/>
    <col min="12560" max="12798" width="9.33203125" style="19"/>
    <col min="12799" max="12800" width="5.33203125" style="19" customWidth="1"/>
    <col min="12801" max="12801" width="40.83203125" style="19" customWidth="1"/>
    <col min="12802" max="12802" width="9.83203125" style="19" customWidth="1"/>
    <col min="12803" max="12803" width="13" style="19" customWidth="1"/>
    <col min="12804" max="12804" width="13.1640625" style="19" customWidth="1"/>
    <col min="12805" max="12805" width="12.33203125" style="19" customWidth="1"/>
    <col min="12806" max="12806" width="11.33203125" style="19" customWidth="1"/>
    <col min="12807" max="12807" width="11.83203125" style="19" customWidth="1"/>
    <col min="12808" max="12808" width="10.83203125" style="19" customWidth="1"/>
    <col min="12809" max="12809" width="13.1640625" style="19" customWidth="1"/>
    <col min="12810" max="12810" width="11.33203125" style="19" customWidth="1"/>
    <col min="12811" max="12812" width="12.33203125" style="19" customWidth="1"/>
    <col min="12813" max="12813" width="13.1640625" style="19" customWidth="1"/>
    <col min="12814" max="12814" width="18.33203125" style="19" customWidth="1"/>
    <col min="12815" max="12815" width="7.33203125" style="19" customWidth="1"/>
    <col min="12816" max="13054" width="9.33203125" style="19"/>
    <col min="13055" max="13056" width="5.33203125" style="19" customWidth="1"/>
    <col min="13057" max="13057" width="40.83203125" style="19" customWidth="1"/>
    <col min="13058" max="13058" width="9.83203125" style="19" customWidth="1"/>
    <col min="13059" max="13059" width="13" style="19" customWidth="1"/>
    <col min="13060" max="13060" width="13.1640625" style="19" customWidth="1"/>
    <col min="13061" max="13061" width="12.33203125" style="19" customWidth="1"/>
    <col min="13062" max="13062" width="11.33203125" style="19" customWidth="1"/>
    <col min="13063" max="13063" width="11.83203125" style="19" customWidth="1"/>
    <col min="13064" max="13064" width="10.83203125" style="19" customWidth="1"/>
    <col min="13065" max="13065" width="13.1640625" style="19" customWidth="1"/>
    <col min="13066" max="13066" width="11.33203125" style="19" customWidth="1"/>
    <col min="13067" max="13068" width="12.33203125" style="19" customWidth="1"/>
    <col min="13069" max="13069" width="13.1640625" style="19" customWidth="1"/>
    <col min="13070" max="13070" width="18.33203125" style="19" customWidth="1"/>
    <col min="13071" max="13071" width="7.33203125" style="19" customWidth="1"/>
    <col min="13072" max="13310" width="9.33203125" style="19"/>
    <col min="13311" max="13312" width="5.33203125" style="19" customWidth="1"/>
    <col min="13313" max="13313" width="40.83203125" style="19" customWidth="1"/>
    <col min="13314" max="13314" width="9.83203125" style="19" customWidth="1"/>
    <col min="13315" max="13315" width="13" style="19" customWidth="1"/>
    <col min="13316" max="13316" width="13.1640625" style="19" customWidth="1"/>
    <col min="13317" max="13317" width="12.33203125" style="19" customWidth="1"/>
    <col min="13318" max="13318" width="11.33203125" style="19" customWidth="1"/>
    <col min="13319" max="13319" width="11.83203125" style="19" customWidth="1"/>
    <col min="13320" max="13320" width="10.83203125" style="19" customWidth="1"/>
    <col min="13321" max="13321" width="13.1640625" style="19" customWidth="1"/>
    <col min="13322" max="13322" width="11.33203125" style="19" customWidth="1"/>
    <col min="13323" max="13324" width="12.33203125" style="19" customWidth="1"/>
    <col min="13325" max="13325" width="13.1640625" style="19" customWidth="1"/>
    <col min="13326" max="13326" width="18.33203125" style="19" customWidth="1"/>
    <col min="13327" max="13327" width="7.33203125" style="19" customWidth="1"/>
    <col min="13328" max="13566" width="9.33203125" style="19"/>
    <col min="13567" max="13568" width="5.33203125" style="19" customWidth="1"/>
    <col min="13569" max="13569" width="40.83203125" style="19" customWidth="1"/>
    <col min="13570" max="13570" width="9.83203125" style="19" customWidth="1"/>
    <col min="13571" max="13571" width="13" style="19" customWidth="1"/>
    <col min="13572" max="13572" width="13.1640625" style="19" customWidth="1"/>
    <col min="13573" max="13573" width="12.33203125" style="19" customWidth="1"/>
    <col min="13574" max="13574" width="11.33203125" style="19" customWidth="1"/>
    <col min="13575" max="13575" width="11.83203125" style="19" customWidth="1"/>
    <col min="13576" max="13576" width="10.83203125" style="19" customWidth="1"/>
    <col min="13577" max="13577" width="13.1640625" style="19" customWidth="1"/>
    <col min="13578" max="13578" width="11.33203125" style="19" customWidth="1"/>
    <col min="13579" max="13580" width="12.33203125" style="19" customWidth="1"/>
    <col min="13581" max="13581" width="13.1640625" style="19" customWidth="1"/>
    <col min="13582" max="13582" width="18.33203125" style="19" customWidth="1"/>
    <col min="13583" max="13583" width="7.33203125" style="19" customWidth="1"/>
    <col min="13584" max="13822" width="9.33203125" style="19"/>
    <col min="13823" max="13824" width="5.33203125" style="19" customWidth="1"/>
    <col min="13825" max="13825" width="40.83203125" style="19" customWidth="1"/>
    <col min="13826" max="13826" width="9.83203125" style="19" customWidth="1"/>
    <col min="13827" max="13827" width="13" style="19" customWidth="1"/>
    <col min="13828" max="13828" width="13.1640625" style="19" customWidth="1"/>
    <col min="13829" max="13829" width="12.33203125" style="19" customWidth="1"/>
    <col min="13830" max="13830" width="11.33203125" style="19" customWidth="1"/>
    <col min="13831" max="13831" width="11.83203125" style="19" customWidth="1"/>
    <col min="13832" max="13832" width="10.83203125" style="19" customWidth="1"/>
    <col min="13833" max="13833" width="13.1640625" style="19" customWidth="1"/>
    <col min="13834" max="13834" width="11.33203125" style="19" customWidth="1"/>
    <col min="13835" max="13836" width="12.33203125" style="19" customWidth="1"/>
    <col min="13837" max="13837" width="13.1640625" style="19" customWidth="1"/>
    <col min="13838" max="13838" width="18.33203125" style="19" customWidth="1"/>
    <col min="13839" max="13839" width="7.33203125" style="19" customWidth="1"/>
    <col min="13840" max="14078" width="9.33203125" style="19"/>
    <col min="14079" max="14080" width="5.33203125" style="19" customWidth="1"/>
    <col min="14081" max="14081" width="40.83203125" style="19" customWidth="1"/>
    <col min="14082" max="14082" width="9.83203125" style="19" customWidth="1"/>
    <col min="14083" max="14083" width="13" style="19" customWidth="1"/>
    <col min="14084" max="14084" width="13.1640625" style="19" customWidth="1"/>
    <col min="14085" max="14085" width="12.33203125" style="19" customWidth="1"/>
    <col min="14086" max="14086" width="11.33203125" style="19" customWidth="1"/>
    <col min="14087" max="14087" width="11.83203125" style="19" customWidth="1"/>
    <col min="14088" max="14088" width="10.83203125" style="19" customWidth="1"/>
    <col min="14089" max="14089" width="13.1640625" style="19" customWidth="1"/>
    <col min="14090" max="14090" width="11.33203125" style="19" customWidth="1"/>
    <col min="14091" max="14092" width="12.33203125" style="19" customWidth="1"/>
    <col min="14093" max="14093" width="13.1640625" style="19" customWidth="1"/>
    <col min="14094" max="14094" width="18.33203125" style="19" customWidth="1"/>
    <col min="14095" max="14095" width="7.33203125" style="19" customWidth="1"/>
    <col min="14096" max="14334" width="9.33203125" style="19"/>
    <col min="14335" max="14336" width="5.33203125" style="19" customWidth="1"/>
    <col min="14337" max="14337" width="40.83203125" style="19" customWidth="1"/>
    <col min="14338" max="14338" width="9.83203125" style="19" customWidth="1"/>
    <col min="14339" max="14339" width="13" style="19" customWidth="1"/>
    <col min="14340" max="14340" width="13.1640625" style="19" customWidth="1"/>
    <col min="14341" max="14341" width="12.33203125" style="19" customWidth="1"/>
    <col min="14342" max="14342" width="11.33203125" style="19" customWidth="1"/>
    <col min="14343" max="14343" width="11.83203125" style="19" customWidth="1"/>
    <col min="14344" max="14344" width="10.83203125" style="19" customWidth="1"/>
    <col min="14345" max="14345" width="13.1640625" style="19" customWidth="1"/>
    <col min="14346" max="14346" width="11.33203125" style="19" customWidth="1"/>
    <col min="14347" max="14348" width="12.33203125" style="19" customWidth="1"/>
    <col min="14349" max="14349" width="13.1640625" style="19" customWidth="1"/>
    <col min="14350" max="14350" width="18.33203125" style="19" customWidth="1"/>
    <col min="14351" max="14351" width="7.33203125" style="19" customWidth="1"/>
    <col min="14352" max="14590" width="9.33203125" style="19"/>
    <col min="14591" max="14592" width="5.33203125" style="19" customWidth="1"/>
    <col min="14593" max="14593" width="40.83203125" style="19" customWidth="1"/>
    <col min="14594" max="14594" width="9.83203125" style="19" customWidth="1"/>
    <col min="14595" max="14595" width="13" style="19" customWidth="1"/>
    <col min="14596" max="14596" width="13.1640625" style="19" customWidth="1"/>
    <col min="14597" max="14597" width="12.33203125" style="19" customWidth="1"/>
    <col min="14598" max="14598" width="11.33203125" style="19" customWidth="1"/>
    <col min="14599" max="14599" width="11.83203125" style="19" customWidth="1"/>
    <col min="14600" max="14600" width="10.83203125" style="19" customWidth="1"/>
    <col min="14601" max="14601" width="13.1640625" style="19" customWidth="1"/>
    <col min="14602" max="14602" width="11.33203125" style="19" customWidth="1"/>
    <col min="14603" max="14604" width="12.33203125" style="19" customWidth="1"/>
    <col min="14605" max="14605" width="13.1640625" style="19" customWidth="1"/>
    <col min="14606" max="14606" width="18.33203125" style="19" customWidth="1"/>
    <col min="14607" max="14607" width="7.33203125" style="19" customWidth="1"/>
    <col min="14608" max="14846" width="9.33203125" style="19"/>
    <col min="14847" max="14848" width="5.33203125" style="19" customWidth="1"/>
    <col min="14849" max="14849" width="40.83203125" style="19" customWidth="1"/>
    <col min="14850" max="14850" width="9.83203125" style="19" customWidth="1"/>
    <col min="14851" max="14851" width="13" style="19" customWidth="1"/>
    <col min="14852" max="14852" width="13.1640625" style="19" customWidth="1"/>
    <col min="14853" max="14853" width="12.33203125" style="19" customWidth="1"/>
    <col min="14854" max="14854" width="11.33203125" style="19" customWidth="1"/>
    <col min="14855" max="14855" width="11.83203125" style="19" customWidth="1"/>
    <col min="14856" max="14856" width="10.83203125" style="19" customWidth="1"/>
    <col min="14857" max="14857" width="13.1640625" style="19" customWidth="1"/>
    <col min="14858" max="14858" width="11.33203125" style="19" customWidth="1"/>
    <col min="14859" max="14860" width="12.33203125" style="19" customWidth="1"/>
    <col min="14861" max="14861" width="13.1640625" style="19" customWidth="1"/>
    <col min="14862" max="14862" width="18.33203125" style="19" customWidth="1"/>
    <col min="14863" max="14863" width="7.33203125" style="19" customWidth="1"/>
    <col min="14864" max="15102" width="9.33203125" style="19"/>
    <col min="15103" max="15104" width="5.33203125" style="19" customWidth="1"/>
    <col min="15105" max="15105" width="40.83203125" style="19" customWidth="1"/>
    <col min="15106" max="15106" width="9.83203125" style="19" customWidth="1"/>
    <col min="15107" max="15107" width="13" style="19" customWidth="1"/>
    <col min="15108" max="15108" width="13.1640625" style="19" customWidth="1"/>
    <col min="15109" max="15109" width="12.33203125" style="19" customWidth="1"/>
    <col min="15110" max="15110" width="11.33203125" style="19" customWidth="1"/>
    <col min="15111" max="15111" width="11.83203125" style="19" customWidth="1"/>
    <col min="15112" max="15112" width="10.83203125" style="19" customWidth="1"/>
    <col min="15113" max="15113" width="13.1640625" style="19" customWidth="1"/>
    <col min="15114" max="15114" width="11.33203125" style="19" customWidth="1"/>
    <col min="15115" max="15116" width="12.33203125" style="19" customWidth="1"/>
    <col min="15117" max="15117" width="13.1640625" style="19" customWidth="1"/>
    <col min="15118" max="15118" width="18.33203125" style="19" customWidth="1"/>
    <col min="15119" max="15119" width="7.33203125" style="19" customWidth="1"/>
    <col min="15120" max="15358" width="9.33203125" style="19"/>
    <col min="15359" max="15360" width="5.33203125" style="19" customWidth="1"/>
    <col min="15361" max="15361" width="40.83203125" style="19" customWidth="1"/>
    <col min="15362" max="15362" width="9.83203125" style="19" customWidth="1"/>
    <col min="15363" max="15363" width="13" style="19" customWidth="1"/>
    <col min="15364" max="15364" width="13.1640625" style="19" customWidth="1"/>
    <col min="15365" max="15365" width="12.33203125" style="19" customWidth="1"/>
    <col min="15366" max="15366" width="11.33203125" style="19" customWidth="1"/>
    <col min="15367" max="15367" width="11.83203125" style="19" customWidth="1"/>
    <col min="15368" max="15368" width="10.83203125" style="19" customWidth="1"/>
    <col min="15369" max="15369" width="13.1640625" style="19" customWidth="1"/>
    <col min="15370" max="15370" width="11.33203125" style="19" customWidth="1"/>
    <col min="15371" max="15372" width="12.33203125" style="19" customWidth="1"/>
    <col min="15373" max="15373" width="13.1640625" style="19" customWidth="1"/>
    <col min="15374" max="15374" width="18.33203125" style="19" customWidth="1"/>
    <col min="15375" max="15375" width="7.33203125" style="19" customWidth="1"/>
    <col min="15376" max="15614" width="9.33203125" style="19"/>
    <col min="15615" max="15616" width="5.33203125" style="19" customWidth="1"/>
    <col min="15617" max="15617" width="40.83203125" style="19" customWidth="1"/>
    <col min="15618" max="15618" width="9.83203125" style="19" customWidth="1"/>
    <col min="15619" max="15619" width="13" style="19" customWidth="1"/>
    <col min="15620" max="15620" width="13.1640625" style="19" customWidth="1"/>
    <col min="15621" max="15621" width="12.33203125" style="19" customWidth="1"/>
    <col min="15622" max="15622" width="11.33203125" style="19" customWidth="1"/>
    <col min="15623" max="15623" width="11.83203125" style="19" customWidth="1"/>
    <col min="15624" max="15624" width="10.83203125" style="19" customWidth="1"/>
    <col min="15625" max="15625" width="13.1640625" style="19" customWidth="1"/>
    <col min="15626" max="15626" width="11.33203125" style="19" customWidth="1"/>
    <col min="15627" max="15628" width="12.33203125" style="19" customWidth="1"/>
    <col min="15629" max="15629" width="13.1640625" style="19" customWidth="1"/>
    <col min="15630" max="15630" width="18.33203125" style="19" customWidth="1"/>
    <col min="15631" max="15631" width="7.33203125" style="19" customWidth="1"/>
    <col min="15632" max="15870" width="9.33203125" style="19"/>
    <col min="15871" max="15872" width="5.33203125" style="19" customWidth="1"/>
    <col min="15873" max="15873" width="40.83203125" style="19" customWidth="1"/>
    <col min="15874" max="15874" width="9.83203125" style="19" customWidth="1"/>
    <col min="15875" max="15875" width="13" style="19" customWidth="1"/>
    <col min="15876" max="15876" width="13.1640625" style="19" customWidth="1"/>
    <col min="15877" max="15877" width="12.33203125" style="19" customWidth="1"/>
    <col min="15878" max="15878" width="11.33203125" style="19" customWidth="1"/>
    <col min="15879" max="15879" width="11.83203125" style="19" customWidth="1"/>
    <col min="15880" max="15880" width="10.83203125" style="19" customWidth="1"/>
    <col min="15881" max="15881" width="13.1640625" style="19" customWidth="1"/>
    <col min="15882" max="15882" width="11.33203125" style="19" customWidth="1"/>
    <col min="15883" max="15884" width="12.33203125" style="19" customWidth="1"/>
    <col min="15885" max="15885" width="13.1640625" style="19" customWidth="1"/>
    <col min="15886" max="15886" width="18.33203125" style="19" customWidth="1"/>
    <col min="15887" max="15887" width="7.33203125" style="19" customWidth="1"/>
    <col min="15888" max="16126" width="9.33203125" style="19"/>
    <col min="16127" max="16128" width="5.33203125" style="19" customWidth="1"/>
    <col min="16129" max="16129" width="40.83203125" style="19" customWidth="1"/>
    <col min="16130" max="16130" width="9.83203125" style="19" customWidth="1"/>
    <col min="16131" max="16131" width="13" style="19" customWidth="1"/>
    <col min="16132" max="16132" width="13.1640625" style="19" customWidth="1"/>
    <col min="16133" max="16133" width="12.33203125" style="19" customWidth="1"/>
    <col min="16134" max="16134" width="11.33203125" style="19" customWidth="1"/>
    <col min="16135" max="16135" width="11.83203125" style="19" customWidth="1"/>
    <col min="16136" max="16136" width="10.83203125" style="19" customWidth="1"/>
    <col min="16137" max="16137" width="13.1640625" style="19" customWidth="1"/>
    <col min="16138" max="16138" width="11.33203125" style="19" customWidth="1"/>
    <col min="16139" max="16140" width="12.33203125" style="19" customWidth="1"/>
    <col min="16141" max="16141" width="13.1640625" style="19" customWidth="1"/>
    <col min="16142" max="16142" width="18.33203125" style="19" customWidth="1"/>
    <col min="16143" max="16143" width="7.33203125" style="19" customWidth="1"/>
    <col min="16144" max="16384" width="9.33203125" style="19"/>
  </cols>
  <sheetData>
    <row r="1" spans="1:15" ht="25.5" customHeight="1" x14ac:dyDescent="0.25">
      <c r="A1" s="826" t="s">
        <v>80</v>
      </c>
      <c r="B1" s="826" t="s">
        <v>81</v>
      </c>
      <c r="C1" s="824" t="s">
        <v>111</v>
      </c>
      <c r="D1" s="826" t="s">
        <v>164</v>
      </c>
      <c r="E1" s="828" t="s">
        <v>117</v>
      </c>
      <c r="F1" s="828"/>
      <c r="G1" s="828"/>
      <c r="H1" s="828"/>
      <c r="I1" s="828"/>
      <c r="J1" s="828"/>
      <c r="K1" s="828"/>
      <c r="L1" s="825" t="s">
        <v>151</v>
      </c>
      <c r="M1" s="825"/>
      <c r="N1" s="825"/>
      <c r="O1" s="824" t="s">
        <v>11</v>
      </c>
    </row>
    <row r="2" spans="1:15" s="20" customFormat="1" ht="69" customHeight="1" x14ac:dyDescent="0.2">
      <c r="A2" s="826"/>
      <c r="B2" s="826"/>
      <c r="C2" s="824"/>
      <c r="D2" s="827"/>
      <c r="E2" s="326" t="s">
        <v>12</v>
      </c>
      <c r="F2" s="326" t="s">
        <v>13</v>
      </c>
      <c r="G2" s="628" t="s">
        <v>14</v>
      </c>
      <c r="H2" s="326" t="s">
        <v>147</v>
      </c>
      <c r="I2" s="628" t="s">
        <v>148</v>
      </c>
      <c r="J2" s="628" t="s">
        <v>149</v>
      </c>
      <c r="K2" s="628" t="s">
        <v>150</v>
      </c>
      <c r="L2" s="628" t="s">
        <v>118</v>
      </c>
      <c r="M2" s="628" t="s">
        <v>119</v>
      </c>
      <c r="N2" s="628" t="s">
        <v>121</v>
      </c>
      <c r="O2" s="824"/>
    </row>
    <row r="3" spans="1:15" s="20" customFormat="1" ht="12.95" customHeight="1" x14ac:dyDescent="0.2">
      <c r="A3" s="21">
        <v>1</v>
      </c>
      <c r="B3" s="21"/>
      <c r="C3" s="327" t="s">
        <v>141</v>
      </c>
      <c r="D3" s="35"/>
      <c r="E3" s="645"/>
      <c r="F3" s="645"/>
      <c r="G3" s="645"/>
      <c r="H3" s="645"/>
      <c r="I3" s="645"/>
      <c r="J3" s="645"/>
      <c r="K3" s="645"/>
      <c r="L3" s="645"/>
      <c r="M3" s="645"/>
      <c r="N3" s="645"/>
      <c r="O3" s="645"/>
    </row>
    <row r="4" spans="1:15" s="20" customFormat="1" ht="12.95" customHeight="1" x14ac:dyDescent="0.2">
      <c r="A4" s="49">
        <v>1</v>
      </c>
      <c r="B4" s="49">
        <v>1</v>
      </c>
      <c r="C4" s="328" t="s">
        <v>3</v>
      </c>
      <c r="D4" s="329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</row>
    <row r="5" spans="1:15" s="22" customFormat="1" ht="13.5" hidden="1" customHeight="1" x14ac:dyDescent="0.2">
      <c r="A5" s="350">
        <v>1</v>
      </c>
      <c r="B5" s="350">
        <v>12</v>
      </c>
      <c r="C5" s="332" t="s">
        <v>90</v>
      </c>
      <c r="D5" s="333"/>
      <c r="E5" s="334"/>
      <c r="F5" s="334"/>
      <c r="G5" s="50"/>
      <c r="H5" s="50"/>
      <c r="I5" s="50"/>
      <c r="J5" s="50"/>
      <c r="K5" s="50"/>
      <c r="L5" s="50"/>
      <c r="M5" s="50"/>
      <c r="N5" s="50"/>
      <c r="O5" s="50"/>
    </row>
    <row r="6" spans="1:15" s="22" customFormat="1" ht="24.95" hidden="1" customHeight="1" x14ac:dyDescent="0.2">
      <c r="A6" s="331"/>
      <c r="B6" s="331"/>
      <c r="C6" s="335" t="s">
        <v>165</v>
      </c>
      <c r="D6" s="336"/>
      <c r="E6" s="334"/>
      <c r="F6" s="334"/>
      <c r="G6" s="50"/>
      <c r="H6" s="50"/>
      <c r="I6" s="50"/>
      <c r="J6" s="50"/>
      <c r="K6" s="50"/>
      <c r="L6" s="50"/>
      <c r="M6" s="50"/>
      <c r="N6" s="50"/>
      <c r="O6" s="50"/>
    </row>
    <row r="7" spans="1:15" s="22" customFormat="1" ht="17.100000000000001" hidden="1" customHeight="1" x14ac:dyDescent="0.2">
      <c r="A7" s="49"/>
      <c r="B7" s="49"/>
      <c r="C7" s="123" t="s">
        <v>166</v>
      </c>
      <c r="D7" s="337" t="s">
        <v>167</v>
      </c>
      <c r="E7" s="50"/>
      <c r="F7" s="50"/>
      <c r="G7" s="50"/>
      <c r="H7" s="50"/>
      <c r="I7" s="50"/>
      <c r="J7" s="50"/>
      <c r="K7" s="50"/>
      <c r="L7" s="50"/>
      <c r="M7" s="50"/>
      <c r="N7" s="50"/>
      <c r="O7" s="50">
        <f>SUM(E7:N7)</f>
        <v>0</v>
      </c>
    </row>
    <row r="8" spans="1:15" s="22" customFormat="1" ht="17.100000000000001" hidden="1" customHeight="1" x14ac:dyDescent="0.2">
      <c r="A8" s="49"/>
      <c r="B8" s="49"/>
      <c r="C8" s="123" t="s">
        <v>680</v>
      </c>
      <c r="D8" s="338">
        <v>121602</v>
      </c>
      <c r="E8" s="50"/>
      <c r="F8" s="50"/>
      <c r="G8" s="50"/>
      <c r="H8" s="50"/>
      <c r="I8" s="50"/>
      <c r="J8" s="50"/>
      <c r="K8" s="50"/>
      <c r="L8" s="50"/>
      <c r="M8" s="50"/>
      <c r="N8" s="50"/>
      <c r="O8" s="50">
        <f t="shared" ref="O8:O97" si="0">SUM(E8:N8)</f>
        <v>0</v>
      </c>
    </row>
    <row r="9" spans="1:15" s="22" customFormat="1" ht="27" hidden="1" customHeight="1" x14ac:dyDescent="0.2">
      <c r="A9" s="49"/>
      <c r="B9" s="49"/>
      <c r="C9" s="339" t="s">
        <v>230</v>
      </c>
      <c r="D9" s="338"/>
      <c r="E9" s="50"/>
      <c r="F9" s="50"/>
      <c r="G9" s="50"/>
      <c r="H9" s="50"/>
      <c r="I9" s="50"/>
      <c r="J9" s="50"/>
      <c r="K9" s="50"/>
      <c r="L9" s="50"/>
      <c r="M9" s="50"/>
      <c r="N9" s="50"/>
      <c r="O9" s="50"/>
    </row>
    <row r="10" spans="1:15" s="22" customFormat="1" ht="17.100000000000001" hidden="1" customHeight="1" x14ac:dyDescent="0.2">
      <c r="A10" s="49"/>
      <c r="B10" s="49"/>
      <c r="C10" s="123" t="s">
        <v>681</v>
      </c>
      <c r="D10" s="338">
        <v>121203</v>
      </c>
      <c r="E10" s="50"/>
      <c r="F10" s="50"/>
      <c r="G10" s="50"/>
      <c r="H10" s="50"/>
      <c r="I10" s="50"/>
      <c r="J10" s="646"/>
      <c r="K10" s="50"/>
      <c r="L10" s="50"/>
      <c r="M10" s="50"/>
      <c r="N10" s="50"/>
      <c r="O10" s="50">
        <f t="shared" si="0"/>
        <v>0</v>
      </c>
    </row>
    <row r="11" spans="1:15" s="22" customFormat="1" ht="23.25" hidden="1" customHeight="1" x14ac:dyDescent="0.2">
      <c r="A11" s="340"/>
      <c r="B11" s="340"/>
      <c r="C11" s="341" t="s">
        <v>168</v>
      </c>
      <c r="D11" s="342"/>
      <c r="E11" s="342">
        <f>SUM(E5:E10)</f>
        <v>0</v>
      </c>
      <c r="F11" s="342">
        <f t="shared" ref="F11:O11" si="1">SUM(F5:F10)</f>
        <v>0</v>
      </c>
      <c r="G11" s="342">
        <f t="shared" si="1"/>
        <v>0</v>
      </c>
      <c r="H11" s="342">
        <f t="shared" si="1"/>
        <v>0</v>
      </c>
      <c r="I11" s="342">
        <f t="shared" si="1"/>
        <v>0</v>
      </c>
      <c r="J11" s="342">
        <f t="shared" si="1"/>
        <v>0</v>
      </c>
      <c r="K11" s="342">
        <f t="shared" si="1"/>
        <v>0</v>
      </c>
      <c r="L11" s="342">
        <f t="shared" si="1"/>
        <v>0</v>
      </c>
      <c r="M11" s="342">
        <f t="shared" si="1"/>
        <v>0</v>
      </c>
      <c r="N11" s="342">
        <f t="shared" si="1"/>
        <v>0</v>
      </c>
      <c r="O11" s="342">
        <f t="shared" si="1"/>
        <v>0</v>
      </c>
    </row>
    <row r="12" spans="1:15" s="22" customFormat="1" ht="13.5" hidden="1" customHeight="1" x14ac:dyDescent="0.2">
      <c r="A12" s="329">
        <v>1</v>
      </c>
      <c r="B12" s="329">
        <v>13</v>
      </c>
      <c r="C12" s="332" t="s">
        <v>91</v>
      </c>
      <c r="D12" s="337"/>
      <c r="E12" s="361"/>
      <c r="F12" s="343"/>
      <c r="G12" s="343"/>
      <c r="H12" s="343"/>
      <c r="I12" s="343"/>
      <c r="J12" s="343"/>
      <c r="K12" s="343"/>
      <c r="L12" s="343"/>
      <c r="M12" s="343"/>
      <c r="N12" s="343"/>
      <c r="O12" s="50"/>
    </row>
    <row r="13" spans="1:15" s="22" customFormat="1" ht="13.5" hidden="1" customHeight="1" x14ac:dyDescent="0.2">
      <c r="A13" s="614"/>
      <c r="B13" s="614"/>
      <c r="C13" s="621" t="s">
        <v>271</v>
      </c>
      <c r="D13" s="620"/>
      <c r="E13" s="623"/>
      <c r="F13" s="615"/>
      <c r="G13" s="615"/>
      <c r="H13" s="615"/>
      <c r="I13" s="615"/>
      <c r="J13" s="615"/>
      <c r="K13" s="615"/>
      <c r="L13" s="615"/>
      <c r="M13" s="615"/>
      <c r="N13" s="615"/>
      <c r="O13" s="616"/>
    </row>
    <row r="14" spans="1:15" s="22" customFormat="1" ht="13.5" hidden="1" customHeight="1" x14ac:dyDescent="0.2">
      <c r="A14" s="614"/>
      <c r="B14" s="614"/>
      <c r="C14" s="468" t="s">
        <v>272</v>
      </c>
      <c r="D14" s="624">
        <v>131120</v>
      </c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0">
        <f t="shared" si="0"/>
        <v>0</v>
      </c>
    </row>
    <row r="15" spans="1:15" s="22" customFormat="1" ht="24.95" hidden="1" customHeight="1" x14ac:dyDescent="0.2">
      <c r="A15" s="329"/>
      <c r="B15" s="329"/>
      <c r="C15" s="344" t="s">
        <v>169</v>
      </c>
      <c r="D15" s="337" t="s">
        <v>79</v>
      </c>
      <c r="E15" s="50"/>
      <c r="F15" s="50"/>
      <c r="G15" s="50"/>
      <c r="H15" s="50"/>
      <c r="I15" s="50"/>
      <c r="J15" s="50"/>
      <c r="K15" s="50"/>
      <c r="L15" s="50"/>
      <c r="M15" s="50"/>
      <c r="N15" s="50"/>
      <c r="O15" s="50"/>
    </row>
    <row r="16" spans="1:15" s="22" customFormat="1" ht="24.95" hidden="1" customHeight="1" x14ac:dyDescent="0.2">
      <c r="A16" s="329"/>
      <c r="B16" s="329"/>
      <c r="C16" s="344" t="s">
        <v>170</v>
      </c>
      <c r="D16" s="345">
        <v>131703</v>
      </c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50">
        <f t="shared" si="0"/>
        <v>0</v>
      </c>
    </row>
    <row r="17" spans="1:15" s="22" customFormat="1" ht="25.5" hidden="1" customHeight="1" x14ac:dyDescent="0.2">
      <c r="A17" s="329"/>
      <c r="B17" s="329"/>
      <c r="C17" s="335" t="s">
        <v>507</v>
      </c>
      <c r="D17" s="346"/>
      <c r="E17" s="50"/>
      <c r="F17" s="347"/>
      <c r="G17" s="347"/>
      <c r="H17" s="347"/>
      <c r="I17" s="50"/>
      <c r="J17" s="50"/>
      <c r="K17" s="50"/>
      <c r="L17" s="50"/>
      <c r="M17" s="50"/>
      <c r="N17" s="50"/>
      <c r="O17" s="50"/>
    </row>
    <row r="18" spans="1:15" s="22" customFormat="1" ht="24.95" hidden="1" customHeight="1" x14ac:dyDescent="0.2">
      <c r="A18" s="329"/>
      <c r="B18" s="329"/>
      <c r="C18" s="348" t="s">
        <v>668</v>
      </c>
      <c r="D18" s="345">
        <v>131513</v>
      </c>
      <c r="E18" s="50"/>
      <c r="F18" s="50"/>
      <c r="G18" s="50"/>
      <c r="H18" s="50"/>
      <c r="I18" s="50"/>
      <c r="J18" s="50"/>
      <c r="K18" s="50"/>
      <c r="L18" s="50"/>
      <c r="M18" s="50"/>
      <c r="N18" s="50"/>
      <c r="O18" s="50">
        <f t="shared" si="0"/>
        <v>0</v>
      </c>
    </row>
    <row r="19" spans="1:15" s="22" customFormat="1" ht="24.95" hidden="1" customHeight="1" x14ac:dyDescent="0.2">
      <c r="A19" s="614"/>
      <c r="B19" s="614"/>
      <c r="C19" s="625" t="s">
        <v>332</v>
      </c>
      <c r="D19" s="626"/>
      <c r="E19" s="616"/>
      <c r="F19" s="50"/>
      <c r="G19" s="616"/>
      <c r="H19" s="616"/>
      <c r="I19" s="616"/>
      <c r="J19" s="616"/>
      <c r="K19" s="616"/>
      <c r="L19" s="616"/>
      <c r="M19" s="616"/>
      <c r="N19" s="616"/>
      <c r="O19" s="50"/>
    </row>
    <row r="20" spans="1:15" s="22" customFormat="1" ht="24.95" hidden="1" customHeight="1" x14ac:dyDescent="0.2">
      <c r="A20" s="614"/>
      <c r="B20" s="614"/>
      <c r="C20" s="625" t="s">
        <v>978</v>
      </c>
      <c r="D20" s="626">
        <v>191801</v>
      </c>
      <c r="E20" s="50"/>
      <c r="F20" s="50"/>
      <c r="G20" s="50"/>
      <c r="H20" s="50"/>
      <c r="I20" s="50"/>
      <c r="J20" s="50"/>
      <c r="K20" s="50"/>
      <c r="L20" s="50"/>
      <c r="M20" s="50"/>
      <c r="N20" s="50"/>
      <c r="O20" s="50">
        <f t="shared" si="0"/>
        <v>0</v>
      </c>
    </row>
    <row r="21" spans="1:15" s="22" customFormat="1" ht="21.75" hidden="1" customHeight="1" x14ac:dyDescent="0.2">
      <c r="A21" s="340"/>
      <c r="B21" s="340"/>
      <c r="C21" s="341" t="s">
        <v>171</v>
      </c>
      <c r="D21" s="349"/>
      <c r="E21" s="342">
        <f>SUM(E14:E20)</f>
        <v>0</v>
      </c>
      <c r="F21" s="342">
        <f t="shared" ref="F21:O21" si="2">SUM(F14:F20)</f>
        <v>0</v>
      </c>
      <c r="G21" s="342">
        <f t="shared" si="2"/>
        <v>0</v>
      </c>
      <c r="H21" s="342">
        <f t="shared" si="2"/>
        <v>0</v>
      </c>
      <c r="I21" s="342">
        <f t="shared" si="2"/>
        <v>0</v>
      </c>
      <c r="J21" s="342">
        <f t="shared" si="2"/>
        <v>0</v>
      </c>
      <c r="K21" s="342">
        <f t="shared" si="2"/>
        <v>0</v>
      </c>
      <c r="L21" s="342">
        <f t="shared" si="2"/>
        <v>0</v>
      </c>
      <c r="M21" s="342">
        <f t="shared" si="2"/>
        <v>0</v>
      </c>
      <c r="N21" s="342">
        <f t="shared" si="2"/>
        <v>0</v>
      </c>
      <c r="O21" s="342">
        <f t="shared" si="2"/>
        <v>0</v>
      </c>
    </row>
    <row r="22" spans="1:15" s="22" customFormat="1" ht="13.5" hidden="1" customHeight="1" x14ac:dyDescent="0.2">
      <c r="A22" s="350">
        <v>1</v>
      </c>
      <c r="B22" s="350">
        <v>14</v>
      </c>
      <c r="C22" s="351" t="s">
        <v>143</v>
      </c>
      <c r="D22" s="350"/>
      <c r="E22" s="343"/>
      <c r="F22" s="343"/>
      <c r="G22" s="343"/>
      <c r="H22" s="343"/>
      <c r="I22" s="343"/>
      <c r="J22" s="343"/>
      <c r="K22" s="343"/>
      <c r="L22" s="343"/>
      <c r="M22" s="343"/>
      <c r="N22" s="343"/>
      <c r="O22" s="50"/>
    </row>
    <row r="23" spans="1:15" s="22" customFormat="1" ht="24" hidden="1" customHeight="1" x14ac:dyDescent="0.2">
      <c r="A23" s="329"/>
      <c r="B23" s="329"/>
      <c r="C23" s="352" t="s">
        <v>172</v>
      </c>
      <c r="D23" s="350"/>
      <c r="E23" s="343"/>
      <c r="F23" s="343"/>
      <c r="G23" s="343"/>
      <c r="H23" s="343"/>
      <c r="I23" s="343"/>
      <c r="J23" s="343"/>
      <c r="K23" s="343"/>
      <c r="L23" s="343"/>
      <c r="M23" s="343"/>
      <c r="N23" s="343"/>
      <c r="O23" s="50"/>
    </row>
    <row r="24" spans="1:15" s="22" customFormat="1" ht="32.25" hidden="1" customHeight="1" x14ac:dyDescent="0.2">
      <c r="A24" s="329"/>
      <c r="B24" s="329"/>
      <c r="C24" s="124" t="s">
        <v>173</v>
      </c>
      <c r="D24" s="331">
        <v>171967</v>
      </c>
      <c r="E24" s="50"/>
      <c r="F24" s="50"/>
      <c r="G24" s="50"/>
      <c r="H24" s="50"/>
      <c r="I24" s="50"/>
      <c r="J24" s="50"/>
      <c r="K24" s="50"/>
      <c r="L24" s="50"/>
      <c r="M24" s="50"/>
      <c r="N24" s="50"/>
      <c r="O24" s="50">
        <f t="shared" si="0"/>
        <v>0</v>
      </c>
    </row>
    <row r="25" spans="1:15" s="22" customFormat="1" ht="22.5" hidden="1" customHeight="1" x14ac:dyDescent="0.2">
      <c r="A25" s="340"/>
      <c r="B25" s="340"/>
      <c r="C25" s="341" t="s">
        <v>174</v>
      </c>
      <c r="D25" s="349"/>
      <c r="E25" s="342">
        <f t="shared" ref="E25:O25" si="3">SUM(E23:E24)</f>
        <v>0</v>
      </c>
      <c r="F25" s="342">
        <f t="shared" si="3"/>
        <v>0</v>
      </c>
      <c r="G25" s="342">
        <f t="shared" si="3"/>
        <v>0</v>
      </c>
      <c r="H25" s="342">
        <f t="shared" si="3"/>
        <v>0</v>
      </c>
      <c r="I25" s="342">
        <f t="shared" si="3"/>
        <v>0</v>
      </c>
      <c r="J25" s="342">
        <f t="shared" si="3"/>
        <v>0</v>
      </c>
      <c r="K25" s="342">
        <f t="shared" si="3"/>
        <v>0</v>
      </c>
      <c r="L25" s="342">
        <f t="shared" si="3"/>
        <v>0</v>
      </c>
      <c r="M25" s="342">
        <f t="shared" si="3"/>
        <v>0</v>
      </c>
      <c r="N25" s="342">
        <f t="shared" si="3"/>
        <v>0</v>
      </c>
      <c r="O25" s="342">
        <f t="shared" si="3"/>
        <v>0</v>
      </c>
    </row>
    <row r="26" spans="1:15" s="20" customFormat="1" ht="13.5" customHeight="1" x14ac:dyDescent="0.2">
      <c r="A26" s="329">
        <v>1</v>
      </c>
      <c r="B26" s="329">
        <v>15</v>
      </c>
      <c r="C26" s="328" t="s">
        <v>113</v>
      </c>
      <c r="D26" s="329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</row>
    <row r="27" spans="1:15" s="20" customFormat="1" ht="24.95" hidden="1" customHeight="1" x14ac:dyDescent="0.2">
      <c r="A27" s="49"/>
      <c r="B27" s="49"/>
      <c r="C27" s="348" t="s">
        <v>175</v>
      </c>
      <c r="D27" s="85"/>
      <c r="E27" s="361"/>
      <c r="F27" s="50"/>
      <c r="G27" s="50"/>
      <c r="H27" s="50"/>
      <c r="I27" s="50"/>
      <c r="J27" s="50"/>
      <c r="K27" s="50"/>
      <c r="L27" s="50"/>
      <c r="M27" s="50"/>
      <c r="N27" s="50"/>
      <c r="O27" s="50"/>
    </row>
    <row r="28" spans="1:15" s="20" customFormat="1" ht="18.600000000000001" hidden="1" customHeight="1" x14ac:dyDescent="0.2">
      <c r="A28" s="49"/>
      <c r="B28" s="49"/>
      <c r="C28" s="124" t="s">
        <v>582</v>
      </c>
      <c r="D28" s="85">
        <v>151906</v>
      </c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>
        <f t="shared" si="0"/>
        <v>0</v>
      </c>
    </row>
    <row r="29" spans="1:15" s="20" customFormat="1" ht="15" hidden="1" customHeight="1" x14ac:dyDescent="0.2">
      <c r="A29" s="49"/>
      <c r="B29" s="49"/>
      <c r="C29" s="123" t="s">
        <v>176</v>
      </c>
      <c r="D29" s="353" t="s">
        <v>177</v>
      </c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>
        <f t="shared" si="0"/>
        <v>0</v>
      </c>
    </row>
    <row r="30" spans="1:15" s="20" customFormat="1" ht="15" hidden="1" customHeight="1" x14ac:dyDescent="0.2">
      <c r="A30" s="49"/>
      <c r="B30" s="49"/>
      <c r="C30" s="126" t="s">
        <v>178</v>
      </c>
      <c r="D30" s="354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</row>
    <row r="31" spans="1:15" s="20" customFormat="1" ht="15" hidden="1" customHeight="1" x14ac:dyDescent="0.2">
      <c r="A31" s="49"/>
      <c r="B31" s="49"/>
      <c r="C31" s="123" t="s">
        <v>669</v>
      </c>
      <c r="D31" s="355">
        <v>152908</v>
      </c>
      <c r="E31" s="50"/>
      <c r="F31" s="50"/>
      <c r="G31" s="50"/>
      <c r="H31" s="50"/>
      <c r="I31" s="50"/>
      <c r="J31" s="50"/>
      <c r="K31" s="50"/>
      <c r="L31" s="50"/>
      <c r="M31" s="50"/>
      <c r="N31" s="50"/>
      <c r="O31" s="50">
        <f t="shared" si="0"/>
        <v>0</v>
      </c>
    </row>
    <row r="32" spans="1:15" s="20" customFormat="1" ht="15" hidden="1" customHeight="1" x14ac:dyDescent="0.2">
      <c r="A32" s="49"/>
      <c r="B32" s="49"/>
      <c r="C32" s="356" t="s">
        <v>179</v>
      </c>
      <c r="D32" s="355">
        <v>151506</v>
      </c>
      <c r="E32" s="50"/>
      <c r="F32" s="50"/>
      <c r="G32" s="50"/>
      <c r="H32" s="50"/>
      <c r="I32" s="50"/>
      <c r="J32" s="50"/>
      <c r="K32" s="50"/>
      <c r="L32" s="50"/>
      <c r="M32" s="50"/>
      <c r="N32" s="50"/>
      <c r="O32" s="50">
        <f t="shared" si="0"/>
        <v>0</v>
      </c>
    </row>
    <row r="33" spans="1:17" s="20" customFormat="1" ht="18" hidden="1" customHeight="1" x14ac:dyDescent="0.2">
      <c r="A33" s="49"/>
      <c r="B33" s="49"/>
      <c r="C33" s="357" t="s">
        <v>670</v>
      </c>
      <c r="D33" s="85">
        <v>151607</v>
      </c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50">
        <f t="shared" si="0"/>
        <v>0</v>
      </c>
    </row>
    <row r="34" spans="1:17" s="20" customFormat="1" ht="18" hidden="1" customHeight="1" x14ac:dyDescent="0.2">
      <c r="A34" s="49"/>
      <c r="B34" s="49"/>
      <c r="C34" s="358" t="s">
        <v>671</v>
      </c>
      <c r="D34" s="79"/>
      <c r="E34" s="50"/>
      <c r="F34" s="50"/>
      <c r="G34" s="50"/>
      <c r="H34" s="50"/>
      <c r="I34" s="50"/>
      <c r="J34" s="50"/>
      <c r="K34" s="50"/>
      <c r="L34" s="50"/>
      <c r="M34" s="50"/>
      <c r="N34" s="50"/>
      <c r="O34" s="50"/>
    </row>
    <row r="35" spans="1:17" s="20" customFormat="1" ht="18" hidden="1" customHeight="1" x14ac:dyDescent="0.2">
      <c r="A35" s="49"/>
      <c r="B35" s="49"/>
      <c r="C35" s="358" t="s">
        <v>576</v>
      </c>
      <c r="D35" s="85">
        <v>151902</v>
      </c>
      <c r="E35" s="50"/>
      <c r="F35" s="50"/>
      <c r="G35" s="50"/>
      <c r="H35" s="50"/>
      <c r="I35" s="50"/>
      <c r="J35" s="50"/>
      <c r="K35" s="50"/>
      <c r="L35" s="50"/>
      <c r="M35" s="50"/>
      <c r="N35" s="50"/>
      <c r="O35" s="50">
        <f t="shared" si="0"/>
        <v>0</v>
      </c>
    </row>
    <row r="36" spans="1:17" s="20" customFormat="1" ht="18" hidden="1" customHeight="1" x14ac:dyDescent="0.2">
      <c r="A36" s="49"/>
      <c r="B36" s="49"/>
      <c r="C36" s="358" t="s">
        <v>180</v>
      </c>
      <c r="D36" s="79"/>
      <c r="E36" s="50"/>
      <c r="F36" s="50"/>
      <c r="G36" s="50"/>
      <c r="H36" s="50"/>
      <c r="I36" s="50"/>
      <c r="J36" s="50"/>
      <c r="K36" s="50"/>
      <c r="L36" s="50"/>
      <c r="M36" s="50"/>
      <c r="N36" s="50"/>
      <c r="O36" s="50"/>
    </row>
    <row r="37" spans="1:17" s="20" customFormat="1" ht="18" customHeight="1" x14ac:dyDescent="0.2">
      <c r="A37" s="613"/>
      <c r="B37" s="613"/>
      <c r="C37" s="757" t="s">
        <v>1064</v>
      </c>
      <c r="D37" s="690" t="s">
        <v>1065</v>
      </c>
      <c r="E37" s="616"/>
      <c r="F37" s="616"/>
      <c r="G37" s="616"/>
      <c r="H37" s="616">
        <v>1337156</v>
      </c>
      <c r="I37" s="616"/>
      <c r="J37" s="616"/>
      <c r="K37" s="616"/>
      <c r="L37" s="616"/>
      <c r="M37" s="616"/>
      <c r="N37" s="616"/>
      <c r="O37" s="616">
        <f>SUM(E37:N37)</f>
        <v>1337156</v>
      </c>
    </row>
    <row r="38" spans="1:17" s="20" customFormat="1" ht="18" hidden="1" customHeight="1" x14ac:dyDescent="0.2">
      <c r="A38" s="49"/>
      <c r="B38" s="49"/>
      <c r="C38" s="357" t="s">
        <v>372</v>
      </c>
      <c r="D38" s="85">
        <v>151603</v>
      </c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>
        <f t="shared" si="0"/>
        <v>0</v>
      </c>
    </row>
    <row r="39" spans="1:17" s="20" customFormat="1" ht="25.5" hidden="1" customHeight="1" x14ac:dyDescent="0.2">
      <c r="A39" s="49"/>
      <c r="B39" s="49"/>
      <c r="C39" s="124" t="s">
        <v>181</v>
      </c>
      <c r="D39" s="79"/>
      <c r="E39" s="50"/>
      <c r="F39" s="50"/>
      <c r="G39" s="50"/>
      <c r="H39" s="50"/>
      <c r="I39" s="50"/>
      <c r="J39" s="50"/>
      <c r="K39" s="50"/>
      <c r="L39" s="50"/>
      <c r="M39" s="50"/>
      <c r="N39" s="50"/>
      <c r="O39" s="50"/>
    </row>
    <row r="40" spans="1:17" s="20" customFormat="1" ht="24.95" hidden="1" customHeight="1" x14ac:dyDescent="0.2">
      <c r="A40" s="49"/>
      <c r="B40" s="49"/>
      <c r="C40" s="335" t="s">
        <v>182</v>
      </c>
      <c r="D40" s="359" t="s">
        <v>183</v>
      </c>
      <c r="E40" s="50"/>
      <c r="F40" s="50"/>
      <c r="G40" s="50"/>
      <c r="H40" s="50"/>
      <c r="I40" s="50"/>
      <c r="J40" s="50"/>
      <c r="K40" s="50"/>
      <c r="L40" s="50"/>
      <c r="M40" s="50"/>
      <c r="N40" s="50"/>
      <c r="O40" s="50">
        <f t="shared" si="0"/>
        <v>0</v>
      </c>
    </row>
    <row r="41" spans="1:17" s="20" customFormat="1" ht="23.25" customHeight="1" x14ac:dyDescent="0.2">
      <c r="A41" s="340"/>
      <c r="B41" s="340"/>
      <c r="C41" s="360" t="s">
        <v>184</v>
      </c>
      <c r="D41" s="340"/>
      <c r="E41" s="342">
        <f>SUM(E27:E40)</f>
        <v>0</v>
      </c>
      <c r="F41" s="342">
        <f t="shared" ref="F41:O41" si="4">SUM(F27:F40)</f>
        <v>0</v>
      </c>
      <c r="G41" s="342">
        <f t="shared" si="4"/>
        <v>0</v>
      </c>
      <c r="H41" s="342">
        <f t="shared" si="4"/>
        <v>1337156</v>
      </c>
      <c r="I41" s="342">
        <f t="shared" si="4"/>
        <v>0</v>
      </c>
      <c r="J41" s="342">
        <f t="shared" si="4"/>
        <v>0</v>
      </c>
      <c r="K41" s="342">
        <f t="shared" si="4"/>
        <v>0</v>
      </c>
      <c r="L41" s="342">
        <f t="shared" si="4"/>
        <v>0</v>
      </c>
      <c r="M41" s="342">
        <f t="shared" si="4"/>
        <v>0</v>
      </c>
      <c r="N41" s="342">
        <f t="shared" si="4"/>
        <v>0</v>
      </c>
      <c r="O41" s="342">
        <f t="shared" si="4"/>
        <v>1337156</v>
      </c>
    </row>
    <row r="42" spans="1:17" s="20" customFormat="1" ht="21" customHeight="1" x14ac:dyDescent="0.2">
      <c r="A42" s="329">
        <v>1</v>
      </c>
      <c r="B42" s="329" t="s">
        <v>77</v>
      </c>
      <c r="C42" s="328" t="s">
        <v>106</v>
      </c>
      <c r="D42" s="329"/>
      <c r="E42" s="50"/>
      <c r="F42" s="50"/>
      <c r="G42" s="50"/>
      <c r="H42" s="50"/>
      <c r="I42" s="50"/>
      <c r="J42" s="50"/>
      <c r="K42" s="50"/>
      <c r="L42" s="50"/>
      <c r="M42" s="50"/>
      <c r="N42" s="50"/>
      <c r="O42" s="50"/>
    </row>
    <row r="43" spans="1:17" s="20" customFormat="1" ht="21" hidden="1" customHeight="1" x14ac:dyDescent="0.2">
      <c r="A43" s="614"/>
      <c r="B43" s="614"/>
      <c r="C43" s="621" t="s">
        <v>180</v>
      </c>
      <c r="D43" s="614"/>
      <c r="E43" s="616"/>
      <c r="F43" s="616"/>
      <c r="G43" s="616"/>
      <c r="H43" s="616"/>
      <c r="I43" s="616"/>
      <c r="J43" s="616"/>
      <c r="K43" s="616"/>
      <c r="L43" s="616"/>
      <c r="M43" s="616"/>
      <c r="N43" s="616"/>
      <c r="O43" s="616"/>
    </row>
    <row r="44" spans="1:17" s="20" customFormat="1" ht="21" customHeight="1" x14ac:dyDescent="0.2">
      <c r="A44" s="614"/>
      <c r="B44" s="614"/>
      <c r="C44" s="217" t="s">
        <v>403</v>
      </c>
      <c r="D44" s="689">
        <v>151606</v>
      </c>
      <c r="E44" s="44">
        <v>-6249</v>
      </c>
      <c r="F44" s="44"/>
      <c r="G44" s="44"/>
      <c r="H44" s="44"/>
      <c r="I44" s="44"/>
      <c r="J44" s="44">
        <v>6249</v>
      </c>
      <c r="K44" s="44"/>
      <c r="L44" s="44"/>
      <c r="M44" s="44"/>
      <c r="N44" s="44"/>
      <c r="O44" s="50">
        <f t="shared" si="0"/>
        <v>0</v>
      </c>
    </row>
    <row r="45" spans="1:17" s="20" customFormat="1" ht="21" hidden="1" customHeight="1" x14ac:dyDescent="0.2">
      <c r="A45" s="614"/>
      <c r="B45" s="614"/>
      <c r="C45" s="688" t="s">
        <v>1011</v>
      </c>
      <c r="D45" s="689">
        <v>162695</v>
      </c>
      <c r="E45" s="627"/>
      <c r="F45" s="627"/>
      <c r="G45" s="627"/>
      <c r="H45" s="627"/>
      <c r="I45" s="627"/>
      <c r="J45" s="627"/>
      <c r="K45" s="627"/>
      <c r="L45" s="627"/>
      <c r="M45" s="627"/>
      <c r="N45" s="627"/>
      <c r="O45" s="50">
        <f t="shared" si="0"/>
        <v>0</v>
      </c>
    </row>
    <row r="46" spans="1:17" s="20" customFormat="1" ht="27" hidden="1" customHeight="1" x14ac:dyDescent="0.2">
      <c r="A46" s="49"/>
      <c r="B46" s="49"/>
      <c r="C46" s="124" t="s">
        <v>185</v>
      </c>
      <c r="D46" s="85"/>
      <c r="E46" s="44"/>
      <c r="F46" s="50"/>
      <c r="G46" s="50"/>
      <c r="H46" s="50"/>
      <c r="I46" s="50"/>
      <c r="J46" s="50"/>
      <c r="K46" s="50"/>
      <c r="L46" s="50"/>
      <c r="M46" s="50"/>
      <c r="N46" s="50"/>
      <c r="O46" s="50"/>
    </row>
    <row r="47" spans="1:17" s="20" customFormat="1" ht="26.25" hidden="1" customHeight="1" x14ac:dyDescent="0.2">
      <c r="A47" s="49"/>
      <c r="B47" s="49"/>
      <c r="C47" s="335" t="s">
        <v>566</v>
      </c>
      <c r="D47" s="362">
        <v>161909</v>
      </c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50">
        <f t="shared" si="0"/>
        <v>0</v>
      </c>
      <c r="P47" s="43"/>
      <c r="Q47" s="43"/>
    </row>
    <row r="48" spans="1:17" s="20" customFormat="1" ht="38.25" hidden="1" customHeight="1" x14ac:dyDescent="0.2">
      <c r="A48" s="49"/>
      <c r="B48" s="49"/>
      <c r="C48" s="335" t="s">
        <v>501</v>
      </c>
      <c r="D48" s="362">
        <v>164106</v>
      </c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50">
        <f t="shared" si="0"/>
        <v>0</v>
      </c>
      <c r="P48" s="363"/>
      <c r="Q48" s="43"/>
    </row>
    <row r="49" spans="1:17" s="20" customFormat="1" ht="24" hidden="1" customHeight="1" x14ac:dyDescent="0.2">
      <c r="A49" s="49"/>
      <c r="B49" s="49"/>
      <c r="C49" s="335" t="s">
        <v>502</v>
      </c>
      <c r="D49" s="362">
        <v>164204</v>
      </c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50">
        <f t="shared" si="0"/>
        <v>0</v>
      </c>
      <c r="P49" s="363"/>
      <c r="Q49" s="43"/>
    </row>
    <row r="50" spans="1:17" s="20" customFormat="1" ht="27.75" hidden="1" customHeight="1" x14ac:dyDescent="0.2">
      <c r="A50" s="49"/>
      <c r="B50" s="49"/>
      <c r="C50" s="364" t="s">
        <v>545</v>
      </c>
      <c r="D50" s="362">
        <v>164109</v>
      </c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50">
        <f t="shared" si="0"/>
        <v>0</v>
      </c>
    </row>
    <row r="51" spans="1:17" s="20" customFormat="1" ht="30" hidden="1" customHeight="1" x14ac:dyDescent="0.2">
      <c r="A51" s="49"/>
      <c r="B51" s="49"/>
      <c r="C51" s="124" t="s">
        <v>186</v>
      </c>
      <c r="D51" s="289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50"/>
    </row>
    <row r="52" spans="1:17" s="20" customFormat="1" ht="18" hidden="1" customHeight="1" x14ac:dyDescent="0.2">
      <c r="A52" s="49"/>
      <c r="B52" s="49"/>
      <c r="C52" s="365" t="s">
        <v>603</v>
      </c>
      <c r="D52" s="289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50"/>
    </row>
    <row r="53" spans="1:17" s="20" customFormat="1" ht="32.25" hidden="1" customHeight="1" x14ac:dyDescent="0.2">
      <c r="A53" s="613"/>
      <c r="B53" s="613"/>
      <c r="C53" s="629" t="s">
        <v>979</v>
      </c>
      <c r="D53" s="630">
        <v>163690</v>
      </c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50">
        <f t="shared" si="0"/>
        <v>0</v>
      </c>
    </row>
    <row r="54" spans="1:17" s="20" customFormat="1" ht="27" hidden="1" customHeight="1" x14ac:dyDescent="0.2">
      <c r="A54" s="49"/>
      <c r="B54" s="49"/>
      <c r="C54" s="366" t="s">
        <v>529</v>
      </c>
      <c r="D54" s="128">
        <v>163625</v>
      </c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50">
        <f t="shared" si="0"/>
        <v>0</v>
      </c>
    </row>
    <row r="55" spans="1:17" s="20" customFormat="1" ht="21.75" hidden="1" customHeight="1" x14ac:dyDescent="0.2">
      <c r="A55" s="49"/>
      <c r="B55" s="49"/>
      <c r="C55" s="367" t="s">
        <v>608</v>
      </c>
      <c r="D55" s="128">
        <v>163658</v>
      </c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50">
        <f t="shared" si="0"/>
        <v>0</v>
      </c>
    </row>
    <row r="56" spans="1:17" s="20" customFormat="1" ht="31.15" hidden="1" customHeight="1" x14ac:dyDescent="0.2">
      <c r="A56" s="49"/>
      <c r="B56" s="49"/>
      <c r="C56" s="368" t="s">
        <v>556</v>
      </c>
      <c r="D56" s="128">
        <v>163662</v>
      </c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50">
        <f t="shared" si="0"/>
        <v>0</v>
      </c>
    </row>
    <row r="57" spans="1:17" s="20" customFormat="1" ht="31.15" hidden="1" customHeight="1" x14ac:dyDescent="0.2">
      <c r="A57" s="49"/>
      <c r="B57" s="49"/>
      <c r="C57" s="58" t="s">
        <v>696</v>
      </c>
      <c r="D57" s="369">
        <v>163679</v>
      </c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50">
        <f t="shared" si="0"/>
        <v>0</v>
      </c>
    </row>
    <row r="58" spans="1:17" s="20" customFormat="1" ht="31.15" hidden="1" customHeight="1" x14ac:dyDescent="0.2">
      <c r="A58" s="49"/>
      <c r="B58" s="49"/>
      <c r="C58" s="58" t="s">
        <v>639</v>
      </c>
      <c r="D58" s="369">
        <v>163680</v>
      </c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50">
        <f t="shared" si="0"/>
        <v>0</v>
      </c>
    </row>
    <row r="59" spans="1:17" s="20" customFormat="1" ht="31.15" hidden="1" customHeight="1" x14ac:dyDescent="0.2">
      <c r="A59" s="49"/>
      <c r="B59" s="49"/>
      <c r="C59" s="58" t="s">
        <v>640</v>
      </c>
      <c r="D59" s="369">
        <v>163681</v>
      </c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50">
        <f t="shared" si="0"/>
        <v>0</v>
      </c>
    </row>
    <row r="60" spans="1:17" s="20" customFormat="1" ht="43.9" hidden="1" customHeight="1" x14ac:dyDescent="0.2">
      <c r="A60" s="49"/>
      <c r="B60" s="49"/>
      <c r="C60" s="58" t="s">
        <v>641</v>
      </c>
      <c r="D60" s="369">
        <v>163682</v>
      </c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50">
        <f t="shared" si="0"/>
        <v>0</v>
      </c>
    </row>
    <row r="61" spans="1:17" s="20" customFormat="1" ht="43.9" hidden="1" customHeight="1" x14ac:dyDescent="0.2">
      <c r="A61" s="49"/>
      <c r="B61" s="49"/>
      <c r="C61" s="370" t="s">
        <v>682</v>
      </c>
      <c r="D61" s="369">
        <v>163666</v>
      </c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50">
        <f t="shared" si="0"/>
        <v>0</v>
      </c>
    </row>
    <row r="62" spans="1:17" s="20" customFormat="1" ht="39.75" hidden="1" customHeight="1" x14ac:dyDescent="0.2">
      <c r="A62" s="49"/>
      <c r="B62" s="49"/>
      <c r="C62" s="371" t="s">
        <v>683</v>
      </c>
      <c r="D62" s="128">
        <v>163671</v>
      </c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50">
        <f t="shared" si="0"/>
        <v>0</v>
      </c>
    </row>
    <row r="63" spans="1:17" s="20" customFormat="1" ht="30" hidden="1" customHeight="1" x14ac:dyDescent="0.2">
      <c r="A63" s="49"/>
      <c r="B63" s="49"/>
      <c r="C63" s="370" t="s">
        <v>684</v>
      </c>
      <c r="D63" s="128">
        <v>163672</v>
      </c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50">
        <f t="shared" si="0"/>
        <v>0</v>
      </c>
    </row>
    <row r="64" spans="1:17" s="20" customFormat="1" ht="43.9" hidden="1" customHeight="1" x14ac:dyDescent="0.2">
      <c r="A64" s="49"/>
      <c r="B64" s="49"/>
      <c r="C64" s="370" t="s">
        <v>685</v>
      </c>
      <c r="D64" s="128">
        <v>163665</v>
      </c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50">
        <f t="shared" si="0"/>
        <v>0</v>
      </c>
    </row>
    <row r="65" spans="1:15" s="20" customFormat="1" ht="30.75" hidden="1" customHeight="1" x14ac:dyDescent="0.2">
      <c r="A65" s="49"/>
      <c r="B65" s="49"/>
      <c r="C65" s="370" t="s">
        <v>686</v>
      </c>
      <c r="D65" s="128">
        <v>163685</v>
      </c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50">
        <f t="shared" si="0"/>
        <v>0</v>
      </c>
    </row>
    <row r="66" spans="1:15" s="20" customFormat="1" ht="29.25" hidden="1" customHeight="1" x14ac:dyDescent="0.2">
      <c r="A66" s="49"/>
      <c r="B66" s="49"/>
      <c r="C66" s="370" t="s">
        <v>687</v>
      </c>
      <c r="D66" s="372">
        <v>163684</v>
      </c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50">
        <f t="shared" si="0"/>
        <v>0</v>
      </c>
    </row>
    <row r="67" spans="1:15" s="20" customFormat="1" ht="31.5" hidden="1" customHeight="1" x14ac:dyDescent="0.2">
      <c r="A67" s="49"/>
      <c r="B67" s="49"/>
      <c r="C67" s="125" t="s">
        <v>689</v>
      </c>
      <c r="D67" s="128">
        <v>163673</v>
      </c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50">
        <f t="shared" si="0"/>
        <v>0</v>
      </c>
    </row>
    <row r="68" spans="1:15" s="20" customFormat="1" ht="28.5" hidden="1" customHeight="1" x14ac:dyDescent="0.2">
      <c r="A68" s="49"/>
      <c r="B68" s="49"/>
      <c r="C68" s="458" t="s">
        <v>690</v>
      </c>
      <c r="D68" s="128">
        <v>163687</v>
      </c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50">
        <f t="shared" si="0"/>
        <v>0</v>
      </c>
    </row>
    <row r="69" spans="1:15" s="20" customFormat="1" ht="56.25" hidden="1" customHeight="1" x14ac:dyDescent="0.2">
      <c r="A69" s="49"/>
      <c r="B69" s="49"/>
      <c r="C69" s="458" t="s">
        <v>691</v>
      </c>
      <c r="D69" s="128">
        <v>163678</v>
      </c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50">
        <f t="shared" si="0"/>
        <v>0</v>
      </c>
    </row>
    <row r="70" spans="1:15" s="20" customFormat="1" ht="32.25" hidden="1" customHeight="1" x14ac:dyDescent="0.2">
      <c r="A70" s="49"/>
      <c r="B70" s="49"/>
      <c r="C70" s="459" t="s">
        <v>688</v>
      </c>
      <c r="D70" s="372">
        <v>163686</v>
      </c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50">
        <f t="shared" si="0"/>
        <v>0</v>
      </c>
    </row>
    <row r="71" spans="1:15" s="20" customFormat="1" ht="43.9" customHeight="1" x14ac:dyDescent="0.2">
      <c r="A71" s="49"/>
      <c r="B71" s="49"/>
      <c r="C71" s="373" t="s">
        <v>693</v>
      </c>
      <c r="D71" s="372">
        <v>163688</v>
      </c>
      <c r="E71" s="44"/>
      <c r="F71" s="44"/>
      <c r="G71" s="44"/>
      <c r="H71" s="44">
        <v>31058034</v>
      </c>
      <c r="I71" s="44"/>
      <c r="J71" s="44"/>
      <c r="K71" s="44"/>
      <c r="L71" s="44"/>
      <c r="M71" s="44"/>
      <c r="N71" s="44"/>
      <c r="O71" s="50">
        <f t="shared" si="0"/>
        <v>31058034</v>
      </c>
    </row>
    <row r="72" spans="1:15" s="20" customFormat="1" ht="48.75" hidden="1" customHeight="1" x14ac:dyDescent="0.2">
      <c r="A72" s="49"/>
      <c r="B72" s="49"/>
      <c r="C72" s="373" t="s">
        <v>694</v>
      </c>
      <c r="D72" s="372">
        <v>163689</v>
      </c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50">
        <f t="shared" si="0"/>
        <v>0</v>
      </c>
    </row>
    <row r="73" spans="1:15" s="20" customFormat="1" ht="23.25" hidden="1" customHeight="1" x14ac:dyDescent="0.2">
      <c r="A73" s="49"/>
      <c r="B73" s="49"/>
      <c r="C73" s="374" t="s">
        <v>414</v>
      </c>
      <c r="D73" s="375"/>
      <c r="E73" s="44"/>
      <c r="F73" s="287"/>
      <c r="G73" s="287"/>
      <c r="H73" s="287"/>
      <c r="I73" s="287"/>
      <c r="J73" s="287"/>
      <c r="K73" s="287"/>
      <c r="L73" s="287"/>
      <c r="M73" s="287"/>
      <c r="N73" s="287"/>
      <c r="O73" s="288"/>
    </row>
    <row r="74" spans="1:15" s="20" customFormat="1" ht="31.5" hidden="1" customHeight="1" x14ac:dyDescent="0.2">
      <c r="A74" s="49"/>
      <c r="B74" s="49"/>
      <c r="C74" s="373" t="s">
        <v>188</v>
      </c>
      <c r="D74" s="128">
        <v>163702</v>
      </c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50">
        <f t="shared" si="0"/>
        <v>0</v>
      </c>
    </row>
    <row r="75" spans="1:15" s="20" customFormat="1" ht="51.75" hidden="1" customHeight="1" x14ac:dyDescent="0.2">
      <c r="A75" s="49"/>
      <c r="B75" s="49"/>
      <c r="C75" s="376" t="s">
        <v>187</v>
      </c>
      <c r="D75" s="128">
        <v>163621</v>
      </c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50">
        <f t="shared" si="0"/>
        <v>0</v>
      </c>
    </row>
    <row r="76" spans="1:15" s="20" customFormat="1" ht="51.75" hidden="1" customHeight="1" x14ac:dyDescent="0.2">
      <c r="A76" s="49"/>
      <c r="B76" s="49"/>
      <c r="C76" s="377" t="s">
        <v>543</v>
      </c>
      <c r="D76" s="128">
        <v>163650</v>
      </c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50">
        <f t="shared" si="0"/>
        <v>0</v>
      </c>
    </row>
    <row r="77" spans="1:15" s="20" customFormat="1" ht="18.75" hidden="1" customHeight="1" x14ac:dyDescent="0.2">
      <c r="A77" s="49"/>
      <c r="B77" s="49"/>
      <c r="C77" s="378" t="s">
        <v>801</v>
      </c>
      <c r="D77" s="375"/>
      <c r="E77" s="44"/>
      <c r="F77" s="287"/>
      <c r="G77" s="287"/>
      <c r="H77" s="287"/>
      <c r="I77" s="287"/>
      <c r="J77" s="287"/>
      <c r="K77" s="287"/>
      <c r="L77" s="287"/>
      <c r="M77" s="287"/>
      <c r="N77" s="287"/>
      <c r="O77" s="288"/>
    </row>
    <row r="78" spans="1:15" s="20" customFormat="1" ht="50.25" hidden="1" customHeight="1" x14ac:dyDescent="0.2">
      <c r="A78" s="613"/>
      <c r="B78" s="613"/>
      <c r="C78" s="675" t="s">
        <v>1003</v>
      </c>
      <c r="D78" s="676">
        <v>163691</v>
      </c>
      <c r="E78" s="627"/>
      <c r="F78" s="627"/>
      <c r="G78" s="627"/>
      <c r="H78" s="627"/>
      <c r="I78" s="627"/>
      <c r="J78" s="627"/>
      <c r="K78" s="627"/>
      <c r="L78" s="627"/>
      <c r="M78" s="627"/>
      <c r="N78" s="627"/>
      <c r="O78" s="616">
        <f>SUM(E78:N78)</f>
        <v>0</v>
      </c>
    </row>
    <row r="79" spans="1:15" s="20" customFormat="1" ht="59.25" hidden="1" customHeight="1" x14ac:dyDescent="0.2">
      <c r="A79" s="613"/>
      <c r="B79" s="613"/>
      <c r="C79" s="675" t="s">
        <v>1004</v>
      </c>
      <c r="D79" s="676">
        <v>163692</v>
      </c>
      <c r="E79" s="627"/>
      <c r="F79" s="627"/>
      <c r="G79" s="627"/>
      <c r="H79" s="627"/>
      <c r="I79" s="627"/>
      <c r="J79" s="627"/>
      <c r="K79" s="627"/>
      <c r="L79" s="627"/>
      <c r="M79" s="627"/>
      <c r="N79" s="627"/>
      <c r="O79" s="616">
        <f>SUM(E79:N79)</f>
        <v>0</v>
      </c>
    </row>
    <row r="80" spans="1:15" s="20" customFormat="1" ht="37.5" hidden="1" customHeight="1" x14ac:dyDescent="0.2">
      <c r="A80" s="49"/>
      <c r="B80" s="49"/>
      <c r="C80" s="373" t="s">
        <v>697</v>
      </c>
      <c r="D80" s="128">
        <v>164959</v>
      </c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50">
        <f t="shared" si="0"/>
        <v>0</v>
      </c>
    </row>
    <row r="81" spans="1:15" s="20" customFormat="1" ht="40.5" hidden="1" customHeight="1" x14ac:dyDescent="0.2">
      <c r="A81" s="49"/>
      <c r="B81" s="49"/>
      <c r="C81" s="377" t="s">
        <v>698</v>
      </c>
      <c r="D81" s="128">
        <v>164958</v>
      </c>
      <c r="E81" s="44"/>
      <c r="F81" s="44"/>
      <c r="G81" s="44"/>
      <c r="H81" s="44"/>
      <c r="I81" s="44"/>
      <c r="J81" s="44"/>
      <c r="K81" s="44"/>
      <c r="L81" s="44"/>
      <c r="M81" s="44"/>
      <c r="N81" s="44"/>
      <c r="O81" s="50">
        <f t="shared" si="0"/>
        <v>0</v>
      </c>
    </row>
    <row r="82" spans="1:15" s="20" customFormat="1" ht="20.25" hidden="1" customHeight="1" x14ac:dyDescent="0.2">
      <c r="A82" s="49"/>
      <c r="B82" s="49"/>
      <c r="C82" s="379" t="s">
        <v>418</v>
      </c>
      <c r="D82" s="375"/>
      <c r="E82" s="44"/>
      <c r="F82" s="287"/>
      <c r="G82" s="287"/>
      <c r="H82" s="287"/>
      <c r="I82" s="287"/>
      <c r="J82" s="287"/>
      <c r="K82" s="287"/>
      <c r="L82" s="287"/>
      <c r="M82" s="287"/>
      <c r="N82" s="287"/>
      <c r="O82" s="288"/>
    </row>
    <row r="83" spans="1:15" s="20" customFormat="1" ht="45" hidden="1" customHeight="1" x14ac:dyDescent="0.2">
      <c r="A83" s="613"/>
      <c r="B83" s="613"/>
      <c r="C83" s="675" t="s">
        <v>1005</v>
      </c>
      <c r="D83" s="676">
        <v>163693</v>
      </c>
      <c r="E83" s="627"/>
      <c r="F83" s="627"/>
      <c r="G83" s="627"/>
      <c r="H83" s="627"/>
      <c r="I83" s="627"/>
      <c r="J83" s="627"/>
      <c r="K83" s="627"/>
      <c r="L83" s="627"/>
      <c r="M83" s="627"/>
      <c r="N83" s="627"/>
      <c r="O83" s="616">
        <f>SUM(E83:N83)</f>
        <v>0</v>
      </c>
    </row>
    <row r="84" spans="1:15" s="20" customFormat="1" ht="35.25" hidden="1" customHeight="1" x14ac:dyDescent="0.2">
      <c r="A84" s="613"/>
      <c r="B84" s="613"/>
      <c r="C84" s="675" t="s">
        <v>1006</v>
      </c>
      <c r="D84" s="676">
        <v>163694</v>
      </c>
      <c r="E84" s="627"/>
      <c r="F84" s="627"/>
      <c r="G84" s="627"/>
      <c r="H84" s="627"/>
      <c r="I84" s="627"/>
      <c r="J84" s="627"/>
      <c r="K84" s="627"/>
      <c r="L84" s="627"/>
      <c r="M84" s="627"/>
      <c r="N84" s="627"/>
      <c r="O84" s="616">
        <f>SUM(E84:N84)</f>
        <v>0</v>
      </c>
    </row>
    <row r="85" spans="1:15" s="20" customFormat="1" ht="45" hidden="1" customHeight="1" x14ac:dyDescent="0.2">
      <c r="A85" s="49"/>
      <c r="B85" s="49"/>
      <c r="C85" s="366" t="s">
        <v>575</v>
      </c>
      <c r="D85" s="380">
        <v>163664</v>
      </c>
      <c r="E85" s="44"/>
      <c r="F85" s="44"/>
      <c r="G85" s="44"/>
      <c r="H85" s="44"/>
      <c r="I85" s="44"/>
      <c r="J85" s="44"/>
      <c r="K85" s="44"/>
      <c r="L85" s="44"/>
      <c r="M85" s="44"/>
      <c r="N85" s="44"/>
      <c r="O85" s="50">
        <f t="shared" si="0"/>
        <v>0</v>
      </c>
    </row>
    <row r="86" spans="1:15" s="20" customFormat="1" ht="67.5" hidden="1" customHeight="1" x14ac:dyDescent="0.2">
      <c r="A86" s="49"/>
      <c r="B86" s="49"/>
      <c r="C86" s="373" t="s">
        <v>554</v>
      </c>
      <c r="D86" s="381">
        <v>163654</v>
      </c>
      <c r="E86" s="44"/>
      <c r="F86" s="44"/>
      <c r="G86" s="44"/>
      <c r="H86" s="44"/>
      <c r="I86" s="44"/>
      <c r="J86" s="44"/>
      <c r="K86" s="44"/>
      <c r="L86" s="44"/>
      <c r="M86" s="44"/>
      <c r="N86" s="44"/>
      <c r="O86" s="50">
        <f t="shared" si="0"/>
        <v>0</v>
      </c>
    </row>
    <row r="87" spans="1:15" s="20" customFormat="1" ht="67.5" hidden="1" customHeight="1" x14ac:dyDescent="0.2">
      <c r="A87" s="49"/>
      <c r="B87" s="49"/>
      <c r="C87" s="373" t="s">
        <v>555</v>
      </c>
      <c r="D87" s="128">
        <v>163661</v>
      </c>
      <c r="E87" s="44"/>
      <c r="F87" s="44"/>
      <c r="G87" s="44"/>
      <c r="H87" s="44"/>
      <c r="I87" s="44"/>
      <c r="J87" s="44"/>
      <c r="K87" s="44"/>
      <c r="L87" s="44"/>
      <c r="M87" s="44"/>
      <c r="N87" s="44"/>
      <c r="O87" s="50">
        <f t="shared" si="0"/>
        <v>0</v>
      </c>
    </row>
    <row r="88" spans="1:15" s="20" customFormat="1" ht="63" hidden="1" customHeight="1" x14ac:dyDescent="0.2">
      <c r="A88" s="49"/>
      <c r="B88" s="49"/>
      <c r="C88" s="373" t="s">
        <v>643</v>
      </c>
      <c r="D88" s="128">
        <v>163683</v>
      </c>
      <c r="E88" s="44"/>
      <c r="F88" s="44"/>
      <c r="G88" s="44"/>
      <c r="H88" s="44"/>
      <c r="I88" s="44"/>
      <c r="J88" s="44"/>
      <c r="K88" s="44"/>
      <c r="L88" s="44"/>
      <c r="M88" s="44"/>
      <c r="N88" s="44"/>
      <c r="O88" s="50">
        <f t="shared" si="0"/>
        <v>0</v>
      </c>
    </row>
    <row r="89" spans="1:15" s="20" customFormat="1" ht="49.5" hidden="1" customHeight="1" x14ac:dyDescent="0.2">
      <c r="A89" s="49"/>
      <c r="B89" s="49"/>
      <c r="C89" s="382" t="s">
        <v>838</v>
      </c>
      <c r="D89" s="362">
        <v>164206</v>
      </c>
      <c r="E89" s="44"/>
      <c r="F89" s="44"/>
      <c r="G89" s="44"/>
      <c r="H89" s="44"/>
      <c r="I89" s="44"/>
      <c r="J89" s="44"/>
      <c r="K89" s="44"/>
      <c r="L89" s="44"/>
      <c r="M89" s="44"/>
      <c r="N89" s="44"/>
      <c r="O89" s="50">
        <f t="shared" si="0"/>
        <v>0</v>
      </c>
    </row>
    <row r="90" spans="1:15" s="20" customFormat="1" ht="41.25" hidden="1" customHeight="1" x14ac:dyDescent="0.2">
      <c r="A90" s="49"/>
      <c r="B90" s="49"/>
      <c r="C90" s="382" t="s">
        <v>553</v>
      </c>
      <c r="D90" s="380">
        <v>132937</v>
      </c>
      <c r="E90" s="44"/>
      <c r="F90" s="44"/>
      <c r="G90" s="44"/>
      <c r="H90" s="44"/>
      <c r="I90" s="44"/>
      <c r="J90" s="44"/>
      <c r="K90" s="44"/>
      <c r="L90" s="44"/>
      <c r="M90" s="44"/>
      <c r="N90" s="44"/>
      <c r="O90" s="50">
        <f t="shared" si="0"/>
        <v>0</v>
      </c>
    </row>
    <row r="91" spans="1:15" s="20" customFormat="1" ht="27.75" hidden="1" customHeight="1" x14ac:dyDescent="0.2">
      <c r="A91" s="49"/>
      <c r="B91" s="49"/>
      <c r="C91" s="373" t="s">
        <v>692</v>
      </c>
      <c r="D91" s="372">
        <v>163676</v>
      </c>
      <c r="E91" s="44"/>
      <c r="F91" s="44"/>
      <c r="G91" s="44"/>
      <c r="H91" s="44"/>
      <c r="I91" s="44"/>
      <c r="J91" s="44"/>
      <c r="K91" s="44"/>
      <c r="L91" s="44"/>
      <c r="M91" s="44"/>
      <c r="N91" s="44"/>
      <c r="O91" s="50">
        <f t="shared" si="0"/>
        <v>0</v>
      </c>
    </row>
    <row r="92" spans="1:15" s="20" customFormat="1" ht="52.15" hidden="1" customHeight="1" x14ac:dyDescent="0.2">
      <c r="A92" s="49"/>
      <c r="B92" s="49"/>
      <c r="C92" s="373" t="s">
        <v>695</v>
      </c>
      <c r="D92" s="372">
        <v>163675</v>
      </c>
      <c r="E92" s="44"/>
      <c r="F92" s="44"/>
      <c r="G92" s="44"/>
      <c r="H92" s="44"/>
      <c r="I92" s="44"/>
      <c r="J92" s="44"/>
      <c r="K92" s="44"/>
      <c r="L92" s="44"/>
      <c r="M92" s="44"/>
      <c r="N92" s="44"/>
      <c r="O92" s="50">
        <f t="shared" si="0"/>
        <v>0</v>
      </c>
    </row>
    <row r="93" spans="1:15" s="20" customFormat="1" ht="22.5" customHeight="1" x14ac:dyDescent="0.2">
      <c r="A93" s="340"/>
      <c r="B93" s="340"/>
      <c r="C93" s="383" t="s">
        <v>189</v>
      </c>
      <c r="D93" s="340"/>
      <c r="E93" s="342">
        <f>SUM(E43:E92)</f>
        <v>-6249</v>
      </c>
      <c r="F93" s="342">
        <f t="shared" ref="F93:O93" si="5">SUM(F43:F92)</f>
        <v>0</v>
      </c>
      <c r="G93" s="342">
        <f t="shared" si="5"/>
        <v>0</v>
      </c>
      <c r="H93" s="342">
        <f t="shared" si="5"/>
        <v>31058034</v>
      </c>
      <c r="I93" s="342">
        <f t="shared" si="5"/>
        <v>0</v>
      </c>
      <c r="J93" s="342">
        <f t="shared" si="5"/>
        <v>6249</v>
      </c>
      <c r="K93" s="342">
        <f t="shared" si="5"/>
        <v>0</v>
      </c>
      <c r="L93" s="342">
        <f t="shared" si="5"/>
        <v>0</v>
      </c>
      <c r="M93" s="342">
        <f t="shared" si="5"/>
        <v>0</v>
      </c>
      <c r="N93" s="342">
        <f t="shared" si="5"/>
        <v>0</v>
      </c>
      <c r="O93" s="342">
        <f t="shared" si="5"/>
        <v>31058034</v>
      </c>
    </row>
    <row r="94" spans="1:15" s="20" customFormat="1" ht="17.25" hidden="1" customHeight="1" x14ac:dyDescent="0.2">
      <c r="A94" s="329">
        <v>1</v>
      </c>
      <c r="B94" s="329">
        <v>17</v>
      </c>
      <c r="C94" s="384" t="s">
        <v>114</v>
      </c>
      <c r="D94" s="329"/>
      <c r="E94" s="50"/>
      <c r="F94" s="50"/>
      <c r="G94" s="50"/>
      <c r="H94" s="50"/>
      <c r="I94" s="50"/>
      <c r="J94" s="50"/>
      <c r="K94" s="50"/>
      <c r="L94" s="50"/>
      <c r="M94" s="50"/>
      <c r="N94" s="50"/>
      <c r="O94" s="50"/>
    </row>
    <row r="95" spans="1:15" s="20" customFormat="1" ht="24" hidden="1" customHeight="1" x14ac:dyDescent="0.2">
      <c r="A95" s="49"/>
      <c r="B95" s="49"/>
      <c r="C95" s="104" t="s">
        <v>186</v>
      </c>
      <c r="D95" s="85"/>
      <c r="E95" s="361"/>
      <c r="F95" s="50"/>
      <c r="G95" s="50"/>
      <c r="H95" s="50"/>
      <c r="I95" s="50"/>
      <c r="J95" s="50"/>
      <c r="K95" s="50"/>
      <c r="L95" s="50"/>
      <c r="M95" s="50"/>
      <c r="N95" s="50"/>
      <c r="O95" s="50"/>
    </row>
    <row r="96" spans="1:15" s="20" customFormat="1" ht="18.75" hidden="1" customHeight="1" x14ac:dyDescent="0.2">
      <c r="A96" s="49"/>
      <c r="B96" s="49"/>
      <c r="C96" s="396" t="s">
        <v>941</v>
      </c>
      <c r="D96" s="355">
        <v>171907</v>
      </c>
      <c r="E96" s="50"/>
      <c r="F96" s="50"/>
      <c r="G96" s="50"/>
      <c r="H96" s="50"/>
      <c r="I96" s="50"/>
      <c r="J96" s="50"/>
      <c r="K96" s="50"/>
      <c r="L96" s="50"/>
      <c r="M96" s="50"/>
      <c r="N96" s="50"/>
      <c r="O96" s="50">
        <f t="shared" si="0"/>
        <v>0</v>
      </c>
    </row>
    <row r="97" spans="1:15" s="20" customFormat="1" ht="25.5" hidden="1" customHeight="1" x14ac:dyDescent="0.2">
      <c r="A97" s="49"/>
      <c r="B97" s="49"/>
      <c r="C97" s="385" t="s">
        <v>942</v>
      </c>
      <c r="D97" s="355">
        <v>171923</v>
      </c>
      <c r="E97" s="50"/>
      <c r="F97" s="50"/>
      <c r="G97" s="50"/>
      <c r="H97" s="50"/>
      <c r="I97" s="50"/>
      <c r="J97" s="50"/>
      <c r="K97" s="50"/>
      <c r="L97" s="50"/>
      <c r="M97" s="50"/>
      <c r="N97" s="50"/>
      <c r="O97" s="50">
        <f t="shared" si="0"/>
        <v>0</v>
      </c>
    </row>
    <row r="98" spans="1:15" s="20" customFormat="1" ht="25.5" hidden="1" customHeight="1" x14ac:dyDescent="0.2">
      <c r="A98" s="49"/>
      <c r="B98" s="49"/>
      <c r="C98" s="385" t="s">
        <v>190</v>
      </c>
      <c r="D98" s="336"/>
      <c r="E98" s="50"/>
      <c r="F98" s="50"/>
      <c r="G98" s="50"/>
      <c r="H98" s="50"/>
      <c r="I98" s="50"/>
      <c r="J98" s="50"/>
      <c r="K98" s="50"/>
      <c r="L98" s="50"/>
      <c r="M98" s="50"/>
      <c r="N98" s="50"/>
      <c r="O98" s="50"/>
    </row>
    <row r="99" spans="1:15" s="20" customFormat="1" ht="14.1" hidden="1" customHeight="1" x14ac:dyDescent="0.2">
      <c r="A99" s="49"/>
      <c r="B99" s="49"/>
      <c r="C99" s="386" t="s">
        <v>191</v>
      </c>
      <c r="D99" s="387">
        <v>171980</v>
      </c>
      <c r="E99" s="50"/>
      <c r="F99" s="50"/>
      <c r="G99" s="50"/>
      <c r="H99" s="50"/>
      <c r="I99" s="50"/>
      <c r="J99" s="50"/>
      <c r="K99" s="50"/>
      <c r="L99" s="50"/>
      <c r="M99" s="50"/>
      <c r="N99" s="50"/>
      <c r="O99" s="50">
        <f t="shared" ref="O99:O166" si="6">SUM(E99:N99)</f>
        <v>0</v>
      </c>
    </row>
    <row r="100" spans="1:15" s="20" customFormat="1" ht="26.25" hidden="1" customHeight="1" x14ac:dyDescent="0.2">
      <c r="A100" s="388"/>
      <c r="B100" s="388"/>
      <c r="C100" s="104" t="s">
        <v>186</v>
      </c>
      <c r="D100" s="85"/>
      <c r="E100" s="50"/>
      <c r="F100" s="50"/>
      <c r="G100" s="50"/>
      <c r="H100" s="50"/>
      <c r="I100" s="50"/>
      <c r="J100" s="50"/>
      <c r="K100" s="50"/>
      <c r="L100" s="50"/>
      <c r="M100" s="50"/>
      <c r="N100" s="50"/>
      <c r="O100" s="50"/>
    </row>
    <row r="101" spans="1:15" s="20" customFormat="1" ht="29.25" hidden="1" customHeight="1" x14ac:dyDescent="0.2">
      <c r="A101" s="49"/>
      <c r="B101" s="49"/>
      <c r="C101" s="389" t="s">
        <v>192</v>
      </c>
      <c r="D101" s="355">
        <v>171905</v>
      </c>
      <c r="E101" s="50"/>
      <c r="F101" s="50"/>
      <c r="G101" s="50"/>
      <c r="H101" s="50"/>
      <c r="I101" s="50"/>
      <c r="J101" s="50"/>
      <c r="K101" s="50"/>
      <c r="L101" s="50"/>
      <c r="M101" s="50"/>
      <c r="N101" s="50"/>
      <c r="O101" s="50">
        <f t="shared" si="6"/>
        <v>0</v>
      </c>
    </row>
    <row r="102" spans="1:15" s="20" customFormat="1" ht="14.1" hidden="1" customHeight="1" x14ac:dyDescent="0.2">
      <c r="A102" s="21"/>
      <c r="B102" s="21"/>
      <c r="C102" s="120" t="s">
        <v>193</v>
      </c>
      <c r="D102" s="355">
        <v>171909</v>
      </c>
      <c r="E102" s="50"/>
      <c r="F102" s="50"/>
      <c r="G102" s="50"/>
      <c r="H102" s="50"/>
      <c r="I102" s="50"/>
      <c r="J102" s="50"/>
      <c r="K102" s="50"/>
      <c r="L102" s="50"/>
      <c r="M102" s="50"/>
      <c r="N102" s="50"/>
      <c r="O102" s="50">
        <f t="shared" si="6"/>
        <v>0</v>
      </c>
    </row>
    <row r="103" spans="1:15" s="20" customFormat="1" ht="14.1" hidden="1" customHeight="1" x14ac:dyDescent="0.2">
      <c r="A103" s="21"/>
      <c r="B103" s="21"/>
      <c r="C103" s="120" t="s">
        <v>194</v>
      </c>
      <c r="D103" s="355">
        <v>171904</v>
      </c>
      <c r="E103" s="50"/>
      <c r="F103" s="50"/>
      <c r="G103" s="50"/>
      <c r="H103" s="50"/>
      <c r="I103" s="50"/>
      <c r="J103" s="50"/>
      <c r="K103" s="50"/>
      <c r="L103" s="50"/>
      <c r="M103" s="50"/>
      <c r="N103" s="50"/>
      <c r="O103" s="50">
        <f t="shared" si="6"/>
        <v>0</v>
      </c>
    </row>
    <row r="104" spans="1:15" s="20" customFormat="1" ht="14.1" hidden="1" customHeight="1" x14ac:dyDescent="0.2">
      <c r="A104" s="21"/>
      <c r="B104" s="21"/>
      <c r="C104" s="120" t="s">
        <v>807</v>
      </c>
      <c r="D104" s="355">
        <v>172901</v>
      </c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>
        <f t="shared" si="6"/>
        <v>0</v>
      </c>
    </row>
    <row r="105" spans="1:15" s="20" customFormat="1" ht="14.1" hidden="1" customHeight="1" x14ac:dyDescent="0.2">
      <c r="A105" s="21"/>
      <c r="B105" s="21"/>
      <c r="C105" s="120" t="s">
        <v>672</v>
      </c>
      <c r="D105" s="355">
        <v>172909</v>
      </c>
      <c r="E105" s="50"/>
      <c r="F105" s="50"/>
      <c r="G105" s="50"/>
      <c r="H105" s="50"/>
      <c r="I105" s="50"/>
      <c r="J105" s="50"/>
      <c r="K105" s="50"/>
      <c r="L105" s="50"/>
      <c r="M105" s="50"/>
      <c r="N105" s="50"/>
      <c r="O105" s="50">
        <f t="shared" si="6"/>
        <v>0</v>
      </c>
    </row>
    <row r="106" spans="1:15" s="20" customFormat="1" ht="14.1" hidden="1" customHeight="1" x14ac:dyDescent="0.2">
      <c r="A106" s="21"/>
      <c r="B106" s="21"/>
      <c r="C106" s="120" t="s">
        <v>673</v>
      </c>
      <c r="D106" s="355">
        <v>172920</v>
      </c>
      <c r="E106" s="50"/>
      <c r="F106" s="50"/>
      <c r="G106" s="50"/>
      <c r="H106" s="50"/>
      <c r="I106" s="50"/>
      <c r="J106" s="50"/>
      <c r="K106" s="50"/>
      <c r="L106" s="50"/>
      <c r="M106" s="50"/>
      <c r="N106" s="50"/>
      <c r="O106" s="50">
        <f t="shared" si="6"/>
        <v>0</v>
      </c>
    </row>
    <row r="107" spans="1:15" s="20" customFormat="1" ht="14.1" hidden="1" customHeight="1" x14ac:dyDescent="0.2">
      <c r="A107" s="21"/>
      <c r="B107" s="21"/>
      <c r="C107" s="120" t="s">
        <v>195</v>
      </c>
      <c r="D107" s="355">
        <v>131857</v>
      </c>
      <c r="E107" s="50"/>
      <c r="F107" s="50"/>
      <c r="G107" s="50"/>
      <c r="H107" s="50"/>
      <c r="I107" s="50"/>
      <c r="J107" s="50"/>
      <c r="K107" s="50"/>
      <c r="L107" s="50"/>
      <c r="M107" s="50"/>
      <c r="N107" s="50"/>
      <c r="O107" s="50">
        <f t="shared" si="6"/>
        <v>0</v>
      </c>
    </row>
    <row r="108" spans="1:15" s="20" customFormat="1" ht="14.1" hidden="1" customHeight="1" x14ac:dyDescent="0.2">
      <c r="A108" s="21"/>
      <c r="B108" s="21"/>
      <c r="C108" s="120" t="s">
        <v>674</v>
      </c>
      <c r="D108" s="355">
        <v>172922</v>
      </c>
      <c r="E108" s="50"/>
      <c r="F108" s="50"/>
      <c r="G108" s="50"/>
      <c r="H108" s="50"/>
      <c r="I108" s="50"/>
      <c r="J108" s="50"/>
      <c r="K108" s="50"/>
      <c r="L108" s="50"/>
      <c r="M108" s="50"/>
      <c r="N108" s="50"/>
      <c r="O108" s="50">
        <f t="shared" si="6"/>
        <v>0</v>
      </c>
    </row>
    <row r="109" spans="1:15" s="20" customFormat="1" ht="26.25" hidden="1" customHeight="1" x14ac:dyDescent="0.2">
      <c r="A109" s="21"/>
      <c r="B109" s="21"/>
      <c r="C109" s="390" t="s">
        <v>544</v>
      </c>
      <c r="D109" s="355">
        <v>171977</v>
      </c>
      <c r="E109" s="50"/>
      <c r="F109" s="50"/>
      <c r="G109" s="50"/>
      <c r="H109" s="50"/>
      <c r="I109" s="50"/>
      <c r="J109" s="50"/>
      <c r="K109" s="50"/>
      <c r="L109" s="50"/>
      <c r="M109" s="50"/>
      <c r="N109" s="50"/>
      <c r="O109" s="50">
        <f t="shared" si="6"/>
        <v>0</v>
      </c>
    </row>
    <row r="110" spans="1:15" s="20" customFormat="1" ht="14.1" hidden="1" customHeight="1" x14ac:dyDescent="0.2">
      <c r="A110" s="21"/>
      <c r="B110" s="21"/>
      <c r="C110" s="120" t="s">
        <v>532</v>
      </c>
      <c r="D110" s="355">
        <v>171978</v>
      </c>
      <c r="E110" s="50"/>
      <c r="F110" s="50"/>
      <c r="G110" s="50"/>
      <c r="H110" s="50"/>
      <c r="I110" s="50"/>
      <c r="J110" s="50"/>
      <c r="K110" s="50"/>
      <c r="L110" s="50"/>
      <c r="M110" s="50"/>
      <c r="N110" s="50"/>
      <c r="O110" s="50">
        <f t="shared" si="6"/>
        <v>0</v>
      </c>
    </row>
    <row r="111" spans="1:15" s="20" customFormat="1" ht="20.100000000000001" hidden="1" customHeight="1" x14ac:dyDescent="0.2">
      <c r="A111" s="21"/>
      <c r="B111" s="21"/>
      <c r="C111" s="390" t="s">
        <v>550</v>
      </c>
      <c r="D111" s="355">
        <v>171979</v>
      </c>
      <c r="E111" s="50"/>
      <c r="F111" s="50"/>
      <c r="G111" s="50"/>
      <c r="H111" s="50"/>
      <c r="I111" s="50"/>
      <c r="J111" s="50"/>
      <c r="K111" s="50"/>
      <c r="L111" s="50"/>
      <c r="M111" s="50"/>
      <c r="N111" s="50"/>
      <c r="O111" s="50">
        <f t="shared" si="6"/>
        <v>0</v>
      </c>
    </row>
    <row r="112" spans="1:15" s="20" customFormat="1" ht="14.1" hidden="1" customHeight="1" x14ac:dyDescent="0.2">
      <c r="A112" s="21"/>
      <c r="B112" s="21"/>
      <c r="C112" s="120" t="s">
        <v>583</v>
      </c>
      <c r="D112" s="355">
        <v>171982</v>
      </c>
      <c r="E112" s="50"/>
      <c r="F112" s="50"/>
      <c r="G112" s="50"/>
      <c r="H112" s="50"/>
      <c r="I112" s="50"/>
      <c r="J112" s="50"/>
      <c r="K112" s="50"/>
      <c r="L112" s="50"/>
      <c r="M112" s="50"/>
      <c r="N112" s="50"/>
      <c r="O112" s="50">
        <f t="shared" si="6"/>
        <v>0</v>
      </c>
    </row>
    <row r="113" spans="1:15" s="20" customFormat="1" ht="24.95" hidden="1" customHeight="1" x14ac:dyDescent="0.2">
      <c r="A113" s="49"/>
      <c r="B113" s="49"/>
      <c r="C113" s="391" t="s">
        <v>196</v>
      </c>
      <c r="D113" s="392"/>
      <c r="E113" s="50"/>
      <c r="F113" s="50"/>
      <c r="G113" s="50"/>
      <c r="H113" s="50"/>
      <c r="I113" s="50"/>
      <c r="J113" s="50"/>
      <c r="K113" s="50"/>
      <c r="L113" s="50"/>
      <c r="M113" s="50"/>
      <c r="N113" s="50"/>
      <c r="O113" s="50"/>
    </row>
    <row r="114" spans="1:15" s="20" customFormat="1" ht="24.75" hidden="1" customHeight="1" x14ac:dyDescent="0.2">
      <c r="A114" s="49"/>
      <c r="B114" s="49"/>
      <c r="C114" s="390" t="s">
        <v>567</v>
      </c>
      <c r="D114" s="362">
        <v>171908</v>
      </c>
      <c r="E114" s="50"/>
      <c r="F114" s="50"/>
      <c r="G114" s="50"/>
      <c r="H114" s="50"/>
      <c r="I114" s="50"/>
      <c r="J114" s="50"/>
      <c r="K114" s="50"/>
      <c r="L114" s="50"/>
      <c r="M114" s="50"/>
      <c r="N114" s="50"/>
      <c r="O114" s="50">
        <f t="shared" si="6"/>
        <v>0</v>
      </c>
    </row>
    <row r="115" spans="1:15" s="20" customFormat="1" ht="16.5" hidden="1" customHeight="1" x14ac:dyDescent="0.2">
      <c r="A115" s="49"/>
      <c r="B115" s="49"/>
      <c r="C115" s="121" t="s">
        <v>679</v>
      </c>
      <c r="D115" s="362">
        <v>171912</v>
      </c>
      <c r="E115" s="50"/>
      <c r="F115" s="50"/>
      <c r="G115" s="50"/>
      <c r="H115" s="50"/>
      <c r="I115" s="50"/>
      <c r="J115" s="50"/>
      <c r="K115" s="50"/>
      <c r="L115" s="50"/>
      <c r="M115" s="50"/>
      <c r="N115" s="50"/>
      <c r="O115" s="50">
        <f t="shared" si="6"/>
        <v>0</v>
      </c>
    </row>
    <row r="116" spans="1:15" s="20" customFormat="1" ht="15.75" hidden="1" customHeight="1" x14ac:dyDescent="0.2">
      <c r="A116" s="49"/>
      <c r="B116" s="49"/>
      <c r="C116" s="393" t="s">
        <v>197</v>
      </c>
      <c r="D116" s="387"/>
      <c r="E116" s="50"/>
      <c r="F116" s="50"/>
      <c r="G116" s="50"/>
      <c r="H116" s="50"/>
      <c r="I116" s="50"/>
      <c r="J116" s="50"/>
      <c r="K116" s="50"/>
      <c r="L116" s="50"/>
      <c r="M116" s="50"/>
      <c r="N116" s="50"/>
      <c r="O116" s="50"/>
    </row>
    <row r="117" spans="1:15" s="20" customFormat="1" ht="27" hidden="1" customHeight="1" x14ac:dyDescent="0.2">
      <c r="A117" s="49"/>
      <c r="B117" s="49"/>
      <c r="C117" s="104" t="s">
        <v>198</v>
      </c>
      <c r="D117" s="85"/>
      <c r="E117" s="50"/>
      <c r="F117" s="50"/>
      <c r="G117" s="50"/>
      <c r="H117" s="50"/>
      <c r="I117" s="50"/>
      <c r="J117" s="50"/>
      <c r="K117" s="50"/>
      <c r="L117" s="50"/>
      <c r="M117" s="50"/>
      <c r="N117" s="50"/>
      <c r="O117" s="50"/>
    </row>
    <row r="118" spans="1:15" s="20" customFormat="1" ht="16.5" hidden="1" customHeight="1" x14ac:dyDescent="0.2">
      <c r="A118" s="49"/>
      <c r="B118" s="49"/>
      <c r="C118" s="390" t="s">
        <v>199</v>
      </c>
      <c r="D118" s="362">
        <v>176902</v>
      </c>
      <c r="E118" s="50"/>
      <c r="F118" s="50"/>
      <c r="G118" s="50"/>
      <c r="H118" s="50"/>
      <c r="I118" s="50"/>
      <c r="J118" s="50"/>
      <c r="K118" s="50"/>
      <c r="L118" s="50"/>
      <c r="M118" s="50"/>
      <c r="N118" s="50"/>
      <c r="O118" s="50">
        <f t="shared" si="6"/>
        <v>0</v>
      </c>
    </row>
    <row r="119" spans="1:15" s="20" customFormat="1" ht="16.5" hidden="1" customHeight="1" x14ac:dyDescent="0.2">
      <c r="A119" s="613"/>
      <c r="B119" s="613"/>
      <c r="C119" s="390" t="s">
        <v>1012</v>
      </c>
      <c r="D119" s="633">
        <v>171954</v>
      </c>
      <c r="E119" s="616"/>
      <c r="F119" s="616"/>
      <c r="G119" s="616"/>
      <c r="H119" s="616"/>
      <c r="I119" s="616"/>
      <c r="J119" s="616"/>
      <c r="K119" s="616"/>
      <c r="L119" s="616"/>
      <c r="M119" s="616"/>
      <c r="N119" s="616"/>
      <c r="O119" s="50">
        <f t="shared" si="6"/>
        <v>0</v>
      </c>
    </row>
    <row r="120" spans="1:15" s="20" customFormat="1" ht="21.75" hidden="1" customHeight="1" x14ac:dyDescent="0.2">
      <c r="A120" s="340"/>
      <c r="B120" s="340"/>
      <c r="C120" s="383" t="s">
        <v>200</v>
      </c>
      <c r="D120" s="340"/>
      <c r="E120" s="342">
        <f>SUM(E94:E119)</f>
        <v>0</v>
      </c>
      <c r="F120" s="342">
        <f t="shared" ref="F120:O120" si="7">SUM(F94:F119)</f>
        <v>0</v>
      </c>
      <c r="G120" s="342">
        <f t="shared" si="7"/>
        <v>0</v>
      </c>
      <c r="H120" s="342">
        <f t="shared" si="7"/>
        <v>0</v>
      </c>
      <c r="I120" s="342">
        <f t="shared" si="7"/>
        <v>0</v>
      </c>
      <c r="J120" s="342">
        <f t="shared" si="7"/>
        <v>0</v>
      </c>
      <c r="K120" s="342">
        <f t="shared" si="7"/>
        <v>0</v>
      </c>
      <c r="L120" s="342">
        <f t="shared" si="7"/>
        <v>0</v>
      </c>
      <c r="M120" s="342">
        <f t="shared" si="7"/>
        <v>0</v>
      </c>
      <c r="N120" s="342">
        <f t="shared" si="7"/>
        <v>0</v>
      </c>
      <c r="O120" s="342">
        <f t="shared" si="7"/>
        <v>0</v>
      </c>
    </row>
    <row r="121" spans="1:15" s="20" customFormat="1" ht="18.75" hidden="1" customHeight="1" x14ac:dyDescent="0.2">
      <c r="A121" s="329">
        <v>1</v>
      </c>
      <c r="B121" s="329">
        <v>18</v>
      </c>
      <c r="C121" s="385" t="s">
        <v>201</v>
      </c>
      <c r="D121" s="336"/>
      <c r="E121" s="343"/>
      <c r="F121" s="343"/>
      <c r="G121" s="343"/>
      <c r="H121" s="343"/>
      <c r="I121" s="343"/>
      <c r="J121" s="343"/>
      <c r="K121" s="343"/>
      <c r="L121" s="343"/>
      <c r="M121" s="343"/>
      <c r="N121" s="343"/>
      <c r="O121" s="50"/>
    </row>
    <row r="122" spans="1:15" s="20" customFormat="1" ht="24.95" hidden="1" customHeight="1" x14ac:dyDescent="0.2">
      <c r="A122" s="49"/>
      <c r="B122" s="49"/>
      <c r="C122" s="104" t="s">
        <v>186</v>
      </c>
      <c r="D122" s="85"/>
      <c r="E122" s="44"/>
      <c r="F122" s="44"/>
      <c r="G122" s="44"/>
      <c r="H122" s="50"/>
      <c r="I122" s="50"/>
      <c r="J122" s="50"/>
      <c r="K122" s="50"/>
      <c r="L122" s="50"/>
      <c r="M122" s="50"/>
      <c r="N122" s="50"/>
      <c r="O122" s="50"/>
    </row>
    <row r="123" spans="1:15" s="20" customFormat="1" ht="39" hidden="1" customHeight="1" x14ac:dyDescent="0.2">
      <c r="A123" s="49"/>
      <c r="B123" s="49"/>
      <c r="C123" s="104" t="s">
        <v>202</v>
      </c>
      <c r="D123" s="85" t="s">
        <v>203</v>
      </c>
      <c r="E123" s="44"/>
      <c r="F123" s="44"/>
      <c r="G123" s="44"/>
      <c r="H123" s="44"/>
      <c r="I123" s="44"/>
      <c r="J123" s="44"/>
      <c r="K123" s="44"/>
      <c r="L123" s="44"/>
      <c r="M123" s="44"/>
      <c r="N123" s="44"/>
      <c r="O123" s="50">
        <f t="shared" si="6"/>
        <v>0</v>
      </c>
    </row>
    <row r="124" spans="1:15" s="20" customFormat="1" ht="17.45" hidden="1" customHeight="1" x14ac:dyDescent="0.2">
      <c r="A124" s="49"/>
      <c r="B124" s="49"/>
      <c r="C124" s="385" t="s">
        <v>675</v>
      </c>
      <c r="D124" s="362">
        <v>181905</v>
      </c>
      <c r="E124" s="44"/>
      <c r="F124" s="44"/>
      <c r="G124" s="44"/>
      <c r="H124" s="44"/>
      <c r="I124" s="44"/>
      <c r="J124" s="44"/>
      <c r="K124" s="44"/>
      <c r="L124" s="44"/>
      <c r="M124" s="44"/>
      <c r="N124" s="44"/>
      <c r="O124" s="50">
        <f t="shared" si="6"/>
        <v>0</v>
      </c>
    </row>
    <row r="125" spans="1:15" s="20" customFormat="1" ht="16.899999999999999" hidden="1" customHeight="1" x14ac:dyDescent="0.2">
      <c r="A125" s="49"/>
      <c r="B125" s="49"/>
      <c r="C125" s="104" t="s">
        <v>204</v>
      </c>
      <c r="D125" s="85">
        <v>181903</v>
      </c>
      <c r="E125" s="44"/>
      <c r="F125" s="44"/>
      <c r="G125" s="44"/>
      <c r="H125" s="44"/>
      <c r="I125" s="44"/>
      <c r="J125" s="44"/>
      <c r="K125" s="44"/>
      <c r="L125" s="44"/>
      <c r="M125" s="44"/>
      <c r="N125" s="44"/>
      <c r="O125" s="50">
        <f t="shared" si="6"/>
        <v>0</v>
      </c>
    </row>
    <row r="126" spans="1:15" s="20" customFormat="1" ht="27" hidden="1" customHeight="1" x14ac:dyDescent="0.2">
      <c r="A126" s="49"/>
      <c r="B126" s="49"/>
      <c r="C126" s="104" t="s">
        <v>205</v>
      </c>
      <c r="D126" s="85">
        <v>181904</v>
      </c>
      <c r="E126" s="44"/>
      <c r="F126" s="44"/>
      <c r="G126" s="44"/>
      <c r="H126" s="44"/>
      <c r="I126" s="44"/>
      <c r="J126" s="44"/>
      <c r="K126" s="44"/>
      <c r="L126" s="44"/>
      <c r="M126" s="44"/>
      <c r="N126" s="44"/>
      <c r="O126" s="50">
        <f t="shared" si="6"/>
        <v>0</v>
      </c>
    </row>
    <row r="127" spans="1:15" s="20" customFormat="1" ht="15" hidden="1" customHeight="1" x14ac:dyDescent="0.2">
      <c r="A127" s="49" t="s">
        <v>79</v>
      </c>
      <c r="B127" s="49"/>
      <c r="C127" s="385" t="s">
        <v>206</v>
      </c>
      <c r="D127" s="362">
        <v>181902</v>
      </c>
      <c r="E127" s="44"/>
      <c r="F127" s="44"/>
      <c r="G127" s="44"/>
      <c r="H127" s="44"/>
      <c r="I127" s="44"/>
      <c r="J127" s="44"/>
      <c r="K127" s="44"/>
      <c r="L127" s="44"/>
      <c r="M127" s="44"/>
      <c r="N127" s="44"/>
      <c r="O127" s="50">
        <f t="shared" si="6"/>
        <v>0</v>
      </c>
    </row>
    <row r="128" spans="1:15" s="20" customFormat="1" ht="22.5" hidden="1" customHeight="1" x14ac:dyDescent="0.2">
      <c r="A128" s="340"/>
      <c r="B128" s="340"/>
      <c r="C128" s="383" t="s">
        <v>207</v>
      </c>
      <c r="D128" s="340"/>
      <c r="E128" s="394">
        <f t="shared" ref="E128:O128" si="8">SUM(E123:E127)</f>
        <v>0</v>
      </c>
      <c r="F128" s="394">
        <f t="shared" si="8"/>
        <v>0</v>
      </c>
      <c r="G128" s="394">
        <f t="shared" si="8"/>
        <v>0</v>
      </c>
      <c r="H128" s="394">
        <f t="shared" si="8"/>
        <v>0</v>
      </c>
      <c r="I128" s="394">
        <f t="shared" si="8"/>
        <v>0</v>
      </c>
      <c r="J128" s="394">
        <f t="shared" si="8"/>
        <v>0</v>
      </c>
      <c r="K128" s="394">
        <f t="shared" si="8"/>
        <v>0</v>
      </c>
      <c r="L128" s="394">
        <f t="shared" si="8"/>
        <v>0</v>
      </c>
      <c r="M128" s="394">
        <f t="shared" si="8"/>
        <v>0</v>
      </c>
      <c r="N128" s="394">
        <f t="shared" si="8"/>
        <v>0</v>
      </c>
      <c r="O128" s="394">
        <f t="shared" si="8"/>
        <v>0</v>
      </c>
    </row>
    <row r="129" spans="1:16" s="20" customFormat="1" ht="12.6" customHeight="1" x14ac:dyDescent="0.2">
      <c r="A129" s="329">
        <v>1</v>
      </c>
      <c r="B129" s="329">
        <v>19</v>
      </c>
      <c r="C129" s="384" t="s">
        <v>78</v>
      </c>
      <c r="D129" s="329"/>
      <c r="E129" s="50"/>
      <c r="F129" s="50"/>
      <c r="G129" s="50"/>
      <c r="H129" s="50"/>
      <c r="I129" s="50"/>
      <c r="J129" s="50"/>
      <c r="K129" s="50"/>
      <c r="L129" s="50"/>
      <c r="M129" s="50"/>
      <c r="N129" s="50"/>
      <c r="O129" s="50"/>
    </row>
    <row r="130" spans="1:16" s="20" customFormat="1" ht="26.25" hidden="1" customHeight="1" x14ac:dyDescent="0.2">
      <c r="A130" s="49"/>
      <c r="B130" s="49"/>
      <c r="C130" s="395" t="s">
        <v>208</v>
      </c>
      <c r="D130" s="392"/>
      <c r="E130" s="50"/>
      <c r="F130" s="50"/>
      <c r="G130" s="50"/>
      <c r="H130" s="50"/>
      <c r="I130" s="50"/>
      <c r="J130" s="50"/>
      <c r="K130" s="50"/>
      <c r="L130" s="50"/>
      <c r="M130" s="50"/>
      <c r="N130" s="50"/>
      <c r="O130" s="50"/>
    </row>
    <row r="131" spans="1:16" s="20" customFormat="1" ht="21" hidden="1" customHeight="1" x14ac:dyDescent="0.2">
      <c r="A131" s="49"/>
      <c r="B131" s="49"/>
      <c r="C131" s="396" t="s">
        <v>611</v>
      </c>
      <c r="D131" s="355">
        <v>196919</v>
      </c>
      <c r="E131" s="44"/>
      <c r="F131" s="44"/>
      <c r="G131" s="44"/>
      <c r="H131" s="44"/>
      <c r="I131" s="44"/>
      <c r="J131" s="44"/>
      <c r="K131" s="44"/>
      <c r="L131" s="44"/>
      <c r="M131" s="44"/>
      <c r="N131" s="44"/>
      <c r="O131" s="50">
        <f t="shared" si="6"/>
        <v>0</v>
      </c>
    </row>
    <row r="132" spans="1:16" s="20" customFormat="1" ht="21" hidden="1" customHeight="1" x14ac:dyDescent="0.2">
      <c r="A132" s="613"/>
      <c r="B132" s="613"/>
      <c r="C132" s="617" t="s">
        <v>1033</v>
      </c>
      <c r="D132" s="689">
        <v>191150</v>
      </c>
      <c r="E132" s="627"/>
      <c r="F132" s="627"/>
      <c r="G132" s="627"/>
      <c r="H132" s="627"/>
      <c r="I132" s="627"/>
      <c r="J132" s="627"/>
      <c r="K132" s="627"/>
      <c r="L132" s="627"/>
      <c r="M132" s="627"/>
      <c r="N132" s="627"/>
      <c r="O132" s="50">
        <f t="shared" si="6"/>
        <v>0</v>
      </c>
    </row>
    <row r="133" spans="1:16" s="20" customFormat="1" ht="24.95" hidden="1" customHeight="1" x14ac:dyDescent="0.2">
      <c r="A133" s="49"/>
      <c r="B133" s="49"/>
      <c r="C133" s="385" t="s">
        <v>165</v>
      </c>
      <c r="D133" s="336"/>
      <c r="E133" s="44"/>
      <c r="F133" s="44"/>
      <c r="G133" s="44"/>
      <c r="H133" s="44"/>
      <c r="I133" s="44"/>
      <c r="J133" s="44"/>
      <c r="K133" s="44"/>
      <c r="L133" s="44"/>
      <c r="M133" s="44"/>
      <c r="N133" s="44"/>
      <c r="O133" s="50"/>
    </row>
    <row r="134" spans="1:16" s="20" customFormat="1" ht="25.5" hidden="1" x14ac:dyDescent="0.2">
      <c r="A134" s="49" t="s">
        <v>79</v>
      </c>
      <c r="B134" s="49"/>
      <c r="C134" s="385" t="s">
        <v>209</v>
      </c>
      <c r="D134" s="355">
        <v>191102</v>
      </c>
      <c r="E134" s="44"/>
      <c r="F134" s="44"/>
      <c r="G134" s="44"/>
      <c r="H134" s="44"/>
      <c r="I134" s="44"/>
      <c r="J134" s="44"/>
      <c r="K134" s="44"/>
      <c r="L134" s="44"/>
      <c r="M134" s="44"/>
      <c r="N134" s="44"/>
      <c r="O134" s="50">
        <f t="shared" si="6"/>
        <v>0</v>
      </c>
    </row>
    <row r="135" spans="1:16" s="20" customFormat="1" ht="17.25" customHeight="1" x14ac:dyDescent="0.2">
      <c r="A135" s="49"/>
      <c r="B135" s="49"/>
      <c r="C135" s="396" t="s">
        <v>210</v>
      </c>
      <c r="D135" s="355">
        <v>191103</v>
      </c>
      <c r="E135" s="44"/>
      <c r="F135" s="44"/>
      <c r="G135" s="44"/>
      <c r="H135" s="44">
        <v>2700000</v>
      </c>
      <c r="I135" s="44"/>
      <c r="J135" s="44"/>
      <c r="K135" s="44"/>
      <c r="L135" s="44"/>
      <c r="M135" s="44"/>
      <c r="N135" s="44"/>
      <c r="O135" s="50">
        <f t="shared" si="6"/>
        <v>2700000</v>
      </c>
    </row>
    <row r="136" spans="1:16" s="20" customFormat="1" ht="25.5" hidden="1" x14ac:dyDescent="0.2">
      <c r="A136" s="49"/>
      <c r="B136" s="49"/>
      <c r="C136" s="385" t="s">
        <v>676</v>
      </c>
      <c r="D136" s="362">
        <v>191196</v>
      </c>
      <c r="E136" s="44"/>
      <c r="F136" s="44"/>
      <c r="G136" s="44"/>
      <c r="H136" s="44"/>
      <c r="I136" s="44"/>
      <c r="J136" s="44"/>
      <c r="K136" s="44"/>
      <c r="L136" s="44"/>
      <c r="M136" s="44"/>
      <c r="N136" s="44"/>
      <c r="O136" s="50">
        <f t="shared" si="6"/>
        <v>0</v>
      </c>
      <c r="P136" s="292"/>
    </row>
    <row r="137" spans="1:16" s="20" customFormat="1" ht="51" hidden="1" x14ac:dyDescent="0.2">
      <c r="A137" s="613"/>
      <c r="B137" s="613"/>
      <c r="C137" s="632" t="s">
        <v>980</v>
      </c>
      <c r="D137" s="633">
        <v>191149</v>
      </c>
      <c r="E137" s="44"/>
      <c r="F137" s="44"/>
      <c r="G137" s="44"/>
      <c r="H137" s="44"/>
      <c r="I137" s="44"/>
      <c r="J137" s="44"/>
      <c r="K137" s="44"/>
      <c r="L137" s="44"/>
      <c r="M137" s="44"/>
      <c r="N137" s="44"/>
      <c r="O137" s="50">
        <f t="shared" si="6"/>
        <v>0</v>
      </c>
      <c r="P137" s="292"/>
    </row>
    <row r="138" spans="1:16" s="20" customFormat="1" ht="24.95" hidden="1" customHeight="1" x14ac:dyDescent="0.2">
      <c r="A138" s="49"/>
      <c r="B138" s="49"/>
      <c r="C138" s="385" t="s">
        <v>211</v>
      </c>
      <c r="D138" s="336"/>
      <c r="E138" s="44"/>
      <c r="F138" s="44"/>
      <c r="G138" s="44"/>
      <c r="H138" s="44"/>
      <c r="I138" s="44"/>
      <c r="J138" s="44"/>
      <c r="K138" s="44"/>
      <c r="L138" s="44"/>
      <c r="M138" s="44"/>
      <c r="N138" s="44"/>
      <c r="O138" s="50"/>
      <c r="P138" s="292"/>
    </row>
    <row r="139" spans="1:16" s="20" customFormat="1" ht="38.25" x14ac:dyDescent="0.2">
      <c r="A139" s="49"/>
      <c r="B139" s="49"/>
      <c r="C139" s="104" t="s">
        <v>508</v>
      </c>
      <c r="D139" s="85">
        <v>191901</v>
      </c>
      <c r="E139" s="44">
        <v>1486550</v>
      </c>
      <c r="F139" s="44"/>
      <c r="G139" s="44"/>
      <c r="H139" s="44"/>
      <c r="I139" s="44"/>
      <c r="J139" s="44"/>
      <c r="K139" s="44"/>
      <c r="L139" s="44"/>
      <c r="M139" s="44"/>
      <c r="N139" s="44"/>
      <c r="O139" s="50">
        <f t="shared" si="6"/>
        <v>1486550</v>
      </c>
      <c r="P139" s="292"/>
    </row>
    <row r="140" spans="1:16" s="20" customFormat="1" ht="18.75" hidden="1" customHeight="1" x14ac:dyDescent="0.2">
      <c r="A140" s="430"/>
      <c r="B140" s="430"/>
      <c r="C140" s="509" t="s">
        <v>947</v>
      </c>
      <c r="D140" s="412">
        <v>191147</v>
      </c>
      <c r="E140" s="44"/>
      <c r="F140" s="44"/>
      <c r="G140" s="44"/>
      <c r="H140" s="44"/>
      <c r="I140" s="44"/>
      <c r="J140" s="44"/>
      <c r="K140" s="44"/>
      <c r="L140" s="44"/>
      <c r="M140" s="44"/>
      <c r="N140" s="44"/>
      <c r="O140" s="50">
        <f t="shared" si="6"/>
        <v>0</v>
      </c>
    </row>
    <row r="141" spans="1:16" s="20" customFormat="1" ht="18" hidden="1" customHeight="1" x14ac:dyDescent="0.2">
      <c r="A141" s="49"/>
      <c r="B141" s="49"/>
      <c r="C141" s="104" t="s">
        <v>677</v>
      </c>
      <c r="D141" s="85">
        <v>191901</v>
      </c>
      <c r="E141" s="44"/>
      <c r="F141" s="44"/>
      <c r="G141" s="44"/>
      <c r="H141" s="44"/>
      <c r="I141" s="44"/>
      <c r="J141" s="44"/>
      <c r="K141" s="44"/>
      <c r="L141" s="44"/>
      <c r="M141" s="44"/>
      <c r="N141" s="44"/>
      <c r="O141" s="50">
        <f t="shared" si="6"/>
        <v>0</v>
      </c>
    </row>
    <row r="142" spans="1:16" s="20" customFormat="1" ht="18" hidden="1" customHeight="1" x14ac:dyDescent="0.2">
      <c r="A142" s="613"/>
      <c r="B142" s="613"/>
      <c r="C142" s="509" t="s">
        <v>1013</v>
      </c>
      <c r="D142" s="690">
        <v>191116</v>
      </c>
      <c r="E142" s="627"/>
      <c r="F142" s="627"/>
      <c r="G142" s="627"/>
      <c r="H142" s="627"/>
      <c r="I142" s="627"/>
      <c r="J142" s="627"/>
      <c r="K142" s="627"/>
      <c r="L142" s="627"/>
      <c r="M142" s="627"/>
      <c r="N142" s="627"/>
      <c r="O142" s="50">
        <f t="shared" si="6"/>
        <v>0</v>
      </c>
    </row>
    <row r="143" spans="1:16" s="20" customFormat="1" ht="28.5" hidden="1" customHeight="1" x14ac:dyDescent="0.2">
      <c r="A143" s="49"/>
      <c r="B143" s="49"/>
      <c r="C143" s="385" t="s">
        <v>212</v>
      </c>
      <c r="D143" s="336"/>
      <c r="E143" s="44"/>
      <c r="F143" s="44"/>
      <c r="G143" s="44"/>
      <c r="H143" s="44"/>
      <c r="I143" s="44"/>
      <c r="J143" s="44"/>
      <c r="K143" s="44"/>
      <c r="L143" s="44"/>
      <c r="M143" s="44"/>
      <c r="N143" s="44"/>
      <c r="O143" s="50"/>
    </row>
    <row r="144" spans="1:16" s="20" customFormat="1" ht="14.1" hidden="1" customHeight="1" x14ac:dyDescent="0.2">
      <c r="A144" s="49"/>
      <c r="B144" s="49"/>
      <c r="C144" s="396" t="s">
        <v>213</v>
      </c>
      <c r="D144" s="355">
        <v>191907</v>
      </c>
      <c r="E144" s="44"/>
      <c r="F144" s="44"/>
      <c r="G144" s="44"/>
      <c r="H144" s="44"/>
      <c r="I144" s="44"/>
      <c r="J144" s="44"/>
      <c r="K144" s="44"/>
      <c r="L144" s="44"/>
      <c r="M144" s="44"/>
      <c r="N144" s="44"/>
      <c r="O144" s="50">
        <f t="shared" si="6"/>
        <v>0</v>
      </c>
    </row>
    <row r="145" spans="1:15" s="20" customFormat="1" ht="14.1" hidden="1" customHeight="1" x14ac:dyDescent="0.2">
      <c r="A145" s="49"/>
      <c r="B145" s="49"/>
      <c r="C145" s="396" t="s">
        <v>678</v>
      </c>
      <c r="D145" s="355">
        <v>191907</v>
      </c>
      <c r="E145" s="44"/>
      <c r="F145" s="44"/>
      <c r="G145" s="44"/>
      <c r="H145" s="44"/>
      <c r="I145" s="44"/>
      <c r="J145" s="44"/>
      <c r="K145" s="44"/>
      <c r="L145" s="44"/>
      <c r="M145" s="44"/>
      <c r="N145" s="44"/>
      <c r="O145" s="50">
        <f t="shared" si="6"/>
        <v>0</v>
      </c>
    </row>
    <row r="146" spans="1:15" s="20" customFormat="1" ht="14.1" hidden="1" customHeight="1" x14ac:dyDescent="0.2">
      <c r="A146" s="49"/>
      <c r="B146" s="49"/>
      <c r="C146" s="396" t="s">
        <v>215</v>
      </c>
      <c r="D146" s="355">
        <v>191907</v>
      </c>
      <c r="E146" s="44"/>
      <c r="F146" s="44"/>
      <c r="G146" s="44"/>
      <c r="H146" s="44"/>
      <c r="I146" s="44"/>
      <c r="J146" s="44"/>
      <c r="K146" s="44"/>
      <c r="L146" s="44"/>
      <c r="M146" s="44"/>
      <c r="N146" s="44"/>
      <c r="O146" s="50">
        <f t="shared" si="6"/>
        <v>0</v>
      </c>
    </row>
    <row r="147" spans="1:15" s="20" customFormat="1" ht="14.1" hidden="1" customHeight="1" x14ac:dyDescent="0.2">
      <c r="A147" s="49"/>
      <c r="B147" s="49"/>
      <c r="C147" s="396" t="s">
        <v>533</v>
      </c>
      <c r="D147" s="355">
        <v>191907</v>
      </c>
      <c r="E147" s="44"/>
      <c r="F147" s="44"/>
      <c r="G147" s="44"/>
      <c r="H147" s="44"/>
      <c r="I147" s="44"/>
      <c r="J147" s="44"/>
      <c r="K147" s="44"/>
      <c r="L147" s="44"/>
      <c r="M147" s="44"/>
      <c r="N147" s="44"/>
      <c r="O147" s="50">
        <f t="shared" si="6"/>
        <v>0</v>
      </c>
    </row>
    <row r="148" spans="1:15" s="20" customFormat="1" ht="14.1" hidden="1" customHeight="1" x14ac:dyDescent="0.2">
      <c r="A148" s="49"/>
      <c r="B148" s="49"/>
      <c r="C148" s="396" t="s">
        <v>214</v>
      </c>
      <c r="D148" s="355">
        <v>191907</v>
      </c>
      <c r="E148" s="44"/>
      <c r="F148" s="44"/>
      <c r="G148" s="44"/>
      <c r="H148" s="44"/>
      <c r="I148" s="44"/>
      <c r="J148" s="44"/>
      <c r="K148" s="44"/>
      <c r="L148" s="44"/>
      <c r="M148" s="44"/>
      <c r="N148" s="44"/>
      <c r="O148" s="50">
        <f t="shared" si="6"/>
        <v>0</v>
      </c>
    </row>
    <row r="149" spans="1:15" s="20" customFormat="1" ht="33.75" hidden="1" customHeight="1" x14ac:dyDescent="0.2">
      <c r="A149" s="49"/>
      <c r="B149" s="49"/>
      <c r="C149" s="104" t="s">
        <v>216</v>
      </c>
      <c r="D149" s="85"/>
      <c r="E149" s="44"/>
      <c r="F149" s="44"/>
      <c r="G149" s="44"/>
      <c r="H149" s="44"/>
      <c r="I149" s="44"/>
      <c r="J149" s="44"/>
      <c r="K149" s="44"/>
      <c r="L149" s="44"/>
      <c r="M149" s="44"/>
      <c r="N149" s="44"/>
      <c r="O149" s="50"/>
    </row>
    <row r="150" spans="1:15" s="20" customFormat="1" ht="42" hidden="1" customHeight="1" x14ac:dyDescent="0.2">
      <c r="A150" s="49"/>
      <c r="B150" s="49"/>
      <c r="C150" s="377" t="s">
        <v>217</v>
      </c>
      <c r="D150" s="85">
        <v>191158</v>
      </c>
      <c r="E150" s="44"/>
      <c r="F150" s="44"/>
      <c r="G150" s="44"/>
      <c r="H150" s="44"/>
      <c r="I150" s="44"/>
      <c r="J150" s="44"/>
      <c r="K150" s="44"/>
      <c r="L150" s="44"/>
      <c r="M150" s="44"/>
      <c r="N150" s="44"/>
      <c r="O150" s="50">
        <f t="shared" si="6"/>
        <v>0</v>
      </c>
    </row>
    <row r="151" spans="1:15" s="20" customFormat="1" ht="36.75" hidden="1" customHeight="1" x14ac:dyDescent="0.2">
      <c r="A151" s="49"/>
      <c r="B151" s="49"/>
      <c r="C151" s="377" t="s">
        <v>218</v>
      </c>
      <c r="D151" s="85"/>
      <c r="E151" s="44"/>
      <c r="F151" s="44"/>
      <c r="G151" s="44"/>
      <c r="H151" s="44"/>
      <c r="I151" s="44"/>
      <c r="J151" s="44"/>
      <c r="K151" s="44"/>
      <c r="L151" s="44"/>
      <c r="M151" s="44"/>
      <c r="N151" s="44"/>
      <c r="O151" s="50"/>
    </row>
    <row r="152" spans="1:15" s="20" customFormat="1" ht="44.25" hidden="1" customHeight="1" x14ac:dyDescent="0.2">
      <c r="A152" s="49"/>
      <c r="B152" s="49"/>
      <c r="C152" s="377" t="s">
        <v>621</v>
      </c>
      <c r="D152" s="85">
        <v>191135</v>
      </c>
      <c r="E152" s="44"/>
      <c r="F152" s="44"/>
      <c r="G152" s="44"/>
      <c r="H152" s="44"/>
      <c r="I152" s="44"/>
      <c r="J152" s="44"/>
      <c r="K152" s="44"/>
      <c r="L152" s="44"/>
      <c r="M152" s="44"/>
      <c r="N152" s="44"/>
      <c r="O152" s="50">
        <f t="shared" si="6"/>
        <v>0</v>
      </c>
    </row>
    <row r="153" spans="1:15" s="20" customFormat="1" ht="24.95" hidden="1" customHeight="1" x14ac:dyDescent="0.2">
      <c r="A153" s="49"/>
      <c r="B153" s="49"/>
      <c r="C153" s="385" t="s">
        <v>219</v>
      </c>
      <c r="D153" s="362">
        <v>191906</v>
      </c>
      <c r="E153" s="44"/>
      <c r="F153" s="44"/>
      <c r="G153" s="44"/>
      <c r="H153" s="44"/>
      <c r="I153" s="44"/>
      <c r="J153" s="44"/>
      <c r="K153" s="44"/>
      <c r="L153" s="44"/>
      <c r="M153" s="44"/>
      <c r="N153" s="44"/>
      <c r="O153" s="50">
        <f t="shared" si="6"/>
        <v>0</v>
      </c>
    </row>
    <row r="154" spans="1:15" s="20" customFormat="1" ht="34.5" hidden="1" customHeight="1" x14ac:dyDescent="0.2">
      <c r="A154" s="49"/>
      <c r="B154" s="49"/>
      <c r="C154" s="385" t="s">
        <v>198</v>
      </c>
      <c r="D154" s="362"/>
      <c r="E154" s="44"/>
      <c r="F154" s="44"/>
      <c r="G154" s="44"/>
      <c r="H154" s="44"/>
      <c r="I154" s="44"/>
      <c r="J154" s="44"/>
      <c r="K154" s="44"/>
      <c r="L154" s="44"/>
      <c r="M154" s="44"/>
      <c r="N154" s="44"/>
      <c r="O154" s="50"/>
    </row>
    <row r="155" spans="1:15" s="20" customFormat="1" ht="19.350000000000001" hidden="1" customHeight="1" x14ac:dyDescent="0.2">
      <c r="A155" s="49"/>
      <c r="B155" s="49"/>
      <c r="C155" s="397" t="s">
        <v>456</v>
      </c>
      <c r="D155" s="362">
        <v>196901</v>
      </c>
      <c r="E155" s="44"/>
      <c r="F155" s="44"/>
      <c r="G155" s="44"/>
      <c r="H155" s="44"/>
      <c r="I155" s="44"/>
      <c r="J155" s="44"/>
      <c r="K155" s="44"/>
      <c r="L155" s="44"/>
      <c r="M155" s="44"/>
      <c r="N155" s="44"/>
      <c r="O155" s="50">
        <f t="shared" si="6"/>
        <v>0</v>
      </c>
    </row>
    <row r="156" spans="1:15" s="20" customFormat="1" ht="19.350000000000001" hidden="1" customHeight="1" x14ac:dyDescent="0.2">
      <c r="A156" s="613"/>
      <c r="B156" s="613"/>
      <c r="C156" s="468" t="s">
        <v>172</v>
      </c>
      <c r="D156" s="633"/>
      <c r="E156" s="44"/>
      <c r="F156" s="627"/>
      <c r="G156" s="627"/>
      <c r="H156" s="627"/>
      <c r="I156" s="627"/>
      <c r="J156" s="627"/>
      <c r="K156" s="627"/>
      <c r="L156" s="627"/>
      <c r="M156" s="627"/>
      <c r="N156" s="627"/>
      <c r="O156" s="50"/>
    </row>
    <row r="157" spans="1:15" s="20" customFormat="1" ht="19.350000000000001" customHeight="1" x14ac:dyDescent="0.2">
      <c r="A157" s="613"/>
      <c r="B157" s="613"/>
      <c r="C157" s="468" t="s">
        <v>457</v>
      </c>
      <c r="D157" s="633">
        <v>191104</v>
      </c>
      <c r="E157" s="44"/>
      <c r="F157" s="44"/>
      <c r="G157" s="44"/>
      <c r="H157" s="44">
        <v>2758229</v>
      </c>
      <c r="I157" s="44"/>
      <c r="J157" s="44"/>
      <c r="K157" s="44"/>
      <c r="L157" s="44"/>
      <c r="M157" s="44"/>
      <c r="N157" s="44"/>
      <c r="O157" s="50">
        <f t="shared" si="6"/>
        <v>2758229</v>
      </c>
    </row>
    <row r="158" spans="1:15" s="20" customFormat="1" ht="19.350000000000001" hidden="1" customHeight="1" x14ac:dyDescent="0.2">
      <c r="A158" s="613"/>
      <c r="B158" s="613"/>
      <c r="C158" s="468" t="s">
        <v>1014</v>
      </c>
      <c r="D158" s="633">
        <v>191193</v>
      </c>
      <c r="E158" s="627"/>
      <c r="F158" s="627"/>
      <c r="G158" s="627"/>
      <c r="H158" s="627"/>
      <c r="I158" s="627"/>
      <c r="J158" s="627"/>
      <c r="K158" s="627"/>
      <c r="L158" s="627"/>
      <c r="M158" s="627"/>
      <c r="N158" s="627"/>
      <c r="O158" s="50">
        <f t="shared" si="6"/>
        <v>0</v>
      </c>
    </row>
    <row r="159" spans="1:15" s="20" customFormat="1" ht="15.75" customHeight="1" x14ac:dyDescent="0.2">
      <c r="A159" s="398"/>
      <c r="B159" s="340"/>
      <c r="C159" s="383" t="s">
        <v>220</v>
      </c>
      <c r="D159" s="340"/>
      <c r="E159" s="342">
        <f>SUM(E130:E158)</f>
        <v>1486550</v>
      </c>
      <c r="F159" s="342">
        <f t="shared" ref="F159:O159" si="9">SUM(F130:F158)</f>
        <v>0</v>
      </c>
      <c r="G159" s="342">
        <f t="shared" si="9"/>
        <v>0</v>
      </c>
      <c r="H159" s="342">
        <f t="shared" si="9"/>
        <v>5458229</v>
      </c>
      <c r="I159" s="342">
        <f t="shared" si="9"/>
        <v>0</v>
      </c>
      <c r="J159" s="342">
        <f t="shared" si="9"/>
        <v>0</v>
      </c>
      <c r="K159" s="342">
        <f t="shared" si="9"/>
        <v>0</v>
      </c>
      <c r="L159" s="342">
        <f t="shared" si="9"/>
        <v>0</v>
      </c>
      <c r="M159" s="342">
        <f t="shared" si="9"/>
        <v>0</v>
      </c>
      <c r="N159" s="342">
        <f t="shared" si="9"/>
        <v>0</v>
      </c>
      <c r="O159" s="342">
        <f t="shared" si="9"/>
        <v>6944779</v>
      </c>
    </row>
    <row r="160" spans="1:15" s="20" customFormat="1" ht="17.100000000000001" hidden="1" customHeight="1" x14ac:dyDescent="0.2">
      <c r="A160" s="49">
        <v>1</v>
      </c>
      <c r="B160" s="329">
        <v>22</v>
      </c>
      <c r="C160" s="384" t="s">
        <v>7</v>
      </c>
      <c r="D160" s="329"/>
      <c r="E160" s="343"/>
      <c r="F160" s="343"/>
      <c r="G160" s="343"/>
      <c r="H160" s="343"/>
      <c r="I160" s="343"/>
      <c r="J160" s="343"/>
      <c r="K160" s="343"/>
      <c r="L160" s="343"/>
      <c r="M160" s="343"/>
      <c r="N160" s="343"/>
      <c r="O160" s="50">
        <f t="shared" si="6"/>
        <v>0</v>
      </c>
    </row>
    <row r="161" spans="1:15" s="20" customFormat="1" ht="17.100000000000001" hidden="1" customHeight="1" x14ac:dyDescent="0.2">
      <c r="A161" s="613"/>
      <c r="B161" s="614"/>
      <c r="C161" s="617" t="s">
        <v>273</v>
      </c>
      <c r="D161" s="614"/>
      <c r="E161" s="615"/>
      <c r="F161" s="615"/>
      <c r="G161" s="615"/>
      <c r="H161" s="615"/>
      <c r="I161" s="615"/>
      <c r="J161" s="615"/>
      <c r="K161" s="615"/>
      <c r="L161" s="615"/>
      <c r="M161" s="615"/>
      <c r="N161" s="615"/>
      <c r="O161" s="616"/>
    </row>
    <row r="162" spans="1:15" s="20" customFormat="1" ht="17.100000000000001" hidden="1" customHeight="1" x14ac:dyDescent="0.2">
      <c r="A162" s="613"/>
      <c r="B162" s="614"/>
      <c r="C162" s="617" t="s">
        <v>977</v>
      </c>
      <c r="D162" s="613" t="s">
        <v>483</v>
      </c>
      <c r="E162" s="616"/>
      <c r="F162" s="616"/>
      <c r="G162" s="616"/>
      <c r="H162" s="616"/>
      <c r="I162" s="616"/>
      <c r="J162" s="616"/>
      <c r="K162" s="616"/>
      <c r="L162" s="616"/>
      <c r="M162" s="616"/>
      <c r="N162" s="616"/>
      <c r="O162" s="616">
        <f>SUM(E162:N162)</f>
        <v>0</v>
      </c>
    </row>
    <row r="163" spans="1:15" s="20" customFormat="1" ht="33" hidden="1" customHeight="1" x14ac:dyDescent="0.2">
      <c r="A163" s="613"/>
      <c r="B163" s="614"/>
      <c r="C163" s="632" t="s">
        <v>1015</v>
      </c>
      <c r="D163" s="689">
        <v>121518</v>
      </c>
      <c r="E163" s="616"/>
      <c r="F163" s="616"/>
      <c r="G163" s="616"/>
      <c r="H163" s="616"/>
      <c r="I163" s="616"/>
      <c r="J163" s="616"/>
      <c r="K163" s="616"/>
      <c r="L163" s="616"/>
      <c r="M163" s="616"/>
      <c r="N163" s="616"/>
      <c r="O163" s="616">
        <f>SUM(E163:N163)</f>
        <v>0</v>
      </c>
    </row>
    <row r="164" spans="1:15" s="20" customFormat="1" ht="17.100000000000001" hidden="1" customHeight="1" x14ac:dyDescent="0.2">
      <c r="A164" s="398"/>
      <c r="B164" s="340"/>
      <c r="C164" s="383" t="s">
        <v>221</v>
      </c>
      <c r="D164" s="340"/>
      <c r="E164" s="342">
        <f>SUM(E160:E163)</f>
        <v>0</v>
      </c>
      <c r="F164" s="342">
        <f t="shared" ref="F164:O164" si="10">SUM(F160:F163)</f>
        <v>0</v>
      </c>
      <c r="G164" s="342">
        <f t="shared" si="10"/>
        <v>0</v>
      </c>
      <c r="H164" s="342">
        <f t="shared" si="10"/>
        <v>0</v>
      </c>
      <c r="I164" s="342">
        <f t="shared" si="10"/>
        <v>0</v>
      </c>
      <c r="J164" s="342">
        <f t="shared" si="10"/>
        <v>0</v>
      </c>
      <c r="K164" s="342">
        <f t="shared" si="10"/>
        <v>0</v>
      </c>
      <c r="L164" s="342">
        <f t="shared" si="10"/>
        <v>0</v>
      </c>
      <c r="M164" s="342">
        <f t="shared" si="10"/>
        <v>0</v>
      </c>
      <c r="N164" s="342">
        <f t="shared" si="10"/>
        <v>0</v>
      </c>
      <c r="O164" s="342">
        <f t="shared" si="10"/>
        <v>0</v>
      </c>
    </row>
    <row r="165" spans="1:15" s="20" customFormat="1" ht="24.95" customHeight="1" x14ac:dyDescent="0.2">
      <c r="A165" s="340"/>
      <c r="B165" s="340"/>
      <c r="C165" s="399" t="s">
        <v>10</v>
      </c>
      <c r="D165" s="326"/>
      <c r="E165" s="342">
        <f t="shared" ref="E165:O165" si="11">SUM(E11+E21+E25+E41+E93+E120+E128+E159+E164)</f>
        <v>1480301</v>
      </c>
      <c r="F165" s="342">
        <f t="shared" si="11"/>
        <v>0</v>
      </c>
      <c r="G165" s="342">
        <f t="shared" si="11"/>
        <v>0</v>
      </c>
      <c r="H165" s="342">
        <f t="shared" si="11"/>
        <v>37853419</v>
      </c>
      <c r="I165" s="342">
        <f t="shared" si="11"/>
        <v>0</v>
      </c>
      <c r="J165" s="342">
        <f t="shared" si="11"/>
        <v>6249</v>
      </c>
      <c r="K165" s="342">
        <f t="shared" si="11"/>
        <v>0</v>
      </c>
      <c r="L165" s="342">
        <f t="shared" si="11"/>
        <v>0</v>
      </c>
      <c r="M165" s="342">
        <f t="shared" si="11"/>
        <v>0</v>
      </c>
      <c r="N165" s="342">
        <f t="shared" si="11"/>
        <v>0</v>
      </c>
      <c r="O165" s="342">
        <f t="shared" si="11"/>
        <v>39339969</v>
      </c>
    </row>
    <row r="166" spans="1:15" s="20" customFormat="1" ht="15.95" customHeight="1" x14ac:dyDescent="0.2">
      <c r="A166" s="49">
        <v>2</v>
      </c>
      <c r="B166" s="49"/>
      <c r="C166" s="508" t="s">
        <v>142</v>
      </c>
      <c r="D166" s="333"/>
      <c r="E166" s="50"/>
      <c r="F166" s="50"/>
      <c r="G166" s="50"/>
      <c r="H166" s="50"/>
      <c r="I166" s="50"/>
      <c r="J166" s="50"/>
      <c r="K166" s="50"/>
      <c r="L166" s="50"/>
      <c r="M166" s="50"/>
      <c r="N166" s="50"/>
      <c r="O166" s="50">
        <f t="shared" si="6"/>
        <v>0</v>
      </c>
    </row>
    <row r="167" spans="1:15" s="20" customFormat="1" ht="15.95" customHeight="1" x14ac:dyDescent="0.2">
      <c r="A167" s="340"/>
      <c r="B167" s="340"/>
      <c r="C167" s="400" t="s">
        <v>134</v>
      </c>
      <c r="D167" s="340"/>
      <c r="E167" s="342">
        <f>SUM(E165:E166)</f>
        <v>1480301</v>
      </c>
      <c r="F167" s="342">
        <f>SUM(F165:F166)</f>
        <v>0</v>
      </c>
      <c r="G167" s="342">
        <f t="shared" ref="G167:O167" si="12">SUM(G165:G166)</f>
        <v>0</v>
      </c>
      <c r="H167" s="342">
        <f t="shared" si="12"/>
        <v>37853419</v>
      </c>
      <c r="I167" s="342">
        <f t="shared" si="12"/>
        <v>0</v>
      </c>
      <c r="J167" s="342">
        <f t="shared" si="12"/>
        <v>6249</v>
      </c>
      <c r="K167" s="342">
        <f t="shared" si="12"/>
        <v>0</v>
      </c>
      <c r="L167" s="342">
        <f t="shared" si="12"/>
        <v>0</v>
      </c>
      <c r="M167" s="342">
        <f t="shared" si="12"/>
        <v>0</v>
      </c>
      <c r="N167" s="342">
        <f t="shared" si="12"/>
        <v>0</v>
      </c>
      <c r="O167" s="342">
        <f t="shared" si="12"/>
        <v>39339969</v>
      </c>
    </row>
    <row r="168" spans="1:15" x14ac:dyDescent="0.2">
      <c r="O168" s="401"/>
    </row>
    <row r="169" spans="1:15" x14ac:dyDescent="0.2">
      <c r="O169" s="401"/>
    </row>
  </sheetData>
  <mergeCells count="7">
    <mergeCell ref="O1:O2"/>
    <mergeCell ref="A1:A2"/>
    <mergeCell ref="B1:B2"/>
    <mergeCell ref="C1:C2"/>
    <mergeCell ref="D1:D2"/>
    <mergeCell ref="E1:K1"/>
    <mergeCell ref="L1:N1"/>
  </mergeCells>
  <printOptions horizontalCentered="1" verticalCentered="1"/>
  <pageMargins left="0.19685039370078741" right="0.19685039370078741" top="0.98425196850393704" bottom="0.82677165354330717" header="0.59055118110236227" footer="0.51181102362204722"/>
  <pageSetup paperSize="9" scale="70" fitToHeight="6" orientation="landscape" r:id="rId1"/>
  <headerFooter alignWithMargins="0">
    <oddHeader>&amp;C&amp;"Times New Roman,Félkövér dőlt" ZALAEGERSZEG MEGYEI JOGÚ VÁROS ÖNKORMÁNYZATA
BEVÉTELI ELŐIRÁNYZATAINAK MÓDOSÍTÁSA  2026.  ÉVBEN&amp;R&amp;"Times New Roman,Félkövér dőlt"1. tájékoztató tábla
Adatok forintban</oddHeader>
    <oddFooter>&amp;P. oldal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XDW583"/>
  <sheetViews>
    <sheetView tabSelected="1" zoomScale="112" zoomScaleNormal="112" zoomScaleSheetLayoutView="120" workbookViewId="0">
      <pane xSplit="5" ySplit="2" topLeftCell="F398" activePane="bottomRight" state="frozen"/>
      <selection pane="topRight" activeCell="F1" sqref="F1"/>
      <selection pane="bottomLeft" activeCell="A3" sqref="A3"/>
      <selection pane="bottomRight" activeCell="D569" sqref="D569"/>
    </sheetView>
  </sheetViews>
  <sheetFormatPr defaultRowHeight="12" x14ac:dyDescent="0.2"/>
  <cols>
    <col min="1" max="1" width="3" style="1" customWidth="1"/>
    <col min="2" max="2" width="4.5" style="1" customWidth="1"/>
    <col min="3" max="3" width="4.33203125" style="1" customWidth="1"/>
    <col min="4" max="4" width="49.1640625" style="1" customWidth="1"/>
    <col min="5" max="5" width="3.1640625" style="1" customWidth="1"/>
    <col min="6" max="6" width="8.6640625" style="1" customWidth="1"/>
    <col min="7" max="7" width="14" style="1" customWidth="1"/>
    <col min="8" max="9" width="15.83203125" style="1" customWidth="1"/>
    <col min="10" max="10" width="13" style="1" customWidth="1"/>
    <col min="11" max="11" width="14.6640625" style="1" customWidth="1"/>
    <col min="12" max="12" width="14.5" style="1" customWidth="1"/>
    <col min="13" max="13" width="14.33203125" style="32" customWidth="1"/>
    <col min="14" max="14" width="12.83203125" style="32" customWidth="1"/>
    <col min="15" max="15" width="13.33203125" style="1" customWidth="1"/>
    <col min="16" max="16" width="14.1640625" style="1" customWidth="1"/>
    <col min="17" max="17" width="15.5" style="1" customWidth="1"/>
    <col min="18" max="18" width="15.6640625" style="1" hidden="1" customWidth="1"/>
    <col min="19" max="201" width="9.33203125" style="1"/>
    <col min="202" max="203" width="4.5" style="1" customWidth="1"/>
    <col min="204" max="204" width="8.6640625" style="1" customWidth="1"/>
    <col min="205" max="205" width="49.1640625" style="1" customWidth="1"/>
    <col min="206" max="206" width="3.1640625" style="1" customWidth="1"/>
    <col min="207" max="207" width="8.6640625" style="1" customWidth="1"/>
    <col min="208" max="208" width="10.5" style="1" customWidth="1"/>
    <col min="209" max="209" width="10.1640625" style="1" customWidth="1"/>
    <col min="210" max="210" width="11" style="1" customWidth="1"/>
    <col min="211" max="211" width="10.33203125" style="1" customWidth="1"/>
    <col min="212" max="212" width="9.83203125" style="1" customWidth="1"/>
    <col min="213" max="213" width="11.1640625" style="1" customWidth="1"/>
    <col min="214" max="214" width="10.5" style="1" customWidth="1"/>
    <col min="215" max="215" width="8.83203125" style="1" customWidth="1"/>
    <col min="216" max="216" width="10.33203125" style="1" customWidth="1"/>
    <col min="217" max="217" width="10.6640625" style="1" customWidth="1"/>
    <col min="218" max="218" width="12.5" style="1" customWidth="1"/>
    <col min="219" max="219" width="11.83203125" style="1" customWidth="1"/>
    <col min="220" max="220" width="11.1640625" style="1" customWidth="1"/>
    <col min="221" max="221" width="11" style="1" customWidth="1"/>
    <col min="222" max="222" width="11.1640625" style="1" customWidth="1"/>
    <col min="223" max="223" width="10.1640625" style="1" customWidth="1"/>
    <col min="224" max="224" width="11.83203125" style="1" customWidth="1"/>
    <col min="225" max="225" width="9.33203125" style="1"/>
    <col min="226" max="226" width="10.1640625" style="1" customWidth="1"/>
    <col min="227" max="227" width="10" style="1" customWidth="1"/>
    <col min="228" max="228" width="10.83203125" style="1" customWidth="1"/>
    <col min="229" max="229" width="11.33203125" style="1" customWidth="1"/>
    <col min="230" max="457" width="9.33203125" style="1"/>
    <col min="458" max="459" width="4.5" style="1" customWidth="1"/>
    <col min="460" max="460" width="8.6640625" style="1" customWidth="1"/>
    <col min="461" max="461" width="49.1640625" style="1" customWidth="1"/>
    <col min="462" max="462" width="3.1640625" style="1" customWidth="1"/>
    <col min="463" max="463" width="8.6640625" style="1" customWidth="1"/>
    <col min="464" max="464" width="10.5" style="1" customWidth="1"/>
    <col min="465" max="465" width="10.1640625" style="1" customWidth="1"/>
    <col min="466" max="466" width="11" style="1" customWidth="1"/>
    <col min="467" max="467" width="10.33203125" style="1" customWidth="1"/>
    <col min="468" max="468" width="9.83203125" style="1" customWidth="1"/>
    <col min="469" max="469" width="11.1640625" style="1" customWidth="1"/>
    <col min="470" max="470" width="10.5" style="1" customWidth="1"/>
    <col min="471" max="471" width="8.83203125" style="1" customWidth="1"/>
    <col min="472" max="472" width="10.33203125" style="1" customWidth="1"/>
    <col min="473" max="473" width="10.6640625" style="1" customWidth="1"/>
    <col min="474" max="474" width="12.5" style="1" customWidth="1"/>
    <col min="475" max="475" width="11.83203125" style="1" customWidth="1"/>
    <col min="476" max="476" width="11.1640625" style="1" customWidth="1"/>
    <col min="477" max="477" width="11" style="1" customWidth="1"/>
    <col min="478" max="478" width="11.1640625" style="1" customWidth="1"/>
    <col min="479" max="479" width="10.1640625" style="1" customWidth="1"/>
    <col min="480" max="480" width="11.83203125" style="1" customWidth="1"/>
    <col min="481" max="481" width="9.33203125" style="1"/>
    <col min="482" max="482" width="10.1640625" style="1" customWidth="1"/>
    <col min="483" max="483" width="10" style="1" customWidth="1"/>
    <col min="484" max="484" width="10.83203125" style="1" customWidth="1"/>
    <col min="485" max="485" width="11.33203125" style="1" customWidth="1"/>
    <col min="486" max="713" width="9.33203125" style="1"/>
    <col min="714" max="715" width="4.5" style="1" customWidth="1"/>
    <col min="716" max="716" width="8.6640625" style="1" customWidth="1"/>
    <col min="717" max="717" width="49.1640625" style="1" customWidth="1"/>
    <col min="718" max="718" width="3.1640625" style="1" customWidth="1"/>
    <col min="719" max="719" width="8.6640625" style="1" customWidth="1"/>
    <col min="720" max="720" width="10.5" style="1" customWidth="1"/>
    <col min="721" max="721" width="10.1640625" style="1" customWidth="1"/>
    <col min="722" max="722" width="11" style="1" customWidth="1"/>
    <col min="723" max="723" width="10.33203125" style="1" customWidth="1"/>
    <col min="724" max="724" width="9.83203125" style="1" customWidth="1"/>
    <col min="725" max="725" width="11.1640625" style="1" customWidth="1"/>
    <col min="726" max="726" width="10.5" style="1" customWidth="1"/>
    <col min="727" max="727" width="8.83203125" style="1" customWidth="1"/>
    <col min="728" max="728" width="10.33203125" style="1" customWidth="1"/>
    <col min="729" max="729" width="10.6640625" style="1" customWidth="1"/>
    <col min="730" max="730" width="12.5" style="1" customWidth="1"/>
    <col min="731" max="731" width="11.83203125" style="1" customWidth="1"/>
    <col min="732" max="732" width="11.1640625" style="1" customWidth="1"/>
    <col min="733" max="733" width="11" style="1" customWidth="1"/>
    <col min="734" max="734" width="11.1640625" style="1" customWidth="1"/>
    <col min="735" max="735" width="10.1640625" style="1" customWidth="1"/>
    <col min="736" max="736" width="11.83203125" style="1" customWidth="1"/>
    <col min="737" max="737" width="9.33203125" style="1"/>
    <col min="738" max="738" width="10.1640625" style="1" customWidth="1"/>
    <col min="739" max="739" width="10" style="1" customWidth="1"/>
    <col min="740" max="740" width="10.83203125" style="1" customWidth="1"/>
    <col min="741" max="741" width="11.33203125" style="1" customWidth="1"/>
    <col min="742" max="969" width="9.33203125" style="1"/>
    <col min="970" max="971" width="4.5" style="1" customWidth="1"/>
    <col min="972" max="972" width="8.6640625" style="1" customWidth="1"/>
    <col min="973" max="973" width="49.1640625" style="1" customWidth="1"/>
    <col min="974" max="974" width="3.1640625" style="1" customWidth="1"/>
    <col min="975" max="975" width="8.6640625" style="1" customWidth="1"/>
    <col min="976" max="976" width="10.5" style="1" customWidth="1"/>
    <col min="977" max="977" width="10.1640625" style="1" customWidth="1"/>
    <col min="978" max="978" width="11" style="1" customWidth="1"/>
    <col min="979" max="979" width="10.33203125" style="1" customWidth="1"/>
    <col min="980" max="980" width="9.83203125" style="1" customWidth="1"/>
    <col min="981" max="981" width="11.1640625" style="1" customWidth="1"/>
    <col min="982" max="982" width="10.5" style="1" customWidth="1"/>
    <col min="983" max="983" width="8.83203125" style="1" customWidth="1"/>
    <col min="984" max="984" width="10.33203125" style="1" customWidth="1"/>
    <col min="985" max="985" width="10.6640625" style="1" customWidth="1"/>
    <col min="986" max="986" width="12.5" style="1" customWidth="1"/>
    <col min="987" max="987" width="11.83203125" style="1" customWidth="1"/>
    <col min="988" max="988" width="11.1640625" style="1" customWidth="1"/>
    <col min="989" max="989" width="11" style="1" customWidth="1"/>
    <col min="990" max="990" width="11.1640625" style="1" customWidth="1"/>
    <col min="991" max="991" width="10.1640625" style="1" customWidth="1"/>
    <col min="992" max="992" width="11.83203125" style="1" customWidth="1"/>
    <col min="993" max="993" width="9.33203125" style="1"/>
    <col min="994" max="994" width="10.1640625" style="1" customWidth="1"/>
    <col min="995" max="995" width="10" style="1" customWidth="1"/>
    <col min="996" max="996" width="10.83203125" style="1" customWidth="1"/>
    <col min="997" max="997" width="11.33203125" style="1" customWidth="1"/>
    <col min="998" max="1225" width="9.33203125" style="1"/>
    <col min="1226" max="1227" width="4.5" style="1" customWidth="1"/>
    <col min="1228" max="1228" width="8.6640625" style="1" customWidth="1"/>
    <col min="1229" max="1229" width="49.1640625" style="1" customWidth="1"/>
    <col min="1230" max="1230" width="3.1640625" style="1" customWidth="1"/>
    <col min="1231" max="1231" width="8.6640625" style="1" customWidth="1"/>
    <col min="1232" max="1232" width="10.5" style="1" customWidth="1"/>
    <col min="1233" max="1233" width="10.1640625" style="1" customWidth="1"/>
    <col min="1234" max="1234" width="11" style="1" customWidth="1"/>
    <col min="1235" max="1235" width="10.33203125" style="1" customWidth="1"/>
    <col min="1236" max="1236" width="9.83203125" style="1" customWidth="1"/>
    <col min="1237" max="1237" width="11.1640625" style="1" customWidth="1"/>
    <col min="1238" max="1238" width="10.5" style="1" customWidth="1"/>
    <col min="1239" max="1239" width="8.83203125" style="1" customWidth="1"/>
    <col min="1240" max="1240" width="10.33203125" style="1" customWidth="1"/>
    <col min="1241" max="1241" width="10.6640625" style="1" customWidth="1"/>
    <col min="1242" max="1242" width="12.5" style="1" customWidth="1"/>
    <col min="1243" max="1243" width="11.83203125" style="1" customWidth="1"/>
    <col min="1244" max="1244" width="11.1640625" style="1" customWidth="1"/>
    <col min="1245" max="1245" width="11" style="1" customWidth="1"/>
    <col min="1246" max="1246" width="11.1640625" style="1" customWidth="1"/>
    <col min="1247" max="1247" width="10.1640625" style="1" customWidth="1"/>
    <col min="1248" max="1248" width="11.83203125" style="1" customWidth="1"/>
    <col min="1249" max="1249" width="9.33203125" style="1"/>
    <col min="1250" max="1250" width="10.1640625" style="1" customWidth="1"/>
    <col min="1251" max="1251" width="10" style="1" customWidth="1"/>
    <col min="1252" max="1252" width="10.83203125" style="1" customWidth="1"/>
    <col min="1253" max="1253" width="11.33203125" style="1" customWidth="1"/>
    <col min="1254" max="1481" width="9.33203125" style="1"/>
    <col min="1482" max="1483" width="4.5" style="1" customWidth="1"/>
    <col min="1484" max="1484" width="8.6640625" style="1" customWidth="1"/>
    <col min="1485" max="1485" width="49.1640625" style="1" customWidth="1"/>
    <col min="1486" max="1486" width="3.1640625" style="1" customWidth="1"/>
    <col min="1487" max="1487" width="8.6640625" style="1" customWidth="1"/>
    <col min="1488" max="1488" width="10.5" style="1" customWidth="1"/>
    <col min="1489" max="1489" width="10.1640625" style="1" customWidth="1"/>
    <col min="1490" max="1490" width="11" style="1" customWidth="1"/>
    <col min="1491" max="1491" width="10.33203125" style="1" customWidth="1"/>
    <col min="1492" max="1492" width="9.83203125" style="1" customWidth="1"/>
    <col min="1493" max="1493" width="11.1640625" style="1" customWidth="1"/>
    <col min="1494" max="1494" width="10.5" style="1" customWidth="1"/>
    <col min="1495" max="1495" width="8.83203125" style="1" customWidth="1"/>
    <col min="1496" max="1496" width="10.33203125" style="1" customWidth="1"/>
    <col min="1497" max="1497" width="10.6640625" style="1" customWidth="1"/>
    <col min="1498" max="1498" width="12.5" style="1" customWidth="1"/>
    <col min="1499" max="1499" width="11.83203125" style="1" customWidth="1"/>
    <col min="1500" max="1500" width="11.1640625" style="1" customWidth="1"/>
    <col min="1501" max="1501" width="11" style="1" customWidth="1"/>
    <col min="1502" max="1502" width="11.1640625" style="1" customWidth="1"/>
    <col min="1503" max="1503" width="10.1640625" style="1" customWidth="1"/>
    <col min="1504" max="1504" width="11.83203125" style="1" customWidth="1"/>
    <col min="1505" max="1505" width="9.33203125" style="1"/>
    <col min="1506" max="1506" width="10.1640625" style="1" customWidth="1"/>
    <col min="1507" max="1507" width="10" style="1" customWidth="1"/>
    <col min="1508" max="1508" width="10.83203125" style="1" customWidth="1"/>
    <col min="1509" max="1509" width="11.33203125" style="1" customWidth="1"/>
    <col min="1510" max="1737" width="9.33203125" style="1"/>
    <col min="1738" max="1739" width="4.5" style="1" customWidth="1"/>
    <col min="1740" max="1740" width="8.6640625" style="1" customWidth="1"/>
    <col min="1741" max="1741" width="49.1640625" style="1" customWidth="1"/>
    <col min="1742" max="1742" width="3.1640625" style="1" customWidth="1"/>
    <col min="1743" max="1743" width="8.6640625" style="1" customWidth="1"/>
    <col min="1744" max="1744" width="10.5" style="1" customWidth="1"/>
    <col min="1745" max="1745" width="10.1640625" style="1" customWidth="1"/>
    <col min="1746" max="1746" width="11" style="1" customWidth="1"/>
    <col min="1747" max="1747" width="10.33203125" style="1" customWidth="1"/>
    <col min="1748" max="1748" width="9.83203125" style="1" customWidth="1"/>
    <col min="1749" max="1749" width="11.1640625" style="1" customWidth="1"/>
    <col min="1750" max="1750" width="10.5" style="1" customWidth="1"/>
    <col min="1751" max="1751" width="8.83203125" style="1" customWidth="1"/>
    <col min="1752" max="1752" width="10.33203125" style="1" customWidth="1"/>
    <col min="1753" max="1753" width="10.6640625" style="1" customWidth="1"/>
    <col min="1754" max="1754" width="12.5" style="1" customWidth="1"/>
    <col min="1755" max="1755" width="11.83203125" style="1" customWidth="1"/>
    <col min="1756" max="1756" width="11.1640625" style="1" customWidth="1"/>
    <col min="1757" max="1757" width="11" style="1" customWidth="1"/>
    <col min="1758" max="1758" width="11.1640625" style="1" customWidth="1"/>
    <col min="1759" max="1759" width="10.1640625" style="1" customWidth="1"/>
    <col min="1760" max="1760" width="11.83203125" style="1" customWidth="1"/>
    <col min="1761" max="1761" width="9.33203125" style="1"/>
    <col min="1762" max="1762" width="10.1640625" style="1" customWidth="1"/>
    <col min="1763" max="1763" width="10" style="1" customWidth="1"/>
    <col min="1764" max="1764" width="10.83203125" style="1" customWidth="1"/>
    <col min="1765" max="1765" width="11.33203125" style="1" customWidth="1"/>
    <col min="1766" max="1993" width="9.33203125" style="1"/>
    <col min="1994" max="1995" width="4.5" style="1" customWidth="1"/>
    <col min="1996" max="1996" width="8.6640625" style="1" customWidth="1"/>
    <col min="1997" max="1997" width="49.1640625" style="1" customWidth="1"/>
    <col min="1998" max="1998" width="3.1640625" style="1" customWidth="1"/>
    <col min="1999" max="1999" width="8.6640625" style="1" customWidth="1"/>
    <col min="2000" max="2000" width="10.5" style="1" customWidth="1"/>
    <col min="2001" max="2001" width="10.1640625" style="1" customWidth="1"/>
    <col min="2002" max="2002" width="11" style="1" customWidth="1"/>
    <col min="2003" max="2003" width="10.33203125" style="1" customWidth="1"/>
    <col min="2004" max="2004" width="9.83203125" style="1" customWidth="1"/>
    <col min="2005" max="2005" width="11.1640625" style="1" customWidth="1"/>
    <col min="2006" max="2006" width="10.5" style="1" customWidth="1"/>
    <col min="2007" max="2007" width="8.83203125" style="1" customWidth="1"/>
    <col min="2008" max="2008" width="10.33203125" style="1" customWidth="1"/>
    <col min="2009" max="2009" width="10.6640625" style="1" customWidth="1"/>
    <col min="2010" max="2010" width="12.5" style="1" customWidth="1"/>
    <col min="2011" max="2011" width="11.83203125" style="1" customWidth="1"/>
    <col min="2012" max="2012" width="11.1640625" style="1" customWidth="1"/>
    <col min="2013" max="2013" width="11" style="1" customWidth="1"/>
    <col min="2014" max="2014" width="11.1640625" style="1" customWidth="1"/>
    <col min="2015" max="2015" width="10.1640625" style="1" customWidth="1"/>
    <col min="2016" max="2016" width="11.83203125" style="1" customWidth="1"/>
    <col min="2017" max="2017" width="9.33203125" style="1"/>
    <col min="2018" max="2018" width="10.1640625" style="1" customWidth="1"/>
    <col min="2019" max="2019" width="10" style="1" customWidth="1"/>
    <col min="2020" max="2020" width="10.83203125" style="1" customWidth="1"/>
    <col min="2021" max="2021" width="11.33203125" style="1" customWidth="1"/>
    <col min="2022" max="2249" width="9.33203125" style="1"/>
    <col min="2250" max="2251" width="4.5" style="1" customWidth="1"/>
    <col min="2252" max="2252" width="8.6640625" style="1" customWidth="1"/>
    <col min="2253" max="2253" width="49.1640625" style="1" customWidth="1"/>
    <col min="2254" max="2254" width="3.1640625" style="1" customWidth="1"/>
    <col min="2255" max="2255" width="8.6640625" style="1" customWidth="1"/>
    <col min="2256" max="2256" width="10.5" style="1" customWidth="1"/>
    <col min="2257" max="2257" width="10.1640625" style="1" customWidth="1"/>
    <col min="2258" max="2258" width="11" style="1" customWidth="1"/>
    <col min="2259" max="2259" width="10.33203125" style="1" customWidth="1"/>
    <col min="2260" max="2260" width="9.83203125" style="1" customWidth="1"/>
    <col min="2261" max="2261" width="11.1640625" style="1" customWidth="1"/>
    <col min="2262" max="2262" width="10.5" style="1" customWidth="1"/>
    <col min="2263" max="2263" width="8.83203125" style="1" customWidth="1"/>
    <col min="2264" max="2264" width="10.33203125" style="1" customWidth="1"/>
    <col min="2265" max="2265" width="10.6640625" style="1" customWidth="1"/>
    <col min="2266" max="2266" width="12.5" style="1" customWidth="1"/>
    <col min="2267" max="2267" width="11.83203125" style="1" customWidth="1"/>
    <col min="2268" max="2268" width="11.1640625" style="1" customWidth="1"/>
    <col min="2269" max="2269" width="11" style="1" customWidth="1"/>
    <col min="2270" max="2270" width="11.1640625" style="1" customWidth="1"/>
    <col min="2271" max="2271" width="10.1640625" style="1" customWidth="1"/>
    <col min="2272" max="2272" width="11.83203125" style="1" customWidth="1"/>
    <col min="2273" max="2273" width="9.33203125" style="1"/>
    <col min="2274" max="2274" width="10.1640625" style="1" customWidth="1"/>
    <col min="2275" max="2275" width="10" style="1" customWidth="1"/>
    <col min="2276" max="2276" width="10.83203125" style="1" customWidth="1"/>
    <col min="2277" max="2277" width="11.33203125" style="1" customWidth="1"/>
    <col min="2278" max="2505" width="9.33203125" style="1"/>
    <col min="2506" max="2507" width="4.5" style="1" customWidth="1"/>
    <col min="2508" max="2508" width="8.6640625" style="1" customWidth="1"/>
    <col min="2509" max="2509" width="49.1640625" style="1" customWidth="1"/>
    <col min="2510" max="2510" width="3.1640625" style="1" customWidth="1"/>
    <col min="2511" max="2511" width="8.6640625" style="1" customWidth="1"/>
    <col min="2512" max="2512" width="10.5" style="1" customWidth="1"/>
    <col min="2513" max="2513" width="10.1640625" style="1" customWidth="1"/>
    <col min="2514" max="2514" width="11" style="1" customWidth="1"/>
    <col min="2515" max="2515" width="10.33203125" style="1" customWidth="1"/>
    <col min="2516" max="2516" width="9.83203125" style="1" customWidth="1"/>
    <col min="2517" max="2517" width="11.1640625" style="1" customWidth="1"/>
    <col min="2518" max="2518" width="10.5" style="1" customWidth="1"/>
    <col min="2519" max="2519" width="8.83203125" style="1" customWidth="1"/>
    <col min="2520" max="2520" width="10.33203125" style="1" customWidth="1"/>
    <col min="2521" max="2521" width="10.6640625" style="1" customWidth="1"/>
    <col min="2522" max="2522" width="12.5" style="1" customWidth="1"/>
    <col min="2523" max="2523" width="11.83203125" style="1" customWidth="1"/>
    <col min="2524" max="2524" width="11.1640625" style="1" customWidth="1"/>
    <col min="2525" max="2525" width="11" style="1" customWidth="1"/>
    <col min="2526" max="2526" width="11.1640625" style="1" customWidth="1"/>
    <col min="2527" max="2527" width="10.1640625" style="1" customWidth="1"/>
    <col min="2528" max="2528" width="11.83203125" style="1" customWidth="1"/>
    <col min="2529" max="2529" width="9.33203125" style="1"/>
    <col min="2530" max="2530" width="10.1640625" style="1" customWidth="1"/>
    <col min="2531" max="2531" width="10" style="1" customWidth="1"/>
    <col min="2532" max="2532" width="10.83203125" style="1" customWidth="1"/>
    <col min="2533" max="2533" width="11.33203125" style="1" customWidth="1"/>
    <col min="2534" max="2761" width="9.33203125" style="1"/>
    <col min="2762" max="2763" width="4.5" style="1" customWidth="1"/>
    <col min="2764" max="2764" width="8.6640625" style="1" customWidth="1"/>
    <col min="2765" max="2765" width="49.1640625" style="1" customWidth="1"/>
    <col min="2766" max="2766" width="3.1640625" style="1" customWidth="1"/>
    <col min="2767" max="2767" width="8.6640625" style="1" customWidth="1"/>
    <col min="2768" max="2768" width="10.5" style="1" customWidth="1"/>
    <col min="2769" max="2769" width="10.1640625" style="1" customWidth="1"/>
    <col min="2770" max="2770" width="11" style="1" customWidth="1"/>
    <col min="2771" max="2771" width="10.33203125" style="1" customWidth="1"/>
    <col min="2772" max="2772" width="9.83203125" style="1" customWidth="1"/>
    <col min="2773" max="2773" width="11.1640625" style="1" customWidth="1"/>
    <col min="2774" max="2774" width="10.5" style="1" customWidth="1"/>
    <col min="2775" max="2775" width="8.83203125" style="1" customWidth="1"/>
    <col min="2776" max="2776" width="10.33203125" style="1" customWidth="1"/>
    <col min="2777" max="2777" width="10.6640625" style="1" customWidth="1"/>
    <col min="2778" max="2778" width="12.5" style="1" customWidth="1"/>
    <col min="2779" max="2779" width="11.83203125" style="1" customWidth="1"/>
    <col min="2780" max="2780" width="11.1640625" style="1" customWidth="1"/>
    <col min="2781" max="2781" width="11" style="1" customWidth="1"/>
    <col min="2782" max="2782" width="11.1640625" style="1" customWidth="1"/>
    <col min="2783" max="2783" width="10.1640625" style="1" customWidth="1"/>
    <col min="2784" max="2784" width="11.83203125" style="1" customWidth="1"/>
    <col min="2785" max="2785" width="9.33203125" style="1"/>
    <col min="2786" max="2786" width="10.1640625" style="1" customWidth="1"/>
    <col min="2787" max="2787" width="10" style="1" customWidth="1"/>
    <col min="2788" max="2788" width="10.83203125" style="1" customWidth="1"/>
    <col min="2789" max="2789" width="11.33203125" style="1" customWidth="1"/>
    <col min="2790" max="3017" width="9.33203125" style="1"/>
    <col min="3018" max="3019" width="4.5" style="1" customWidth="1"/>
    <col min="3020" max="3020" width="8.6640625" style="1" customWidth="1"/>
    <col min="3021" max="3021" width="49.1640625" style="1" customWidth="1"/>
    <col min="3022" max="3022" width="3.1640625" style="1" customWidth="1"/>
    <col min="3023" max="3023" width="8.6640625" style="1" customWidth="1"/>
    <col min="3024" max="3024" width="10.5" style="1" customWidth="1"/>
    <col min="3025" max="3025" width="10.1640625" style="1" customWidth="1"/>
    <col min="3026" max="3026" width="11" style="1" customWidth="1"/>
    <col min="3027" max="3027" width="10.33203125" style="1" customWidth="1"/>
    <col min="3028" max="3028" width="9.83203125" style="1" customWidth="1"/>
    <col min="3029" max="3029" width="11.1640625" style="1" customWidth="1"/>
    <col min="3030" max="3030" width="10.5" style="1" customWidth="1"/>
    <col min="3031" max="3031" width="8.83203125" style="1" customWidth="1"/>
    <col min="3032" max="3032" width="10.33203125" style="1" customWidth="1"/>
    <col min="3033" max="3033" width="10.6640625" style="1" customWidth="1"/>
    <col min="3034" max="3034" width="12.5" style="1" customWidth="1"/>
    <col min="3035" max="3035" width="11.83203125" style="1" customWidth="1"/>
    <col min="3036" max="3036" width="11.1640625" style="1" customWidth="1"/>
    <col min="3037" max="3037" width="11" style="1" customWidth="1"/>
    <col min="3038" max="3038" width="11.1640625" style="1" customWidth="1"/>
    <col min="3039" max="3039" width="10.1640625" style="1" customWidth="1"/>
    <col min="3040" max="3040" width="11.83203125" style="1" customWidth="1"/>
    <col min="3041" max="3041" width="9.33203125" style="1"/>
    <col min="3042" max="3042" width="10.1640625" style="1" customWidth="1"/>
    <col min="3043" max="3043" width="10" style="1" customWidth="1"/>
    <col min="3044" max="3044" width="10.83203125" style="1" customWidth="1"/>
    <col min="3045" max="3045" width="11.33203125" style="1" customWidth="1"/>
    <col min="3046" max="3273" width="9.33203125" style="1"/>
    <col min="3274" max="3275" width="4.5" style="1" customWidth="1"/>
    <col min="3276" max="3276" width="8.6640625" style="1" customWidth="1"/>
    <col min="3277" max="3277" width="49.1640625" style="1" customWidth="1"/>
    <col min="3278" max="3278" width="3.1640625" style="1" customWidth="1"/>
    <col min="3279" max="3279" width="8.6640625" style="1" customWidth="1"/>
    <col min="3280" max="3280" width="10.5" style="1" customWidth="1"/>
    <col min="3281" max="3281" width="10.1640625" style="1" customWidth="1"/>
    <col min="3282" max="3282" width="11" style="1" customWidth="1"/>
    <col min="3283" max="3283" width="10.33203125" style="1" customWidth="1"/>
    <col min="3284" max="3284" width="9.83203125" style="1" customWidth="1"/>
    <col min="3285" max="3285" width="11.1640625" style="1" customWidth="1"/>
    <col min="3286" max="3286" width="10.5" style="1" customWidth="1"/>
    <col min="3287" max="3287" width="8.83203125" style="1" customWidth="1"/>
    <col min="3288" max="3288" width="10.33203125" style="1" customWidth="1"/>
    <col min="3289" max="3289" width="10.6640625" style="1" customWidth="1"/>
    <col min="3290" max="3290" width="12.5" style="1" customWidth="1"/>
    <col min="3291" max="3291" width="11.83203125" style="1" customWidth="1"/>
    <col min="3292" max="3292" width="11.1640625" style="1" customWidth="1"/>
    <col min="3293" max="3293" width="11" style="1" customWidth="1"/>
    <col min="3294" max="3294" width="11.1640625" style="1" customWidth="1"/>
    <col min="3295" max="3295" width="10.1640625" style="1" customWidth="1"/>
    <col min="3296" max="3296" width="11.83203125" style="1" customWidth="1"/>
    <col min="3297" max="3297" width="9.33203125" style="1"/>
    <col min="3298" max="3298" width="10.1640625" style="1" customWidth="1"/>
    <col min="3299" max="3299" width="10" style="1" customWidth="1"/>
    <col min="3300" max="3300" width="10.83203125" style="1" customWidth="1"/>
    <col min="3301" max="3301" width="11.33203125" style="1" customWidth="1"/>
    <col min="3302" max="3529" width="9.33203125" style="1"/>
    <col min="3530" max="3531" width="4.5" style="1" customWidth="1"/>
    <col min="3532" max="3532" width="8.6640625" style="1" customWidth="1"/>
    <col min="3533" max="3533" width="49.1640625" style="1" customWidth="1"/>
    <col min="3534" max="3534" width="3.1640625" style="1" customWidth="1"/>
    <col min="3535" max="3535" width="8.6640625" style="1" customWidth="1"/>
    <col min="3536" max="3536" width="10.5" style="1" customWidth="1"/>
    <col min="3537" max="3537" width="10.1640625" style="1" customWidth="1"/>
    <col min="3538" max="3538" width="11" style="1" customWidth="1"/>
    <col min="3539" max="3539" width="10.33203125" style="1" customWidth="1"/>
    <col min="3540" max="3540" width="9.83203125" style="1" customWidth="1"/>
    <col min="3541" max="3541" width="11.1640625" style="1" customWidth="1"/>
    <col min="3542" max="3542" width="10.5" style="1" customWidth="1"/>
    <col min="3543" max="3543" width="8.83203125" style="1" customWidth="1"/>
    <col min="3544" max="3544" width="10.33203125" style="1" customWidth="1"/>
    <col min="3545" max="3545" width="10.6640625" style="1" customWidth="1"/>
    <col min="3546" max="3546" width="12.5" style="1" customWidth="1"/>
    <col min="3547" max="3547" width="11.83203125" style="1" customWidth="1"/>
    <col min="3548" max="3548" width="11.1640625" style="1" customWidth="1"/>
    <col min="3549" max="3549" width="11" style="1" customWidth="1"/>
    <col min="3550" max="3550" width="11.1640625" style="1" customWidth="1"/>
    <col min="3551" max="3551" width="10.1640625" style="1" customWidth="1"/>
    <col min="3552" max="3552" width="11.83203125" style="1" customWidth="1"/>
    <col min="3553" max="3553" width="9.33203125" style="1"/>
    <col min="3554" max="3554" width="10.1640625" style="1" customWidth="1"/>
    <col min="3555" max="3555" width="10" style="1" customWidth="1"/>
    <col min="3556" max="3556" width="10.83203125" style="1" customWidth="1"/>
    <col min="3557" max="3557" width="11.33203125" style="1" customWidth="1"/>
    <col min="3558" max="3785" width="9.33203125" style="1"/>
    <col min="3786" max="3787" width="4.5" style="1" customWidth="1"/>
    <col min="3788" max="3788" width="8.6640625" style="1" customWidth="1"/>
    <col min="3789" max="3789" width="49.1640625" style="1" customWidth="1"/>
    <col min="3790" max="3790" width="3.1640625" style="1" customWidth="1"/>
    <col min="3791" max="3791" width="8.6640625" style="1" customWidth="1"/>
    <col min="3792" max="3792" width="10.5" style="1" customWidth="1"/>
    <col min="3793" max="3793" width="10.1640625" style="1" customWidth="1"/>
    <col min="3794" max="3794" width="11" style="1" customWidth="1"/>
    <col min="3795" max="3795" width="10.33203125" style="1" customWidth="1"/>
    <col min="3796" max="3796" width="9.83203125" style="1" customWidth="1"/>
    <col min="3797" max="3797" width="11.1640625" style="1" customWidth="1"/>
    <col min="3798" max="3798" width="10.5" style="1" customWidth="1"/>
    <col min="3799" max="3799" width="8.83203125" style="1" customWidth="1"/>
    <col min="3800" max="3800" width="10.33203125" style="1" customWidth="1"/>
    <col min="3801" max="3801" width="10.6640625" style="1" customWidth="1"/>
    <col min="3802" max="3802" width="12.5" style="1" customWidth="1"/>
    <col min="3803" max="3803" width="11.83203125" style="1" customWidth="1"/>
    <col min="3804" max="3804" width="11.1640625" style="1" customWidth="1"/>
    <col min="3805" max="3805" width="11" style="1" customWidth="1"/>
    <col min="3806" max="3806" width="11.1640625" style="1" customWidth="1"/>
    <col min="3807" max="3807" width="10.1640625" style="1" customWidth="1"/>
    <col min="3808" max="3808" width="11.83203125" style="1" customWidth="1"/>
    <col min="3809" max="3809" width="9.33203125" style="1"/>
    <col min="3810" max="3810" width="10.1640625" style="1" customWidth="1"/>
    <col min="3811" max="3811" width="10" style="1" customWidth="1"/>
    <col min="3812" max="3812" width="10.83203125" style="1" customWidth="1"/>
    <col min="3813" max="3813" width="11.33203125" style="1" customWidth="1"/>
    <col min="3814" max="4041" width="9.33203125" style="1"/>
    <col min="4042" max="4043" width="4.5" style="1" customWidth="1"/>
    <col min="4044" max="4044" width="8.6640625" style="1" customWidth="1"/>
    <col min="4045" max="4045" width="49.1640625" style="1" customWidth="1"/>
    <col min="4046" max="4046" width="3.1640625" style="1" customWidth="1"/>
    <col min="4047" max="4047" width="8.6640625" style="1" customWidth="1"/>
    <col min="4048" max="4048" width="10.5" style="1" customWidth="1"/>
    <col min="4049" max="4049" width="10.1640625" style="1" customWidth="1"/>
    <col min="4050" max="4050" width="11" style="1" customWidth="1"/>
    <col min="4051" max="4051" width="10.33203125" style="1" customWidth="1"/>
    <col min="4052" max="4052" width="9.83203125" style="1" customWidth="1"/>
    <col min="4053" max="4053" width="11.1640625" style="1" customWidth="1"/>
    <col min="4054" max="4054" width="10.5" style="1" customWidth="1"/>
    <col min="4055" max="4055" width="8.83203125" style="1" customWidth="1"/>
    <col min="4056" max="4056" width="10.33203125" style="1" customWidth="1"/>
    <col min="4057" max="4057" width="10.6640625" style="1" customWidth="1"/>
    <col min="4058" max="4058" width="12.5" style="1" customWidth="1"/>
    <col min="4059" max="4059" width="11.83203125" style="1" customWidth="1"/>
    <col min="4060" max="4060" width="11.1640625" style="1" customWidth="1"/>
    <col min="4061" max="4061" width="11" style="1" customWidth="1"/>
    <col min="4062" max="4062" width="11.1640625" style="1" customWidth="1"/>
    <col min="4063" max="4063" width="10.1640625" style="1" customWidth="1"/>
    <col min="4064" max="4064" width="11.83203125" style="1" customWidth="1"/>
    <col min="4065" max="4065" width="9.33203125" style="1"/>
    <col min="4066" max="4066" width="10.1640625" style="1" customWidth="1"/>
    <col min="4067" max="4067" width="10" style="1" customWidth="1"/>
    <col min="4068" max="4068" width="10.83203125" style="1" customWidth="1"/>
    <col min="4069" max="4069" width="11.33203125" style="1" customWidth="1"/>
    <col min="4070" max="4297" width="9.33203125" style="1"/>
    <col min="4298" max="4299" width="4.5" style="1" customWidth="1"/>
    <col min="4300" max="4300" width="8.6640625" style="1" customWidth="1"/>
    <col min="4301" max="4301" width="49.1640625" style="1" customWidth="1"/>
    <col min="4302" max="4302" width="3.1640625" style="1" customWidth="1"/>
    <col min="4303" max="4303" width="8.6640625" style="1" customWidth="1"/>
    <col min="4304" max="4304" width="10.5" style="1" customWidth="1"/>
    <col min="4305" max="4305" width="10.1640625" style="1" customWidth="1"/>
    <col min="4306" max="4306" width="11" style="1" customWidth="1"/>
    <col min="4307" max="4307" width="10.33203125" style="1" customWidth="1"/>
    <col min="4308" max="4308" width="9.83203125" style="1" customWidth="1"/>
    <col min="4309" max="4309" width="11.1640625" style="1" customWidth="1"/>
    <col min="4310" max="4310" width="10.5" style="1" customWidth="1"/>
    <col min="4311" max="4311" width="8.83203125" style="1" customWidth="1"/>
    <col min="4312" max="4312" width="10.33203125" style="1" customWidth="1"/>
    <col min="4313" max="4313" width="10.6640625" style="1" customWidth="1"/>
    <col min="4314" max="4314" width="12.5" style="1" customWidth="1"/>
    <col min="4315" max="4315" width="11.83203125" style="1" customWidth="1"/>
    <col min="4316" max="4316" width="11.1640625" style="1" customWidth="1"/>
    <col min="4317" max="4317" width="11" style="1" customWidth="1"/>
    <col min="4318" max="4318" width="11.1640625" style="1" customWidth="1"/>
    <col min="4319" max="4319" width="10.1640625" style="1" customWidth="1"/>
    <col min="4320" max="4320" width="11.83203125" style="1" customWidth="1"/>
    <col min="4321" max="4321" width="9.33203125" style="1"/>
    <col min="4322" max="4322" width="10.1640625" style="1" customWidth="1"/>
    <col min="4323" max="4323" width="10" style="1" customWidth="1"/>
    <col min="4324" max="4324" width="10.83203125" style="1" customWidth="1"/>
    <col min="4325" max="4325" width="11.33203125" style="1" customWidth="1"/>
    <col min="4326" max="4553" width="9.33203125" style="1"/>
    <col min="4554" max="4555" width="4.5" style="1" customWidth="1"/>
    <col min="4556" max="4556" width="8.6640625" style="1" customWidth="1"/>
    <col min="4557" max="4557" width="49.1640625" style="1" customWidth="1"/>
    <col min="4558" max="4558" width="3.1640625" style="1" customWidth="1"/>
    <col min="4559" max="4559" width="8.6640625" style="1" customWidth="1"/>
    <col min="4560" max="4560" width="10.5" style="1" customWidth="1"/>
    <col min="4561" max="4561" width="10.1640625" style="1" customWidth="1"/>
    <col min="4562" max="4562" width="11" style="1" customWidth="1"/>
    <col min="4563" max="4563" width="10.33203125" style="1" customWidth="1"/>
    <col min="4564" max="4564" width="9.83203125" style="1" customWidth="1"/>
    <col min="4565" max="4565" width="11.1640625" style="1" customWidth="1"/>
    <col min="4566" max="4566" width="10.5" style="1" customWidth="1"/>
    <col min="4567" max="4567" width="8.83203125" style="1" customWidth="1"/>
    <col min="4568" max="4568" width="10.33203125" style="1" customWidth="1"/>
    <col min="4569" max="4569" width="10.6640625" style="1" customWidth="1"/>
    <col min="4570" max="4570" width="12.5" style="1" customWidth="1"/>
    <col min="4571" max="4571" width="11.83203125" style="1" customWidth="1"/>
    <col min="4572" max="4572" width="11.1640625" style="1" customWidth="1"/>
    <col min="4573" max="4573" width="11" style="1" customWidth="1"/>
    <col min="4574" max="4574" width="11.1640625" style="1" customWidth="1"/>
    <col min="4575" max="4575" width="10.1640625" style="1" customWidth="1"/>
    <col min="4576" max="4576" width="11.83203125" style="1" customWidth="1"/>
    <col min="4577" max="4577" width="9.33203125" style="1"/>
    <col min="4578" max="4578" width="10.1640625" style="1" customWidth="1"/>
    <col min="4579" max="4579" width="10" style="1" customWidth="1"/>
    <col min="4580" max="4580" width="10.83203125" style="1" customWidth="1"/>
    <col min="4581" max="4581" width="11.33203125" style="1" customWidth="1"/>
    <col min="4582" max="4809" width="9.33203125" style="1"/>
    <col min="4810" max="4811" width="4.5" style="1" customWidth="1"/>
    <col min="4812" max="4812" width="8.6640625" style="1" customWidth="1"/>
    <col min="4813" max="4813" width="49.1640625" style="1" customWidth="1"/>
    <col min="4814" max="4814" width="3.1640625" style="1" customWidth="1"/>
    <col min="4815" max="4815" width="8.6640625" style="1" customWidth="1"/>
    <col min="4816" max="4816" width="10.5" style="1" customWidth="1"/>
    <col min="4817" max="4817" width="10.1640625" style="1" customWidth="1"/>
    <col min="4818" max="4818" width="11" style="1" customWidth="1"/>
    <col min="4819" max="4819" width="10.33203125" style="1" customWidth="1"/>
    <col min="4820" max="4820" width="9.83203125" style="1" customWidth="1"/>
    <col min="4821" max="4821" width="11.1640625" style="1" customWidth="1"/>
    <col min="4822" max="4822" width="10.5" style="1" customWidth="1"/>
    <col min="4823" max="4823" width="8.83203125" style="1" customWidth="1"/>
    <col min="4824" max="4824" width="10.33203125" style="1" customWidth="1"/>
    <col min="4825" max="4825" width="10.6640625" style="1" customWidth="1"/>
    <col min="4826" max="4826" width="12.5" style="1" customWidth="1"/>
    <col min="4827" max="4827" width="11.83203125" style="1" customWidth="1"/>
    <col min="4828" max="4828" width="11.1640625" style="1" customWidth="1"/>
    <col min="4829" max="4829" width="11" style="1" customWidth="1"/>
    <col min="4830" max="4830" width="11.1640625" style="1" customWidth="1"/>
    <col min="4831" max="4831" width="10.1640625" style="1" customWidth="1"/>
    <col min="4832" max="4832" width="11.83203125" style="1" customWidth="1"/>
    <col min="4833" max="4833" width="9.33203125" style="1"/>
    <col min="4834" max="4834" width="10.1640625" style="1" customWidth="1"/>
    <col min="4835" max="4835" width="10" style="1" customWidth="1"/>
    <col min="4836" max="4836" width="10.83203125" style="1" customWidth="1"/>
    <col min="4837" max="4837" width="11.33203125" style="1" customWidth="1"/>
    <col min="4838" max="5065" width="9.33203125" style="1"/>
    <col min="5066" max="5067" width="4.5" style="1" customWidth="1"/>
    <col min="5068" max="5068" width="8.6640625" style="1" customWidth="1"/>
    <col min="5069" max="5069" width="49.1640625" style="1" customWidth="1"/>
    <col min="5070" max="5070" width="3.1640625" style="1" customWidth="1"/>
    <col min="5071" max="5071" width="8.6640625" style="1" customWidth="1"/>
    <col min="5072" max="5072" width="10.5" style="1" customWidth="1"/>
    <col min="5073" max="5073" width="10.1640625" style="1" customWidth="1"/>
    <col min="5074" max="5074" width="11" style="1" customWidth="1"/>
    <col min="5075" max="5075" width="10.33203125" style="1" customWidth="1"/>
    <col min="5076" max="5076" width="9.83203125" style="1" customWidth="1"/>
    <col min="5077" max="5077" width="11.1640625" style="1" customWidth="1"/>
    <col min="5078" max="5078" width="10.5" style="1" customWidth="1"/>
    <col min="5079" max="5079" width="8.83203125" style="1" customWidth="1"/>
    <col min="5080" max="5080" width="10.33203125" style="1" customWidth="1"/>
    <col min="5081" max="5081" width="10.6640625" style="1" customWidth="1"/>
    <col min="5082" max="5082" width="12.5" style="1" customWidth="1"/>
    <col min="5083" max="5083" width="11.83203125" style="1" customWidth="1"/>
    <col min="5084" max="5084" width="11.1640625" style="1" customWidth="1"/>
    <col min="5085" max="5085" width="11" style="1" customWidth="1"/>
    <col min="5086" max="5086" width="11.1640625" style="1" customWidth="1"/>
    <col min="5087" max="5087" width="10.1640625" style="1" customWidth="1"/>
    <col min="5088" max="5088" width="11.83203125" style="1" customWidth="1"/>
    <col min="5089" max="5089" width="9.33203125" style="1"/>
    <col min="5090" max="5090" width="10.1640625" style="1" customWidth="1"/>
    <col min="5091" max="5091" width="10" style="1" customWidth="1"/>
    <col min="5092" max="5092" width="10.83203125" style="1" customWidth="1"/>
    <col min="5093" max="5093" width="11.33203125" style="1" customWidth="1"/>
    <col min="5094" max="5321" width="9.33203125" style="1"/>
    <col min="5322" max="5323" width="4.5" style="1" customWidth="1"/>
    <col min="5324" max="5324" width="8.6640625" style="1" customWidth="1"/>
    <col min="5325" max="5325" width="49.1640625" style="1" customWidth="1"/>
    <col min="5326" max="5326" width="3.1640625" style="1" customWidth="1"/>
    <col min="5327" max="5327" width="8.6640625" style="1" customWidth="1"/>
    <col min="5328" max="5328" width="10.5" style="1" customWidth="1"/>
    <col min="5329" max="5329" width="10.1640625" style="1" customWidth="1"/>
    <col min="5330" max="5330" width="11" style="1" customWidth="1"/>
    <col min="5331" max="5331" width="10.33203125" style="1" customWidth="1"/>
    <col min="5332" max="5332" width="9.83203125" style="1" customWidth="1"/>
    <col min="5333" max="5333" width="11.1640625" style="1" customWidth="1"/>
    <col min="5334" max="5334" width="10.5" style="1" customWidth="1"/>
    <col min="5335" max="5335" width="8.83203125" style="1" customWidth="1"/>
    <col min="5336" max="5336" width="10.33203125" style="1" customWidth="1"/>
    <col min="5337" max="5337" width="10.6640625" style="1" customWidth="1"/>
    <col min="5338" max="5338" width="12.5" style="1" customWidth="1"/>
    <col min="5339" max="5339" width="11.83203125" style="1" customWidth="1"/>
    <col min="5340" max="5340" width="11.1640625" style="1" customWidth="1"/>
    <col min="5341" max="5341" width="11" style="1" customWidth="1"/>
    <col min="5342" max="5342" width="11.1640625" style="1" customWidth="1"/>
    <col min="5343" max="5343" width="10.1640625" style="1" customWidth="1"/>
    <col min="5344" max="5344" width="11.83203125" style="1" customWidth="1"/>
    <col min="5345" max="5345" width="9.33203125" style="1"/>
    <col min="5346" max="5346" width="10.1640625" style="1" customWidth="1"/>
    <col min="5347" max="5347" width="10" style="1" customWidth="1"/>
    <col min="5348" max="5348" width="10.83203125" style="1" customWidth="1"/>
    <col min="5349" max="5349" width="11.33203125" style="1" customWidth="1"/>
    <col min="5350" max="5577" width="9.33203125" style="1"/>
    <col min="5578" max="5579" width="4.5" style="1" customWidth="1"/>
    <col min="5580" max="5580" width="8.6640625" style="1" customWidth="1"/>
    <col min="5581" max="5581" width="49.1640625" style="1" customWidth="1"/>
    <col min="5582" max="5582" width="3.1640625" style="1" customWidth="1"/>
    <col min="5583" max="5583" width="8.6640625" style="1" customWidth="1"/>
    <col min="5584" max="5584" width="10.5" style="1" customWidth="1"/>
    <col min="5585" max="5585" width="10.1640625" style="1" customWidth="1"/>
    <col min="5586" max="5586" width="11" style="1" customWidth="1"/>
    <col min="5587" max="5587" width="10.33203125" style="1" customWidth="1"/>
    <col min="5588" max="5588" width="9.83203125" style="1" customWidth="1"/>
    <col min="5589" max="5589" width="11.1640625" style="1" customWidth="1"/>
    <col min="5590" max="5590" width="10.5" style="1" customWidth="1"/>
    <col min="5591" max="5591" width="8.83203125" style="1" customWidth="1"/>
    <col min="5592" max="5592" width="10.33203125" style="1" customWidth="1"/>
    <col min="5593" max="5593" width="10.6640625" style="1" customWidth="1"/>
    <col min="5594" max="5594" width="12.5" style="1" customWidth="1"/>
    <col min="5595" max="5595" width="11.83203125" style="1" customWidth="1"/>
    <col min="5596" max="5596" width="11.1640625" style="1" customWidth="1"/>
    <col min="5597" max="5597" width="11" style="1" customWidth="1"/>
    <col min="5598" max="5598" width="11.1640625" style="1" customWidth="1"/>
    <col min="5599" max="5599" width="10.1640625" style="1" customWidth="1"/>
    <col min="5600" max="5600" width="11.83203125" style="1" customWidth="1"/>
    <col min="5601" max="5601" width="9.33203125" style="1"/>
    <col min="5602" max="5602" width="10.1640625" style="1" customWidth="1"/>
    <col min="5603" max="5603" width="10" style="1" customWidth="1"/>
    <col min="5604" max="5604" width="10.83203125" style="1" customWidth="1"/>
    <col min="5605" max="5605" width="11.33203125" style="1" customWidth="1"/>
    <col min="5606" max="5833" width="9.33203125" style="1"/>
    <col min="5834" max="5835" width="4.5" style="1" customWidth="1"/>
    <col min="5836" max="5836" width="8.6640625" style="1" customWidth="1"/>
    <col min="5837" max="5837" width="49.1640625" style="1" customWidth="1"/>
    <col min="5838" max="5838" width="3.1640625" style="1" customWidth="1"/>
    <col min="5839" max="5839" width="8.6640625" style="1" customWidth="1"/>
    <col min="5840" max="5840" width="10.5" style="1" customWidth="1"/>
    <col min="5841" max="5841" width="10.1640625" style="1" customWidth="1"/>
    <col min="5842" max="5842" width="11" style="1" customWidth="1"/>
    <col min="5843" max="5843" width="10.33203125" style="1" customWidth="1"/>
    <col min="5844" max="5844" width="9.83203125" style="1" customWidth="1"/>
    <col min="5845" max="5845" width="11.1640625" style="1" customWidth="1"/>
    <col min="5846" max="5846" width="10.5" style="1" customWidth="1"/>
    <col min="5847" max="5847" width="8.83203125" style="1" customWidth="1"/>
    <col min="5848" max="5848" width="10.33203125" style="1" customWidth="1"/>
    <col min="5849" max="5849" width="10.6640625" style="1" customWidth="1"/>
    <col min="5850" max="5850" width="12.5" style="1" customWidth="1"/>
    <col min="5851" max="5851" width="11.83203125" style="1" customWidth="1"/>
    <col min="5852" max="5852" width="11.1640625" style="1" customWidth="1"/>
    <col min="5853" max="5853" width="11" style="1" customWidth="1"/>
    <col min="5854" max="5854" width="11.1640625" style="1" customWidth="1"/>
    <col min="5855" max="5855" width="10.1640625" style="1" customWidth="1"/>
    <col min="5856" max="5856" width="11.83203125" style="1" customWidth="1"/>
    <col min="5857" max="5857" width="9.33203125" style="1"/>
    <col min="5858" max="5858" width="10.1640625" style="1" customWidth="1"/>
    <col min="5859" max="5859" width="10" style="1" customWidth="1"/>
    <col min="5860" max="5860" width="10.83203125" style="1" customWidth="1"/>
    <col min="5861" max="5861" width="11.33203125" style="1" customWidth="1"/>
    <col min="5862" max="6089" width="9.33203125" style="1"/>
    <col min="6090" max="6091" width="4.5" style="1" customWidth="1"/>
    <col min="6092" max="6092" width="8.6640625" style="1" customWidth="1"/>
    <col min="6093" max="6093" width="49.1640625" style="1" customWidth="1"/>
    <col min="6094" max="6094" width="3.1640625" style="1" customWidth="1"/>
    <col min="6095" max="6095" width="8.6640625" style="1" customWidth="1"/>
    <col min="6096" max="6096" width="10.5" style="1" customWidth="1"/>
    <col min="6097" max="6097" width="10.1640625" style="1" customWidth="1"/>
    <col min="6098" max="6098" width="11" style="1" customWidth="1"/>
    <col min="6099" max="6099" width="10.33203125" style="1" customWidth="1"/>
    <col min="6100" max="6100" width="9.83203125" style="1" customWidth="1"/>
    <col min="6101" max="6101" width="11.1640625" style="1" customWidth="1"/>
    <col min="6102" max="6102" width="10.5" style="1" customWidth="1"/>
    <col min="6103" max="6103" width="8.83203125" style="1" customWidth="1"/>
    <col min="6104" max="6104" width="10.33203125" style="1" customWidth="1"/>
    <col min="6105" max="6105" width="10.6640625" style="1" customWidth="1"/>
    <col min="6106" max="6106" width="12.5" style="1" customWidth="1"/>
    <col min="6107" max="6107" width="11.83203125" style="1" customWidth="1"/>
    <col min="6108" max="6108" width="11.1640625" style="1" customWidth="1"/>
    <col min="6109" max="6109" width="11" style="1" customWidth="1"/>
    <col min="6110" max="6110" width="11.1640625" style="1" customWidth="1"/>
    <col min="6111" max="6111" width="10.1640625" style="1" customWidth="1"/>
    <col min="6112" max="6112" width="11.83203125" style="1" customWidth="1"/>
    <col min="6113" max="6113" width="9.33203125" style="1"/>
    <col min="6114" max="6114" width="10.1640625" style="1" customWidth="1"/>
    <col min="6115" max="6115" width="10" style="1" customWidth="1"/>
    <col min="6116" max="6116" width="10.83203125" style="1" customWidth="1"/>
    <col min="6117" max="6117" width="11.33203125" style="1" customWidth="1"/>
    <col min="6118" max="6345" width="9.33203125" style="1"/>
    <col min="6346" max="6347" width="4.5" style="1" customWidth="1"/>
    <col min="6348" max="6348" width="8.6640625" style="1" customWidth="1"/>
    <col min="6349" max="6349" width="49.1640625" style="1" customWidth="1"/>
    <col min="6350" max="6350" width="3.1640625" style="1" customWidth="1"/>
    <col min="6351" max="6351" width="8.6640625" style="1" customWidth="1"/>
    <col min="6352" max="6352" width="10.5" style="1" customWidth="1"/>
    <col min="6353" max="6353" width="10.1640625" style="1" customWidth="1"/>
    <col min="6354" max="6354" width="11" style="1" customWidth="1"/>
    <col min="6355" max="6355" width="10.33203125" style="1" customWidth="1"/>
    <col min="6356" max="6356" width="9.83203125" style="1" customWidth="1"/>
    <col min="6357" max="6357" width="11.1640625" style="1" customWidth="1"/>
    <col min="6358" max="6358" width="10.5" style="1" customWidth="1"/>
    <col min="6359" max="6359" width="8.83203125" style="1" customWidth="1"/>
    <col min="6360" max="6360" width="10.33203125" style="1" customWidth="1"/>
    <col min="6361" max="6361" width="10.6640625" style="1" customWidth="1"/>
    <col min="6362" max="6362" width="12.5" style="1" customWidth="1"/>
    <col min="6363" max="6363" width="11.83203125" style="1" customWidth="1"/>
    <col min="6364" max="6364" width="11.1640625" style="1" customWidth="1"/>
    <col min="6365" max="6365" width="11" style="1" customWidth="1"/>
    <col min="6366" max="6366" width="11.1640625" style="1" customWidth="1"/>
    <col min="6367" max="6367" width="10.1640625" style="1" customWidth="1"/>
    <col min="6368" max="6368" width="11.83203125" style="1" customWidth="1"/>
    <col min="6369" max="6369" width="9.33203125" style="1"/>
    <col min="6370" max="6370" width="10.1640625" style="1" customWidth="1"/>
    <col min="6371" max="6371" width="10" style="1" customWidth="1"/>
    <col min="6372" max="6372" width="10.83203125" style="1" customWidth="1"/>
    <col min="6373" max="6373" width="11.33203125" style="1" customWidth="1"/>
    <col min="6374" max="6601" width="9.33203125" style="1"/>
    <col min="6602" max="6603" width="4.5" style="1" customWidth="1"/>
    <col min="6604" max="6604" width="8.6640625" style="1" customWidth="1"/>
    <col min="6605" max="6605" width="49.1640625" style="1" customWidth="1"/>
    <col min="6606" max="6606" width="3.1640625" style="1" customWidth="1"/>
    <col min="6607" max="6607" width="8.6640625" style="1" customWidth="1"/>
    <col min="6608" max="6608" width="10.5" style="1" customWidth="1"/>
    <col min="6609" max="6609" width="10.1640625" style="1" customWidth="1"/>
    <col min="6610" max="6610" width="11" style="1" customWidth="1"/>
    <col min="6611" max="6611" width="10.33203125" style="1" customWidth="1"/>
    <col min="6612" max="6612" width="9.83203125" style="1" customWidth="1"/>
    <col min="6613" max="6613" width="11.1640625" style="1" customWidth="1"/>
    <col min="6614" max="6614" width="10.5" style="1" customWidth="1"/>
    <col min="6615" max="6615" width="8.83203125" style="1" customWidth="1"/>
    <col min="6616" max="6616" width="10.33203125" style="1" customWidth="1"/>
    <col min="6617" max="6617" width="10.6640625" style="1" customWidth="1"/>
    <col min="6618" max="6618" width="12.5" style="1" customWidth="1"/>
    <col min="6619" max="6619" width="11.83203125" style="1" customWidth="1"/>
    <col min="6620" max="6620" width="11.1640625" style="1" customWidth="1"/>
    <col min="6621" max="6621" width="11" style="1" customWidth="1"/>
    <col min="6622" max="6622" width="11.1640625" style="1" customWidth="1"/>
    <col min="6623" max="6623" width="10.1640625" style="1" customWidth="1"/>
    <col min="6624" max="6624" width="11.83203125" style="1" customWidth="1"/>
    <col min="6625" max="6625" width="9.33203125" style="1"/>
    <col min="6626" max="6626" width="10.1640625" style="1" customWidth="1"/>
    <col min="6627" max="6627" width="10" style="1" customWidth="1"/>
    <col min="6628" max="6628" width="10.83203125" style="1" customWidth="1"/>
    <col min="6629" max="6629" width="11.33203125" style="1" customWidth="1"/>
    <col min="6630" max="6857" width="9.33203125" style="1"/>
    <col min="6858" max="6859" width="4.5" style="1" customWidth="1"/>
    <col min="6860" max="6860" width="8.6640625" style="1" customWidth="1"/>
    <col min="6861" max="6861" width="49.1640625" style="1" customWidth="1"/>
    <col min="6862" max="6862" width="3.1640625" style="1" customWidth="1"/>
    <col min="6863" max="6863" width="8.6640625" style="1" customWidth="1"/>
    <col min="6864" max="6864" width="10.5" style="1" customWidth="1"/>
    <col min="6865" max="6865" width="10.1640625" style="1" customWidth="1"/>
    <col min="6866" max="6866" width="11" style="1" customWidth="1"/>
    <col min="6867" max="6867" width="10.33203125" style="1" customWidth="1"/>
    <col min="6868" max="6868" width="9.83203125" style="1" customWidth="1"/>
    <col min="6869" max="6869" width="11.1640625" style="1" customWidth="1"/>
    <col min="6870" max="6870" width="10.5" style="1" customWidth="1"/>
    <col min="6871" max="6871" width="8.83203125" style="1" customWidth="1"/>
    <col min="6872" max="6872" width="10.33203125" style="1" customWidth="1"/>
    <col min="6873" max="6873" width="10.6640625" style="1" customWidth="1"/>
    <col min="6874" max="6874" width="12.5" style="1" customWidth="1"/>
    <col min="6875" max="6875" width="11.83203125" style="1" customWidth="1"/>
    <col min="6876" max="6876" width="11.1640625" style="1" customWidth="1"/>
    <col min="6877" max="6877" width="11" style="1" customWidth="1"/>
    <col min="6878" max="6878" width="11.1640625" style="1" customWidth="1"/>
    <col min="6879" max="6879" width="10.1640625" style="1" customWidth="1"/>
    <col min="6880" max="6880" width="11.83203125" style="1" customWidth="1"/>
    <col min="6881" max="6881" width="9.33203125" style="1"/>
    <col min="6882" max="6882" width="10.1640625" style="1" customWidth="1"/>
    <col min="6883" max="6883" width="10" style="1" customWidth="1"/>
    <col min="6884" max="6884" width="10.83203125" style="1" customWidth="1"/>
    <col min="6885" max="6885" width="11.33203125" style="1" customWidth="1"/>
    <col min="6886" max="7113" width="9.33203125" style="1"/>
    <col min="7114" max="7115" width="4.5" style="1" customWidth="1"/>
    <col min="7116" max="7116" width="8.6640625" style="1" customWidth="1"/>
    <col min="7117" max="7117" width="49.1640625" style="1" customWidth="1"/>
    <col min="7118" max="7118" width="3.1640625" style="1" customWidth="1"/>
    <col min="7119" max="7119" width="8.6640625" style="1" customWidth="1"/>
    <col min="7120" max="7120" width="10.5" style="1" customWidth="1"/>
    <col min="7121" max="7121" width="10.1640625" style="1" customWidth="1"/>
    <col min="7122" max="7122" width="11" style="1" customWidth="1"/>
    <col min="7123" max="7123" width="10.33203125" style="1" customWidth="1"/>
    <col min="7124" max="7124" width="9.83203125" style="1" customWidth="1"/>
    <col min="7125" max="7125" width="11.1640625" style="1" customWidth="1"/>
    <col min="7126" max="7126" width="10.5" style="1" customWidth="1"/>
    <col min="7127" max="7127" width="8.83203125" style="1" customWidth="1"/>
    <col min="7128" max="7128" width="10.33203125" style="1" customWidth="1"/>
    <col min="7129" max="7129" width="10.6640625" style="1" customWidth="1"/>
    <col min="7130" max="7130" width="12.5" style="1" customWidth="1"/>
    <col min="7131" max="7131" width="11.83203125" style="1" customWidth="1"/>
    <col min="7132" max="7132" width="11.1640625" style="1" customWidth="1"/>
    <col min="7133" max="7133" width="11" style="1" customWidth="1"/>
    <col min="7134" max="7134" width="11.1640625" style="1" customWidth="1"/>
    <col min="7135" max="7135" width="10.1640625" style="1" customWidth="1"/>
    <col min="7136" max="7136" width="11.83203125" style="1" customWidth="1"/>
    <col min="7137" max="7137" width="9.33203125" style="1"/>
    <col min="7138" max="7138" width="10.1640625" style="1" customWidth="1"/>
    <col min="7139" max="7139" width="10" style="1" customWidth="1"/>
    <col min="7140" max="7140" width="10.83203125" style="1" customWidth="1"/>
    <col min="7141" max="7141" width="11.33203125" style="1" customWidth="1"/>
    <col min="7142" max="7369" width="9.33203125" style="1"/>
    <col min="7370" max="7371" width="4.5" style="1" customWidth="1"/>
    <col min="7372" max="7372" width="8.6640625" style="1" customWidth="1"/>
    <col min="7373" max="7373" width="49.1640625" style="1" customWidth="1"/>
    <col min="7374" max="7374" width="3.1640625" style="1" customWidth="1"/>
    <col min="7375" max="7375" width="8.6640625" style="1" customWidth="1"/>
    <col min="7376" max="7376" width="10.5" style="1" customWidth="1"/>
    <col min="7377" max="7377" width="10.1640625" style="1" customWidth="1"/>
    <col min="7378" max="7378" width="11" style="1" customWidth="1"/>
    <col min="7379" max="7379" width="10.33203125" style="1" customWidth="1"/>
    <col min="7380" max="7380" width="9.83203125" style="1" customWidth="1"/>
    <col min="7381" max="7381" width="11.1640625" style="1" customWidth="1"/>
    <col min="7382" max="7382" width="10.5" style="1" customWidth="1"/>
    <col min="7383" max="7383" width="8.83203125" style="1" customWidth="1"/>
    <col min="7384" max="7384" width="10.33203125" style="1" customWidth="1"/>
    <col min="7385" max="7385" width="10.6640625" style="1" customWidth="1"/>
    <col min="7386" max="7386" width="12.5" style="1" customWidth="1"/>
    <col min="7387" max="7387" width="11.83203125" style="1" customWidth="1"/>
    <col min="7388" max="7388" width="11.1640625" style="1" customWidth="1"/>
    <col min="7389" max="7389" width="11" style="1" customWidth="1"/>
    <col min="7390" max="7390" width="11.1640625" style="1" customWidth="1"/>
    <col min="7391" max="7391" width="10.1640625" style="1" customWidth="1"/>
    <col min="7392" max="7392" width="11.83203125" style="1" customWidth="1"/>
    <col min="7393" max="7393" width="9.33203125" style="1"/>
    <col min="7394" max="7394" width="10.1640625" style="1" customWidth="1"/>
    <col min="7395" max="7395" width="10" style="1" customWidth="1"/>
    <col min="7396" max="7396" width="10.83203125" style="1" customWidth="1"/>
    <col min="7397" max="7397" width="11.33203125" style="1" customWidth="1"/>
    <col min="7398" max="7625" width="9.33203125" style="1"/>
    <col min="7626" max="7627" width="4.5" style="1" customWidth="1"/>
    <col min="7628" max="7628" width="8.6640625" style="1" customWidth="1"/>
    <col min="7629" max="7629" width="49.1640625" style="1" customWidth="1"/>
    <col min="7630" max="7630" width="3.1640625" style="1" customWidth="1"/>
    <col min="7631" max="7631" width="8.6640625" style="1" customWidth="1"/>
    <col min="7632" max="7632" width="10.5" style="1" customWidth="1"/>
    <col min="7633" max="7633" width="10.1640625" style="1" customWidth="1"/>
    <col min="7634" max="7634" width="11" style="1" customWidth="1"/>
    <col min="7635" max="7635" width="10.33203125" style="1" customWidth="1"/>
    <col min="7636" max="7636" width="9.83203125" style="1" customWidth="1"/>
    <col min="7637" max="7637" width="11.1640625" style="1" customWidth="1"/>
    <col min="7638" max="7638" width="10.5" style="1" customWidth="1"/>
    <col min="7639" max="7639" width="8.83203125" style="1" customWidth="1"/>
    <col min="7640" max="7640" width="10.33203125" style="1" customWidth="1"/>
    <col min="7641" max="7641" width="10.6640625" style="1" customWidth="1"/>
    <col min="7642" max="7642" width="12.5" style="1" customWidth="1"/>
    <col min="7643" max="7643" width="11.83203125" style="1" customWidth="1"/>
    <col min="7644" max="7644" width="11.1640625" style="1" customWidth="1"/>
    <col min="7645" max="7645" width="11" style="1" customWidth="1"/>
    <col min="7646" max="7646" width="11.1640625" style="1" customWidth="1"/>
    <col min="7647" max="7647" width="10.1640625" style="1" customWidth="1"/>
    <col min="7648" max="7648" width="11.83203125" style="1" customWidth="1"/>
    <col min="7649" max="7649" width="9.33203125" style="1"/>
    <col min="7650" max="7650" width="10.1640625" style="1" customWidth="1"/>
    <col min="7651" max="7651" width="10" style="1" customWidth="1"/>
    <col min="7652" max="7652" width="10.83203125" style="1" customWidth="1"/>
    <col min="7653" max="7653" width="11.33203125" style="1" customWidth="1"/>
    <col min="7654" max="7881" width="9.33203125" style="1"/>
    <col min="7882" max="7883" width="4.5" style="1" customWidth="1"/>
    <col min="7884" max="7884" width="8.6640625" style="1" customWidth="1"/>
    <col min="7885" max="7885" width="49.1640625" style="1" customWidth="1"/>
    <col min="7886" max="7886" width="3.1640625" style="1" customWidth="1"/>
    <col min="7887" max="7887" width="8.6640625" style="1" customWidth="1"/>
    <col min="7888" max="7888" width="10.5" style="1" customWidth="1"/>
    <col min="7889" max="7889" width="10.1640625" style="1" customWidth="1"/>
    <col min="7890" max="7890" width="11" style="1" customWidth="1"/>
    <col min="7891" max="7891" width="10.33203125" style="1" customWidth="1"/>
    <col min="7892" max="7892" width="9.83203125" style="1" customWidth="1"/>
    <col min="7893" max="7893" width="11.1640625" style="1" customWidth="1"/>
    <col min="7894" max="7894" width="10.5" style="1" customWidth="1"/>
    <col min="7895" max="7895" width="8.83203125" style="1" customWidth="1"/>
    <col min="7896" max="7896" width="10.33203125" style="1" customWidth="1"/>
    <col min="7897" max="7897" width="10.6640625" style="1" customWidth="1"/>
    <col min="7898" max="7898" width="12.5" style="1" customWidth="1"/>
    <col min="7899" max="7899" width="11.83203125" style="1" customWidth="1"/>
    <col min="7900" max="7900" width="11.1640625" style="1" customWidth="1"/>
    <col min="7901" max="7901" width="11" style="1" customWidth="1"/>
    <col min="7902" max="7902" width="11.1640625" style="1" customWidth="1"/>
    <col min="7903" max="7903" width="10.1640625" style="1" customWidth="1"/>
    <col min="7904" max="7904" width="11.83203125" style="1" customWidth="1"/>
    <col min="7905" max="7905" width="9.33203125" style="1"/>
    <col min="7906" max="7906" width="10.1640625" style="1" customWidth="1"/>
    <col min="7907" max="7907" width="10" style="1" customWidth="1"/>
    <col min="7908" max="7908" width="10.83203125" style="1" customWidth="1"/>
    <col min="7909" max="7909" width="11.33203125" style="1" customWidth="1"/>
    <col min="7910" max="8137" width="9.33203125" style="1"/>
    <col min="8138" max="8139" width="4.5" style="1" customWidth="1"/>
    <col min="8140" max="8140" width="8.6640625" style="1" customWidth="1"/>
    <col min="8141" max="8141" width="49.1640625" style="1" customWidth="1"/>
    <col min="8142" max="8142" width="3.1640625" style="1" customWidth="1"/>
    <col min="8143" max="8143" width="8.6640625" style="1" customWidth="1"/>
    <col min="8144" max="8144" width="10.5" style="1" customWidth="1"/>
    <col min="8145" max="8145" width="10.1640625" style="1" customWidth="1"/>
    <col min="8146" max="8146" width="11" style="1" customWidth="1"/>
    <col min="8147" max="8147" width="10.33203125" style="1" customWidth="1"/>
    <col min="8148" max="8148" width="9.83203125" style="1" customWidth="1"/>
    <col min="8149" max="8149" width="11.1640625" style="1" customWidth="1"/>
    <col min="8150" max="8150" width="10.5" style="1" customWidth="1"/>
    <col min="8151" max="8151" width="8.83203125" style="1" customWidth="1"/>
    <col min="8152" max="8152" width="10.33203125" style="1" customWidth="1"/>
    <col min="8153" max="8153" width="10.6640625" style="1" customWidth="1"/>
    <col min="8154" max="8154" width="12.5" style="1" customWidth="1"/>
    <col min="8155" max="8155" width="11.83203125" style="1" customWidth="1"/>
    <col min="8156" max="8156" width="11.1640625" style="1" customWidth="1"/>
    <col min="8157" max="8157" width="11" style="1" customWidth="1"/>
    <col min="8158" max="8158" width="11.1640625" style="1" customWidth="1"/>
    <col min="8159" max="8159" width="10.1640625" style="1" customWidth="1"/>
    <col min="8160" max="8160" width="11.83203125" style="1" customWidth="1"/>
    <col min="8161" max="8161" width="9.33203125" style="1"/>
    <col min="8162" max="8162" width="10.1640625" style="1" customWidth="1"/>
    <col min="8163" max="8163" width="10" style="1" customWidth="1"/>
    <col min="8164" max="8164" width="10.83203125" style="1" customWidth="1"/>
    <col min="8165" max="8165" width="11.33203125" style="1" customWidth="1"/>
    <col min="8166" max="8393" width="9.33203125" style="1"/>
    <col min="8394" max="8395" width="4.5" style="1" customWidth="1"/>
    <col min="8396" max="8396" width="8.6640625" style="1" customWidth="1"/>
    <col min="8397" max="8397" width="49.1640625" style="1" customWidth="1"/>
    <col min="8398" max="8398" width="3.1640625" style="1" customWidth="1"/>
    <col min="8399" max="8399" width="8.6640625" style="1" customWidth="1"/>
    <col min="8400" max="8400" width="10.5" style="1" customWidth="1"/>
    <col min="8401" max="8401" width="10.1640625" style="1" customWidth="1"/>
    <col min="8402" max="8402" width="11" style="1" customWidth="1"/>
    <col min="8403" max="8403" width="10.33203125" style="1" customWidth="1"/>
    <col min="8404" max="8404" width="9.83203125" style="1" customWidth="1"/>
    <col min="8405" max="8405" width="11.1640625" style="1" customWidth="1"/>
    <col min="8406" max="8406" width="10.5" style="1" customWidth="1"/>
    <col min="8407" max="8407" width="8.83203125" style="1" customWidth="1"/>
    <col min="8408" max="8408" width="10.33203125" style="1" customWidth="1"/>
    <col min="8409" max="8409" width="10.6640625" style="1" customWidth="1"/>
    <col min="8410" max="8410" width="12.5" style="1" customWidth="1"/>
    <col min="8411" max="8411" width="11.83203125" style="1" customWidth="1"/>
    <col min="8412" max="8412" width="11.1640625" style="1" customWidth="1"/>
    <col min="8413" max="8413" width="11" style="1" customWidth="1"/>
    <col min="8414" max="8414" width="11.1640625" style="1" customWidth="1"/>
    <col min="8415" max="8415" width="10.1640625" style="1" customWidth="1"/>
    <col min="8416" max="8416" width="11.83203125" style="1" customWidth="1"/>
    <col min="8417" max="8417" width="9.33203125" style="1"/>
    <col min="8418" max="8418" width="10.1640625" style="1" customWidth="1"/>
    <col min="8419" max="8419" width="10" style="1" customWidth="1"/>
    <col min="8420" max="8420" width="10.83203125" style="1" customWidth="1"/>
    <col min="8421" max="8421" width="11.33203125" style="1" customWidth="1"/>
    <col min="8422" max="8649" width="9.33203125" style="1"/>
    <col min="8650" max="8651" width="4.5" style="1" customWidth="1"/>
    <col min="8652" max="8652" width="8.6640625" style="1" customWidth="1"/>
    <col min="8653" max="8653" width="49.1640625" style="1" customWidth="1"/>
    <col min="8654" max="8654" width="3.1640625" style="1" customWidth="1"/>
    <col min="8655" max="8655" width="8.6640625" style="1" customWidth="1"/>
    <col min="8656" max="8656" width="10.5" style="1" customWidth="1"/>
    <col min="8657" max="8657" width="10.1640625" style="1" customWidth="1"/>
    <col min="8658" max="8658" width="11" style="1" customWidth="1"/>
    <col min="8659" max="8659" width="10.33203125" style="1" customWidth="1"/>
    <col min="8660" max="8660" width="9.83203125" style="1" customWidth="1"/>
    <col min="8661" max="8661" width="11.1640625" style="1" customWidth="1"/>
    <col min="8662" max="8662" width="10.5" style="1" customWidth="1"/>
    <col min="8663" max="8663" width="8.83203125" style="1" customWidth="1"/>
    <col min="8664" max="8664" width="10.33203125" style="1" customWidth="1"/>
    <col min="8665" max="8665" width="10.6640625" style="1" customWidth="1"/>
    <col min="8666" max="8666" width="12.5" style="1" customWidth="1"/>
    <col min="8667" max="8667" width="11.83203125" style="1" customWidth="1"/>
    <col min="8668" max="8668" width="11.1640625" style="1" customWidth="1"/>
    <col min="8669" max="8669" width="11" style="1" customWidth="1"/>
    <col min="8670" max="8670" width="11.1640625" style="1" customWidth="1"/>
    <col min="8671" max="8671" width="10.1640625" style="1" customWidth="1"/>
    <col min="8672" max="8672" width="11.83203125" style="1" customWidth="1"/>
    <col min="8673" max="8673" width="9.33203125" style="1"/>
    <col min="8674" max="8674" width="10.1640625" style="1" customWidth="1"/>
    <col min="8675" max="8675" width="10" style="1" customWidth="1"/>
    <col min="8676" max="8676" width="10.83203125" style="1" customWidth="1"/>
    <col min="8677" max="8677" width="11.33203125" style="1" customWidth="1"/>
    <col min="8678" max="8905" width="9.33203125" style="1"/>
    <col min="8906" max="8907" width="4.5" style="1" customWidth="1"/>
    <col min="8908" max="8908" width="8.6640625" style="1" customWidth="1"/>
    <col min="8909" max="8909" width="49.1640625" style="1" customWidth="1"/>
    <col min="8910" max="8910" width="3.1640625" style="1" customWidth="1"/>
    <col min="8911" max="8911" width="8.6640625" style="1" customWidth="1"/>
    <col min="8912" max="8912" width="10.5" style="1" customWidth="1"/>
    <col min="8913" max="8913" width="10.1640625" style="1" customWidth="1"/>
    <col min="8914" max="8914" width="11" style="1" customWidth="1"/>
    <col min="8915" max="8915" width="10.33203125" style="1" customWidth="1"/>
    <col min="8916" max="8916" width="9.83203125" style="1" customWidth="1"/>
    <col min="8917" max="8917" width="11.1640625" style="1" customWidth="1"/>
    <col min="8918" max="8918" width="10.5" style="1" customWidth="1"/>
    <col min="8919" max="8919" width="8.83203125" style="1" customWidth="1"/>
    <col min="8920" max="8920" width="10.33203125" style="1" customWidth="1"/>
    <col min="8921" max="8921" width="10.6640625" style="1" customWidth="1"/>
    <col min="8922" max="8922" width="12.5" style="1" customWidth="1"/>
    <col min="8923" max="8923" width="11.83203125" style="1" customWidth="1"/>
    <col min="8924" max="8924" width="11.1640625" style="1" customWidth="1"/>
    <col min="8925" max="8925" width="11" style="1" customWidth="1"/>
    <col min="8926" max="8926" width="11.1640625" style="1" customWidth="1"/>
    <col min="8927" max="8927" width="10.1640625" style="1" customWidth="1"/>
    <col min="8928" max="8928" width="11.83203125" style="1" customWidth="1"/>
    <col min="8929" max="8929" width="9.33203125" style="1"/>
    <col min="8930" max="8930" width="10.1640625" style="1" customWidth="1"/>
    <col min="8931" max="8931" width="10" style="1" customWidth="1"/>
    <col min="8932" max="8932" width="10.83203125" style="1" customWidth="1"/>
    <col min="8933" max="8933" width="11.33203125" style="1" customWidth="1"/>
    <col min="8934" max="9161" width="9.33203125" style="1"/>
    <col min="9162" max="9163" width="4.5" style="1" customWidth="1"/>
    <col min="9164" max="9164" width="8.6640625" style="1" customWidth="1"/>
    <col min="9165" max="9165" width="49.1640625" style="1" customWidth="1"/>
    <col min="9166" max="9166" width="3.1640625" style="1" customWidth="1"/>
    <col min="9167" max="9167" width="8.6640625" style="1" customWidth="1"/>
    <col min="9168" max="9168" width="10.5" style="1" customWidth="1"/>
    <col min="9169" max="9169" width="10.1640625" style="1" customWidth="1"/>
    <col min="9170" max="9170" width="11" style="1" customWidth="1"/>
    <col min="9171" max="9171" width="10.33203125" style="1" customWidth="1"/>
    <col min="9172" max="9172" width="9.83203125" style="1" customWidth="1"/>
    <col min="9173" max="9173" width="11.1640625" style="1" customWidth="1"/>
    <col min="9174" max="9174" width="10.5" style="1" customWidth="1"/>
    <col min="9175" max="9175" width="8.83203125" style="1" customWidth="1"/>
    <col min="9176" max="9176" width="10.33203125" style="1" customWidth="1"/>
    <col min="9177" max="9177" width="10.6640625" style="1" customWidth="1"/>
    <col min="9178" max="9178" width="12.5" style="1" customWidth="1"/>
    <col min="9179" max="9179" width="11.83203125" style="1" customWidth="1"/>
    <col min="9180" max="9180" width="11.1640625" style="1" customWidth="1"/>
    <col min="9181" max="9181" width="11" style="1" customWidth="1"/>
    <col min="9182" max="9182" width="11.1640625" style="1" customWidth="1"/>
    <col min="9183" max="9183" width="10.1640625" style="1" customWidth="1"/>
    <col min="9184" max="9184" width="11.83203125" style="1" customWidth="1"/>
    <col min="9185" max="9185" width="9.33203125" style="1"/>
    <col min="9186" max="9186" width="10.1640625" style="1" customWidth="1"/>
    <col min="9187" max="9187" width="10" style="1" customWidth="1"/>
    <col min="9188" max="9188" width="10.83203125" style="1" customWidth="1"/>
    <col min="9189" max="9189" width="11.33203125" style="1" customWidth="1"/>
    <col min="9190" max="9417" width="9.33203125" style="1"/>
    <col min="9418" max="9419" width="4.5" style="1" customWidth="1"/>
    <col min="9420" max="9420" width="8.6640625" style="1" customWidth="1"/>
    <col min="9421" max="9421" width="49.1640625" style="1" customWidth="1"/>
    <col min="9422" max="9422" width="3.1640625" style="1" customWidth="1"/>
    <col min="9423" max="9423" width="8.6640625" style="1" customWidth="1"/>
    <col min="9424" max="9424" width="10.5" style="1" customWidth="1"/>
    <col min="9425" max="9425" width="10.1640625" style="1" customWidth="1"/>
    <col min="9426" max="9426" width="11" style="1" customWidth="1"/>
    <col min="9427" max="9427" width="10.33203125" style="1" customWidth="1"/>
    <col min="9428" max="9428" width="9.83203125" style="1" customWidth="1"/>
    <col min="9429" max="9429" width="11.1640625" style="1" customWidth="1"/>
    <col min="9430" max="9430" width="10.5" style="1" customWidth="1"/>
    <col min="9431" max="9431" width="8.83203125" style="1" customWidth="1"/>
    <col min="9432" max="9432" width="10.33203125" style="1" customWidth="1"/>
    <col min="9433" max="9433" width="10.6640625" style="1" customWidth="1"/>
    <col min="9434" max="9434" width="12.5" style="1" customWidth="1"/>
    <col min="9435" max="9435" width="11.83203125" style="1" customWidth="1"/>
    <col min="9436" max="9436" width="11.1640625" style="1" customWidth="1"/>
    <col min="9437" max="9437" width="11" style="1" customWidth="1"/>
    <col min="9438" max="9438" width="11.1640625" style="1" customWidth="1"/>
    <col min="9439" max="9439" width="10.1640625" style="1" customWidth="1"/>
    <col min="9440" max="9440" width="11.83203125" style="1" customWidth="1"/>
    <col min="9441" max="9441" width="9.33203125" style="1"/>
    <col min="9442" max="9442" width="10.1640625" style="1" customWidth="1"/>
    <col min="9443" max="9443" width="10" style="1" customWidth="1"/>
    <col min="9444" max="9444" width="10.83203125" style="1" customWidth="1"/>
    <col min="9445" max="9445" width="11.33203125" style="1" customWidth="1"/>
    <col min="9446" max="9673" width="9.33203125" style="1"/>
    <col min="9674" max="9675" width="4.5" style="1" customWidth="1"/>
    <col min="9676" max="9676" width="8.6640625" style="1" customWidth="1"/>
    <col min="9677" max="9677" width="49.1640625" style="1" customWidth="1"/>
    <col min="9678" max="9678" width="3.1640625" style="1" customWidth="1"/>
    <col min="9679" max="9679" width="8.6640625" style="1" customWidth="1"/>
    <col min="9680" max="9680" width="10.5" style="1" customWidth="1"/>
    <col min="9681" max="9681" width="10.1640625" style="1" customWidth="1"/>
    <col min="9682" max="9682" width="11" style="1" customWidth="1"/>
    <col min="9683" max="9683" width="10.33203125" style="1" customWidth="1"/>
    <col min="9684" max="9684" width="9.83203125" style="1" customWidth="1"/>
    <col min="9685" max="9685" width="11.1640625" style="1" customWidth="1"/>
    <col min="9686" max="9686" width="10.5" style="1" customWidth="1"/>
    <col min="9687" max="9687" width="8.83203125" style="1" customWidth="1"/>
    <col min="9688" max="9688" width="10.33203125" style="1" customWidth="1"/>
    <col min="9689" max="9689" width="10.6640625" style="1" customWidth="1"/>
    <col min="9690" max="9690" width="12.5" style="1" customWidth="1"/>
    <col min="9691" max="9691" width="11.83203125" style="1" customWidth="1"/>
    <col min="9692" max="9692" width="11.1640625" style="1" customWidth="1"/>
    <col min="9693" max="9693" width="11" style="1" customWidth="1"/>
    <col min="9694" max="9694" width="11.1640625" style="1" customWidth="1"/>
    <col min="9695" max="9695" width="10.1640625" style="1" customWidth="1"/>
    <col min="9696" max="9696" width="11.83203125" style="1" customWidth="1"/>
    <col min="9697" max="9697" width="9.33203125" style="1"/>
    <col min="9698" max="9698" width="10.1640625" style="1" customWidth="1"/>
    <col min="9699" max="9699" width="10" style="1" customWidth="1"/>
    <col min="9700" max="9700" width="10.83203125" style="1" customWidth="1"/>
    <col min="9701" max="9701" width="11.33203125" style="1" customWidth="1"/>
    <col min="9702" max="9929" width="9.33203125" style="1"/>
    <col min="9930" max="9931" width="4.5" style="1" customWidth="1"/>
    <col min="9932" max="9932" width="8.6640625" style="1" customWidth="1"/>
    <col min="9933" max="9933" width="49.1640625" style="1" customWidth="1"/>
    <col min="9934" max="9934" width="3.1640625" style="1" customWidth="1"/>
    <col min="9935" max="9935" width="8.6640625" style="1" customWidth="1"/>
    <col min="9936" max="9936" width="10.5" style="1" customWidth="1"/>
    <col min="9937" max="9937" width="10.1640625" style="1" customWidth="1"/>
    <col min="9938" max="9938" width="11" style="1" customWidth="1"/>
    <col min="9939" max="9939" width="10.33203125" style="1" customWidth="1"/>
    <col min="9940" max="9940" width="9.83203125" style="1" customWidth="1"/>
    <col min="9941" max="9941" width="11.1640625" style="1" customWidth="1"/>
    <col min="9942" max="9942" width="10.5" style="1" customWidth="1"/>
    <col min="9943" max="9943" width="8.83203125" style="1" customWidth="1"/>
    <col min="9944" max="9944" width="10.33203125" style="1" customWidth="1"/>
    <col min="9945" max="9945" width="10.6640625" style="1" customWidth="1"/>
    <col min="9946" max="9946" width="12.5" style="1" customWidth="1"/>
    <col min="9947" max="9947" width="11.83203125" style="1" customWidth="1"/>
    <col min="9948" max="9948" width="11.1640625" style="1" customWidth="1"/>
    <col min="9949" max="9949" width="11" style="1" customWidth="1"/>
    <col min="9950" max="9950" width="11.1640625" style="1" customWidth="1"/>
    <col min="9951" max="9951" width="10.1640625" style="1" customWidth="1"/>
    <col min="9952" max="9952" width="11.83203125" style="1" customWidth="1"/>
    <col min="9953" max="9953" width="9.33203125" style="1"/>
    <col min="9954" max="9954" width="10.1640625" style="1" customWidth="1"/>
    <col min="9955" max="9955" width="10" style="1" customWidth="1"/>
    <col min="9956" max="9956" width="10.83203125" style="1" customWidth="1"/>
    <col min="9957" max="9957" width="11.33203125" style="1" customWidth="1"/>
    <col min="9958" max="10185" width="9.33203125" style="1"/>
    <col min="10186" max="10187" width="4.5" style="1" customWidth="1"/>
    <col min="10188" max="10188" width="8.6640625" style="1" customWidth="1"/>
    <col min="10189" max="10189" width="49.1640625" style="1" customWidth="1"/>
    <col min="10190" max="10190" width="3.1640625" style="1" customWidth="1"/>
    <col min="10191" max="10191" width="8.6640625" style="1" customWidth="1"/>
    <col min="10192" max="10192" width="10.5" style="1" customWidth="1"/>
    <col min="10193" max="10193" width="10.1640625" style="1" customWidth="1"/>
    <col min="10194" max="10194" width="11" style="1" customWidth="1"/>
    <col min="10195" max="10195" width="10.33203125" style="1" customWidth="1"/>
    <col min="10196" max="10196" width="9.83203125" style="1" customWidth="1"/>
    <col min="10197" max="10197" width="11.1640625" style="1" customWidth="1"/>
    <col min="10198" max="10198" width="10.5" style="1" customWidth="1"/>
    <col min="10199" max="10199" width="8.83203125" style="1" customWidth="1"/>
    <col min="10200" max="10200" width="10.33203125" style="1" customWidth="1"/>
    <col min="10201" max="10201" width="10.6640625" style="1" customWidth="1"/>
    <col min="10202" max="10202" width="12.5" style="1" customWidth="1"/>
    <col min="10203" max="10203" width="11.83203125" style="1" customWidth="1"/>
    <col min="10204" max="10204" width="11.1640625" style="1" customWidth="1"/>
    <col min="10205" max="10205" width="11" style="1" customWidth="1"/>
    <col min="10206" max="10206" width="11.1640625" style="1" customWidth="1"/>
    <col min="10207" max="10207" width="10.1640625" style="1" customWidth="1"/>
    <col min="10208" max="10208" width="11.83203125" style="1" customWidth="1"/>
    <col min="10209" max="10209" width="9.33203125" style="1"/>
    <col min="10210" max="10210" width="10.1640625" style="1" customWidth="1"/>
    <col min="10211" max="10211" width="10" style="1" customWidth="1"/>
    <col min="10212" max="10212" width="10.83203125" style="1" customWidth="1"/>
    <col min="10213" max="10213" width="11.33203125" style="1" customWidth="1"/>
    <col min="10214" max="10441" width="9.33203125" style="1"/>
    <col min="10442" max="10443" width="4.5" style="1" customWidth="1"/>
    <col min="10444" max="10444" width="8.6640625" style="1" customWidth="1"/>
    <col min="10445" max="10445" width="49.1640625" style="1" customWidth="1"/>
    <col min="10446" max="10446" width="3.1640625" style="1" customWidth="1"/>
    <col min="10447" max="10447" width="8.6640625" style="1" customWidth="1"/>
    <col min="10448" max="10448" width="10.5" style="1" customWidth="1"/>
    <col min="10449" max="10449" width="10.1640625" style="1" customWidth="1"/>
    <col min="10450" max="10450" width="11" style="1" customWidth="1"/>
    <col min="10451" max="10451" width="10.33203125" style="1" customWidth="1"/>
    <col min="10452" max="10452" width="9.83203125" style="1" customWidth="1"/>
    <col min="10453" max="10453" width="11.1640625" style="1" customWidth="1"/>
    <col min="10454" max="10454" width="10.5" style="1" customWidth="1"/>
    <col min="10455" max="10455" width="8.83203125" style="1" customWidth="1"/>
    <col min="10456" max="10456" width="10.33203125" style="1" customWidth="1"/>
    <col min="10457" max="10457" width="10.6640625" style="1" customWidth="1"/>
    <col min="10458" max="10458" width="12.5" style="1" customWidth="1"/>
    <col min="10459" max="10459" width="11.83203125" style="1" customWidth="1"/>
    <col min="10460" max="10460" width="11.1640625" style="1" customWidth="1"/>
    <col min="10461" max="10461" width="11" style="1" customWidth="1"/>
    <col min="10462" max="10462" width="11.1640625" style="1" customWidth="1"/>
    <col min="10463" max="10463" width="10.1640625" style="1" customWidth="1"/>
    <col min="10464" max="10464" width="11.83203125" style="1" customWidth="1"/>
    <col min="10465" max="10465" width="9.33203125" style="1"/>
    <col min="10466" max="10466" width="10.1640625" style="1" customWidth="1"/>
    <col min="10467" max="10467" width="10" style="1" customWidth="1"/>
    <col min="10468" max="10468" width="10.83203125" style="1" customWidth="1"/>
    <col min="10469" max="10469" width="11.33203125" style="1" customWidth="1"/>
    <col min="10470" max="10697" width="9.33203125" style="1"/>
    <col min="10698" max="10699" width="4.5" style="1" customWidth="1"/>
    <col min="10700" max="10700" width="8.6640625" style="1" customWidth="1"/>
    <col min="10701" max="10701" width="49.1640625" style="1" customWidth="1"/>
    <col min="10702" max="10702" width="3.1640625" style="1" customWidth="1"/>
    <col min="10703" max="10703" width="8.6640625" style="1" customWidth="1"/>
    <col min="10704" max="10704" width="10.5" style="1" customWidth="1"/>
    <col min="10705" max="10705" width="10.1640625" style="1" customWidth="1"/>
    <col min="10706" max="10706" width="11" style="1" customWidth="1"/>
    <col min="10707" max="10707" width="10.33203125" style="1" customWidth="1"/>
    <col min="10708" max="10708" width="9.83203125" style="1" customWidth="1"/>
    <col min="10709" max="10709" width="11.1640625" style="1" customWidth="1"/>
    <col min="10710" max="10710" width="10.5" style="1" customWidth="1"/>
    <col min="10711" max="10711" width="8.83203125" style="1" customWidth="1"/>
    <col min="10712" max="10712" width="10.33203125" style="1" customWidth="1"/>
    <col min="10713" max="10713" width="10.6640625" style="1" customWidth="1"/>
    <col min="10714" max="10714" width="12.5" style="1" customWidth="1"/>
    <col min="10715" max="10715" width="11.83203125" style="1" customWidth="1"/>
    <col min="10716" max="10716" width="11.1640625" style="1" customWidth="1"/>
    <col min="10717" max="10717" width="11" style="1" customWidth="1"/>
    <col min="10718" max="10718" width="11.1640625" style="1" customWidth="1"/>
    <col min="10719" max="10719" width="10.1640625" style="1" customWidth="1"/>
    <col min="10720" max="10720" width="11.83203125" style="1" customWidth="1"/>
    <col min="10721" max="10721" width="9.33203125" style="1"/>
    <col min="10722" max="10722" width="10.1640625" style="1" customWidth="1"/>
    <col min="10723" max="10723" width="10" style="1" customWidth="1"/>
    <col min="10724" max="10724" width="10.83203125" style="1" customWidth="1"/>
    <col min="10725" max="10725" width="11.33203125" style="1" customWidth="1"/>
    <col min="10726" max="10953" width="9.33203125" style="1"/>
    <col min="10954" max="10955" width="4.5" style="1" customWidth="1"/>
    <col min="10956" max="10956" width="8.6640625" style="1" customWidth="1"/>
    <col min="10957" max="10957" width="49.1640625" style="1" customWidth="1"/>
    <col min="10958" max="10958" width="3.1640625" style="1" customWidth="1"/>
    <col min="10959" max="10959" width="8.6640625" style="1" customWidth="1"/>
    <col min="10960" max="10960" width="10.5" style="1" customWidth="1"/>
    <col min="10961" max="10961" width="10.1640625" style="1" customWidth="1"/>
    <col min="10962" max="10962" width="11" style="1" customWidth="1"/>
    <col min="10963" max="10963" width="10.33203125" style="1" customWidth="1"/>
    <col min="10964" max="10964" width="9.83203125" style="1" customWidth="1"/>
    <col min="10965" max="10965" width="11.1640625" style="1" customWidth="1"/>
    <col min="10966" max="10966" width="10.5" style="1" customWidth="1"/>
    <col min="10967" max="10967" width="8.83203125" style="1" customWidth="1"/>
    <col min="10968" max="10968" width="10.33203125" style="1" customWidth="1"/>
    <col min="10969" max="10969" width="10.6640625" style="1" customWidth="1"/>
    <col min="10970" max="10970" width="12.5" style="1" customWidth="1"/>
    <col min="10971" max="10971" width="11.83203125" style="1" customWidth="1"/>
    <col min="10972" max="10972" width="11.1640625" style="1" customWidth="1"/>
    <col min="10973" max="10973" width="11" style="1" customWidth="1"/>
    <col min="10974" max="10974" width="11.1640625" style="1" customWidth="1"/>
    <col min="10975" max="10975" width="10.1640625" style="1" customWidth="1"/>
    <col min="10976" max="10976" width="11.83203125" style="1" customWidth="1"/>
    <col min="10977" max="10977" width="9.33203125" style="1"/>
    <col min="10978" max="10978" width="10.1640625" style="1" customWidth="1"/>
    <col min="10979" max="10979" width="10" style="1" customWidth="1"/>
    <col min="10980" max="10980" width="10.83203125" style="1" customWidth="1"/>
    <col min="10981" max="10981" width="11.33203125" style="1" customWidth="1"/>
    <col min="10982" max="11209" width="9.33203125" style="1"/>
    <col min="11210" max="11211" width="4.5" style="1" customWidth="1"/>
    <col min="11212" max="11212" width="8.6640625" style="1" customWidth="1"/>
    <col min="11213" max="11213" width="49.1640625" style="1" customWidth="1"/>
    <col min="11214" max="11214" width="3.1640625" style="1" customWidth="1"/>
    <col min="11215" max="11215" width="8.6640625" style="1" customWidth="1"/>
    <col min="11216" max="11216" width="10.5" style="1" customWidth="1"/>
    <col min="11217" max="11217" width="10.1640625" style="1" customWidth="1"/>
    <col min="11218" max="11218" width="11" style="1" customWidth="1"/>
    <col min="11219" max="11219" width="10.33203125" style="1" customWidth="1"/>
    <col min="11220" max="11220" width="9.83203125" style="1" customWidth="1"/>
    <col min="11221" max="11221" width="11.1640625" style="1" customWidth="1"/>
    <col min="11222" max="11222" width="10.5" style="1" customWidth="1"/>
    <col min="11223" max="11223" width="8.83203125" style="1" customWidth="1"/>
    <col min="11224" max="11224" width="10.33203125" style="1" customWidth="1"/>
    <col min="11225" max="11225" width="10.6640625" style="1" customWidth="1"/>
    <col min="11226" max="11226" width="12.5" style="1" customWidth="1"/>
    <col min="11227" max="11227" width="11.83203125" style="1" customWidth="1"/>
    <col min="11228" max="11228" width="11.1640625" style="1" customWidth="1"/>
    <col min="11229" max="11229" width="11" style="1" customWidth="1"/>
    <col min="11230" max="11230" width="11.1640625" style="1" customWidth="1"/>
    <col min="11231" max="11231" width="10.1640625" style="1" customWidth="1"/>
    <col min="11232" max="11232" width="11.83203125" style="1" customWidth="1"/>
    <col min="11233" max="11233" width="9.33203125" style="1"/>
    <col min="11234" max="11234" width="10.1640625" style="1" customWidth="1"/>
    <col min="11235" max="11235" width="10" style="1" customWidth="1"/>
    <col min="11236" max="11236" width="10.83203125" style="1" customWidth="1"/>
    <col min="11237" max="11237" width="11.33203125" style="1" customWidth="1"/>
    <col min="11238" max="11465" width="9.33203125" style="1"/>
    <col min="11466" max="11467" width="4.5" style="1" customWidth="1"/>
    <col min="11468" max="11468" width="8.6640625" style="1" customWidth="1"/>
    <col min="11469" max="11469" width="49.1640625" style="1" customWidth="1"/>
    <col min="11470" max="11470" width="3.1640625" style="1" customWidth="1"/>
    <col min="11471" max="11471" width="8.6640625" style="1" customWidth="1"/>
    <col min="11472" max="11472" width="10.5" style="1" customWidth="1"/>
    <col min="11473" max="11473" width="10.1640625" style="1" customWidth="1"/>
    <col min="11474" max="11474" width="11" style="1" customWidth="1"/>
    <col min="11475" max="11475" width="10.33203125" style="1" customWidth="1"/>
    <col min="11476" max="11476" width="9.83203125" style="1" customWidth="1"/>
    <col min="11477" max="11477" width="11.1640625" style="1" customWidth="1"/>
    <col min="11478" max="11478" width="10.5" style="1" customWidth="1"/>
    <col min="11479" max="11479" width="8.83203125" style="1" customWidth="1"/>
    <col min="11480" max="11480" width="10.33203125" style="1" customWidth="1"/>
    <col min="11481" max="11481" width="10.6640625" style="1" customWidth="1"/>
    <col min="11482" max="11482" width="12.5" style="1" customWidth="1"/>
    <col min="11483" max="11483" width="11.83203125" style="1" customWidth="1"/>
    <col min="11484" max="11484" width="11.1640625" style="1" customWidth="1"/>
    <col min="11485" max="11485" width="11" style="1" customWidth="1"/>
    <col min="11486" max="11486" width="11.1640625" style="1" customWidth="1"/>
    <col min="11487" max="11487" width="10.1640625" style="1" customWidth="1"/>
    <col min="11488" max="11488" width="11.83203125" style="1" customWidth="1"/>
    <col min="11489" max="11489" width="9.33203125" style="1"/>
    <col min="11490" max="11490" width="10.1640625" style="1" customWidth="1"/>
    <col min="11491" max="11491" width="10" style="1" customWidth="1"/>
    <col min="11492" max="11492" width="10.83203125" style="1" customWidth="1"/>
    <col min="11493" max="11493" width="11.33203125" style="1" customWidth="1"/>
    <col min="11494" max="11721" width="9.33203125" style="1"/>
    <col min="11722" max="11723" width="4.5" style="1" customWidth="1"/>
    <col min="11724" max="11724" width="8.6640625" style="1" customWidth="1"/>
    <col min="11725" max="11725" width="49.1640625" style="1" customWidth="1"/>
    <col min="11726" max="11726" width="3.1640625" style="1" customWidth="1"/>
    <col min="11727" max="11727" width="8.6640625" style="1" customWidth="1"/>
    <col min="11728" max="11728" width="10.5" style="1" customWidth="1"/>
    <col min="11729" max="11729" width="10.1640625" style="1" customWidth="1"/>
    <col min="11730" max="11730" width="11" style="1" customWidth="1"/>
    <col min="11731" max="11731" width="10.33203125" style="1" customWidth="1"/>
    <col min="11732" max="11732" width="9.83203125" style="1" customWidth="1"/>
    <col min="11733" max="11733" width="11.1640625" style="1" customWidth="1"/>
    <col min="11734" max="11734" width="10.5" style="1" customWidth="1"/>
    <col min="11735" max="11735" width="8.83203125" style="1" customWidth="1"/>
    <col min="11736" max="11736" width="10.33203125" style="1" customWidth="1"/>
    <col min="11737" max="11737" width="10.6640625" style="1" customWidth="1"/>
    <col min="11738" max="11738" width="12.5" style="1" customWidth="1"/>
    <col min="11739" max="11739" width="11.83203125" style="1" customWidth="1"/>
    <col min="11740" max="11740" width="11.1640625" style="1" customWidth="1"/>
    <col min="11741" max="11741" width="11" style="1" customWidth="1"/>
    <col min="11742" max="11742" width="11.1640625" style="1" customWidth="1"/>
    <col min="11743" max="11743" width="10.1640625" style="1" customWidth="1"/>
    <col min="11744" max="11744" width="11.83203125" style="1" customWidth="1"/>
    <col min="11745" max="11745" width="9.33203125" style="1"/>
    <col min="11746" max="11746" width="10.1640625" style="1" customWidth="1"/>
    <col min="11747" max="11747" width="10" style="1" customWidth="1"/>
    <col min="11748" max="11748" width="10.83203125" style="1" customWidth="1"/>
    <col min="11749" max="11749" width="11.33203125" style="1" customWidth="1"/>
    <col min="11750" max="11977" width="9.33203125" style="1"/>
    <col min="11978" max="11979" width="4.5" style="1" customWidth="1"/>
    <col min="11980" max="11980" width="8.6640625" style="1" customWidth="1"/>
    <col min="11981" max="11981" width="49.1640625" style="1" customWidth="1"/>
    <col min="11982" max="11982" width="3.1640625" style="1" customWidth="1"/>
    <col min="11983" max="11983" width="8.6640625" style="1" customWidth="1"/>
    <col min="11984" max="11984" width="10.5" style="1" customWidth="1"/>
    <col min="11985" max="11985" width="10.1640625" style="1" customWidth="1"/>
    <col min="11986" max="11986" width="11" style="1" customWidth="1"/>
    <col min="11987" max="11987" width="10.33203125" style="1" customWidth="1"/>
    <col min="11988" max="11988" width="9.83203125" style="1" customWidth="1"/>
    <col min="11989" max="11989" width="11.1640625" style="1" customWidth="1"/>
    <col min="11990" max="11990" width="10.5" style="1" customWidth="1"/>
    <col min="11991" max="11991" width="8.83203125" style="1" customWidth="1"/>
    <col min="11992" max="11992" width="10.33203125" style="1" customWidth="1"/>
    <col min="11993" max="11993" width="10.6640625" style="1" customWidth="1"/>
    <col min="11994" max="11994" width="12.5" style="1" customWidth="1"/>
    <col min="11995" max="11995" width="11.83203125" style="1" customWidth="1"/>
    <col min="11996" max="11996" width="11.1640625" style="1" customWidth="1"/>
    <col min="11997" max="11997" width="11" style="1" customWidth="1"/>
    <col min="11998" max="11998" width="11.1640625" style="1" customWidth="1"/>
    <col min="11999" max="11999" width="10.1640625" style="1" customWidth="1"/>
    <col min="12000" max="12000" width="11.83203125" style="1" customWidth="1"/>
    <col min="12001" max="12001" width="9.33203125" style="1"/>
    <col min="12002" max="12002" width="10.1640625" style="1" customWidth="1"/>
    <col min="12003" max="12003" width="10" style="1" customWidth="1"/>
    <col min="12004" max="12004" width="10.83203125" style="1" customWidth="1"/>
    <col min="12005" max="12005" width="11.33203125" style="1" customWidth="1"/>
    <col min="12006" max="12233" width="9.33203125" style="1"/>
    <col min="12234" max="12235" width="4.5" style="1" customWidth="1"/>
    <col min="12236" max="12236" width="8.6640625" style="1" customWidth="1"/>
    <col min="12237" max="12237" width="49.1640625" style="1" customWidth="1"/>
    <col min="12238" max="12238" width="3.1640625" style="1" customWidth="1"/>
    <col min="12239" max="12239" width="8.6640625" style="1" customWidth="1"/>
    <col min="12240" max="12240" width="10.5" style="1" customWidth="1"/>
    <col min="12241" max="12241" width="10.1640625" style="1" customWidth="1"/>
    <col min="12242" max="12242" width="11" style="1" customWidth="1"/>
    <col min="12243" max="12243" width="10.33203125" style="1" customWidth="1"/>
    <col min="12244" max="12244" width="9.83203125" style="1" customWidth="1"/>
    <col min="12245" max="12245" width="11.1640625" style="1" customWidth="1"/>
    <col min="12246" max="12246" width="10.5" style="1" customWidth="1"/>
    <col min="12247" max="12247" width="8.83203125" style="1" customWidth="1"/>
    <col min="12248" max="12248" width="10.33203125" style="1" customWidth="1"/>
    <col min="12249" max="12249" width="10.6640625" style="1" customWidth="1"/>
    <col min="12250" max="12250" width="12.5" style="1" customWidth="1"/>
    <col min="12251" max="12251" width="11.83203125" style="1" customWidth="1"/>
    <col min="12252" max="12252" width="11.1640625" style="1" customWidth="1"/>
    <col min="12253" max="12253" width="11" style="1" customWidth="1"/>
    <col min="12254" max="12254" width="11.1640625" style="1" customWidth="1"/>
    <col min="12255" max="12255" width="10.1640625" style="1" customWidth="1"/>
    <col min="12256" max="12256" width="11.83203125" style="1" customWidth="1"/>
    <col min="12257" max="12257" width="9.33203125" style="1"/>
    <col min="12258" max="12258" width="10.1640625" style="1" customWidth="1"/>
    <col min="12259" max="12259" width="10" style="1" customWidth="1"/>
    <col min="12260" max="12260" width="10.83203125" style="1" customWidth="1"/>
    <col min="12261" max="12261" width="11.33203125" style="1" customWidth="1"/>
    <col min="12262" max="12489" width="9.33203125" style="1"/>
    <col min="12490" max="12491" width="4.5" style="1" customWidth="1"/>
    <col min="12492" max="12492" width="8.6640625" style="1" customWidth="1"/>
    <col min="12493" max="12493" width="49.1640625" style="1" customWidth="1"/>
    <col min="12494" max="12494" width="3.1640625" style="1" customWidth="1"/>
    <col min="12495" max="12495" width="8.6640625" style="1" customWidth="1"/>
    <col min="12496" max="12496" width="10.5" style="1" customWidth="1"/>
    <col min="12497" max="12497" width="10.1640625" style="1" customWidth="1"/>
    <col min="12498" max="12498" width="11" style="1" customWidth="1"/>
    <col min="12499" max="12499" width="10.33203125" style="1" customWidth="1"/>
    <col min="12500" max="12500" width="9.83203125" style="1" customWidth="1"/>
    <col min="12501" max="12501" width="11.1640625" style="1" customWidth="1"/>
    <col min="12502" max="12502" width="10.5" style="1" customWidth="1"/>
    <col min="12503" max="12503" width="8.83203125" style="1" customWidth="1"/>
    <col min="12504" max="12504" width="10.33203125" style="1" customWidth="1"/>
    <col min="12505" max="12505" width="10.6640625" style="1" customWidth="1"/>
    <col min="12506" max="12506" width="12.5" style="1" customWidth="1"/>
    <col min="12507" max="12507" width="11.83203125" style="1" customWidth="1"/>
    <col min="12508" max="12508" width="11.1640625" style="1" customWidth="1"/>
    <col min="12509" max="12509" width="11" style="1" customWidth="1"/>
    <col min="12510" max="12510" width="11.1640625" style="1" customWidth="1"/>
    <col min="12511" max="12511" width="10.1640625" style="1" customWidth="1"/>
    <col min="12512" max="12512" width="11.83203125" style="1" customWidth="1"/>
    <col min="12513" max="12513" width="9.33203125" style="1"/>
    <col min="12514" max="12514" width="10.1640625" style="1" customWidth="1"/>
    <col min="12515" max="12515" width="10" style="1" customWidth="1"/>
    <col min="12516" max="12516" width="10.83203125" style="1" customWidth="1"/>
    <col min="12517" max="12517" width="11.33203125" style="1" customWidth="1"/>
    <col min="12518" max="12745" width="9.33203125" style="1"/>
    <col min="12746" max="12747" width="4.5" style="1" customWidth="1"/>
    <col min="12748" max="12748" width="8.6640625" style="1" customWidth="1"/>
    <col min="12749" max="12749" width="49.1640625" style="1" customWidth="1"/>
    <col min="12750" max="12750" width="3.1640625" style="1" customWidth="1"/>
    <col min="12751" max="12751" width="8.6640625" style="1" customWidth="1"/>
    <col min="12752" max="12752" width="10.5" style="1" customWidth="1"/>
    <col min="12753" max="12753" width="10.1640625" style="1" customWidth="1"/>
    <col min="12754" max="12754" width="11" style="1" customWidth="1"/>
    <col min="12755" max="12755" width="10.33203125" style="1" customWidth="1"/>
    <col min="12756" max="12756" width="9.83203125" style="1" customWidth="1"/>
    <col min="12757" max="12757" width="11.1640625" style="1" customWidth="1"/>
    <col min="12758" max="12758" width="10.5" style="1" customWidth="1"/>
    <col min="12759" max="12759" width="8.83203125" style="1" customWidth="1"/>
    <col min="12760" max="12760" width="10.33203125" style="1" customWidth="1"/>
    <col min="12761" max="12761" width="10.6640625" style="1" customWidth="1"/>
    <col min="12762" max="12762" width="12.5" style="1" customWidth="1"/>
    <col min="12763" max="12763" width="11.83203125" style="1" customWidth="1"/>
    <col min="12764" max="12764" width="11.1640625" style="1" customWidth="1"/>
    <col min="12765" max="12765" width="11" style="1" customWidth="1"/>
    <col min="12766" max="12766" width="11.1640625" style="1" customWidth="1"/>
    <col min="12767" max="12767" width="10.1640625" style="1" customWidth="1"/>
    <col min="12768" max="12768" width="11.83203125" style="1" customWidth="1"/>
    <col min="12769" max="12769" width="9.33203125" style="1"/>
    <col min="12770" max="12770" width="10.1640625" style="1" customWidth="1"/>
    <col min="12771" max="12771" width="10" style="1" customWidth="1"/>
    <col min="12772" max="12772" width="10.83203125" style="1" customWidth="1"/>
    <col min="12773" max="12773" width="11.33203125" style="1" customWidth="1"/>
    <col min="12774" max="13001" width="9.33203125" style="1"/>
    <col min="13002" max="13003" width="4.5" style="1" customWidth="1"/>
    <col min="13004" max="13004" width="8.6640625" style="1" customWidth="1"/>
    <col min="13005" max="13005" width="49.1640625" style="1" customWidth="1"/>
    <col min="13006" max="13006" width="3.1640625" style="1" customWidth="1"/>
    <col min="13007" max="13007" width="8.6640625" style="1" customWidth="1"/>
    <col min="13008" max="13008" width="10.5" style="1" customWidth="1"/>
    <col min="13009" max="13009" width="10.1640625" style="1" customWidth="1"/>
    <col min="13010" max="13010" width="11" style="1" customWidth="1"/>
    <col min="13011" max="13011" width="10.33203125" style="1" customWidth="1"/>
    <col min="13012" max="13012" width="9.83203125" style="1" customWidth="1"/>
    <col min="13013" max="13013" width="11.1640625" style="1" customWidth="1"/>
    <col min="13014" max="13014" width="10.5" style="1" customWidth="1"/>
    <col min="13015" max="13015" width="8.83203125" style="1" customWidth="1"/>
    <col min="13016" max="13016" width="10.33203125" style="1" customWidth="1"/>
    <col min="13017" max="13017" width="10.6640625" style="1" customWidth="1"/>
    <col min="13018" max="13018" width="12.5" style="1" customWidth="1"/>
    <col min="13019" max="13019" width="11.83203125" style="1" customWidth="1"/>
    <col min="13020" max="13020" width="11.1640625" style="1" customWidth="1"/>
    <col min="13021" max="13021" width="11" style="1" customWidth="1"/>
    <col min="13022" max="13022" width="11.1640625" style="1" customWidth="1"/>
    <col min="13023" max="13023" width="10.1640625" style="1" customWidth="1"/>
    <col min="13024" max="13024" width="11.83203125" style="1" customWidth="1"/>
    <col min="13025" max="13025" width="9.33203125" style="1"/>
    <col min="13026" max="13026" width="10.1640625" style="1" customWidth="1"/>
    <col min="13027" max="13027" width="10" style="1" customWidth="1"/>
    <col min="13028" max="13028" width="10.83203125" style="1" customWidth="1"/>
    <col min="13029" max="13029" width="11.33203125" style="1" customWidth="1"/>
    <col min="13030" max="13257" width="9.33203125" style="1"/>
    <col min="13258" max="13259" width="4.5" style="1" customWidth="1"/>
    <col min="13260" max="13260" width="8.6640625" style="1" customWidth="1"/>
    <col min="13261" max="13261" width="49.1640625" style="1" customWidth="1"/>
    <col min="13262" max="13262" width="3.1640625" style="1" customWidth="1"/>
    <col min="13263" max="13263" width="8.6640625" style="1" customWidth="1"/>
    <col min="13264" max="13264" width="10.5" style="1" customWidth="1"/>
    <col min="13265" max="13265" width="10.1640625" style="1" customWidth="1"/>
    <col min="13266" max="13266" width="11" style="1" customWidth="1"/>
    <col min="13267" max="13267" width="10.33203125" style="1" customWidth="1"/>
    <col min="13268" max="13268" width="9.83203125" style="1" customWidth="1"/>
    <col min="13269" max="13269" width="11.1640625" style="1" customWidth="1"/>
    <col min="13270" max="13270" width="10.5" style="1" customWidth="1"/>
    <col min="13271" max="13271" width="8.83203125" style="1" customWidth="1"/>
    <col min="13272" max="13272" width="10.33203125" style="1" customWidth="1"/>
    <col min="13273" max="13273" width="10.6640625" style="1" customWidth="1"/>
    <col min="13274" max="13274" width="12.5" style="1" customWidth="1"/>
    <col min="13275" max="13275" width="11.83203125" style="1" customWidth="1"/>
    <col min="13276" max="13276" width="11.1640625" style="1" customWidth="1"/>
    <col min="13277" max="13277" width="11" style="1" customWidth="1"/>
    <col min="13278" max="13278" width="11.1640625" style="1" customWidth="1"/>
    <col min="13279" max="13279" width="10.1640625" style="1" customWidth="1"/>
    <col min="13280" max="13280" width="11.83203125" style="1" customWidth="1"/>
    <col min="13281" max="13281" width="9.33203125" style="1"/>
    <col min="13282" max="13282" width="10.1640625" style="1" customWidth="1"/>
    <col min="13283" max="13283" width="10" style="1" customWidth="1"/>
    <col min="13284" max="13284" width="10.83203125" style="1" customWidth="1"/>
    <col min="13285" max="13285" width="11.33203125" style="1" customWidth="1"/>
    <col min="13286" max="13513" width="9.33203125" style="1"/>
    <col min="13514" max="13515" width="4.5" style="1" customWidth="1"/>
    <col min="13516" max="13516" width="8.6640625" style="1" customWidth="1"/>
    <col min="13517" max="13517" width="49.1640625" style="1" customWidth="1"/>
    <col min="13518" max="13518" width="3.1640625" style="1" customWidth="1"/>
    <col min="13519" max="13519" width="8.6640625" style="1" customWidth="1"/>
    <col min="13520" max="13520" width="10.5" style="1" customWidth="1"/>
    <col min="13521" max="13521" width="10.1640625" style="1" customWidth="1"/>
    <col min="13522" max="13522" width="11" style="1" customWidth="1"/>
    <col min="13523" max="13523" width="10.33203125" style="1" customWidth="1"/>
    <col min="13524" max="13524" width="9.83203125" style="1" customWidth="1"/>
    <col min="13525" max="13525" width="11.1640625" style="1" customWidth="1"/>
    <col min="13526" max="13526" width="10.5" style="1" customWidth="1"/>
    <col min="13527" max="13527" width="8.83203125" style="1" customWidth="1"/>
    <col min="13528" max="13528" width="10.33203125" style="1" customWidth="1"/>
    <col min="13529" max="13529" width="10.6640625" style="1" customWidth="1"/>
    <col min="13530" max="13530" width="12.5" style="1" customWidth="1"/>
    <col min="13531" max="13531" width="11.83203125" style="1" customWidth="1"/>
    <col min="13532" max="13532" width="11.1640625" style="1" customWidth="1"/>
    <col min="13533" max="13533" width="11" style="1" customWidth="1"/>
    <col min="13534" max="13534" width="11.1640625" style="1" customWidth="1"/>
    <col min="13535" max="13535" width="10.1640625" style="1" customWidth="1"/>
    <col min="13536" max="13536" width="11.83203125" style="1" customWidth="1"/>
    <col min="13537" max="13537" width="9.33203125" style="1"/>
    <col min="13538" max="13538" width="10.1640625" style="1" customWidth="1"/>
    <col min="13539" max="13539" width="10" style="1" customWidth="1"/>
    <col min="13540" max="13540" width="10.83203125" style="1" customWidth="1"/>
    <col min="13541" max="13541" width="11.33203125" style="1" customWidth="1"/>
    <col min="13542" max="13769" width="9.33203125" style="1"/>
    <col min="13770" max="13771" width="4.5" style="1" customWidth="1"/>
    <col min="13772" max="13772" width="8.6640625" style="1" customWidth="1"/>
    <col min="13773" max="13773" width="49.1640625" style="1" customWidth="1"/>
    <col min="13774" max="13774" width="3.1640625" style="1" customWidth="1"/>
    <col min="13775" max="13775" width="8.6640625" style="1" customWidth="1"/>
    <col min="13776" max="13776" width="10.5" style="1" customWidth="1"/>
    <col min="13777" max="13777" width="10.1640625" style="1" customWidth="1"/>
    <col min="13778" max="13778" width="11" style="1" customWidth="1"/>
    <col min="13779" max="13779" width="10.33203125" style="1" customWidth="1"/>
    <col min="13780" max="13780" width="9.83203125" style="1" customWidth="1"/>
    <col min="13781" max="13781" width="11.1640625" style="1" customWidth="1"/>
    <col min="13782" max="13782" width="10.5" style="1" customWidth="1"/>
    <col min="13783" max="13783" width="8.83203125" style="1" customWidth="1"/>
    <col min="13784" max="13784" width="10.33203125" style="1" customWidth="1"/>
    <col min="13785" max="13785" width="10.6640625" style="1" customWidth="1"/>
    <col min="13786" max="13786" width="12.5" style="1" customWidth="1"/>
    <col min="13787" max="13787" width="11.83203125" style="1" customWidth="1"/>
    <col min="13788" max="13788" width="11.1640625" style="1" customWidth="1"/>
    <col min="13789" max="13789" width="11" style="1" customWidth="1"/>
    <col min="13790" max="13790" width="11.1640625" style="1" customWidth="1"/>
    <col min="13791" max="13791" width="10.1640625" style="1" customWidth="1"/>
    <col min="13792" max="13792" width="11.83203125" style="1" customWidth="1"/>
    <col min="13793" max="13793" width="9.33203125" style="1"/>
    <col min="13794" max="13794" width="10.1640625" style="1" customWidth="1"/>
    <col min="13795" max="13795" width="10" style="1" customWidth="1"/>
    <col min="13796" max="13796" width="10.83203125" style="1" customWidth="1"/>
    <col min="13797" max="13797" width="11.33203125" style="1" customWidth="1"/>
    <col min="13798" max="14025" width="9.33203125" style="1"/>
    <col min="14026" max="14027" width="4.5" style="1" customWidth="1"/>
    <col min="14028" max="14028" width="8.6640625" style="1" customWidth="1"/>
    <col min="14029" max="14029" width="49.1640625" style="1" customWidth="1"/>
    <col min="14030" max="14030" width="3.1640625" style="1" customWidth="1"/>
    <col min="14031" max="14031" width="8.6640625" style="1" customWidth="1"/>
    <col min="14032" max="14032" width="10.5" style="1" customWidth="1"/>
    <col min="14033" max="14033" width="10.1640625" style="1" customWidth="1"/>
    <col min="14034" max="14034" width="11" style="1" customWidth="1"/>
    <col min="14035" max="14035" width="10.33203125" style="1" customWidth="1"/>
    <col min="14036" max="14036" width="9.83203125" style="1" customWidth="1"/>
    <col min="14037" max="14037" width="11.1640625" style="1" customWidth="1"/>
    <col min="14038" max="14038" width="10.5" style="1" customWidth="1"/>
    <col min="14039" max="14039" width="8.83203125" style="1" customWidth="1"/>
    <col min="14040" max="14040" width="10.33203125" style="1" customWidth="1"/>
    <col min="14041" max="14041" width="10.6640625" style="1" customWidth="1"/>
    <col min="14042" max="14042" width="12.5" style="1" customWidth="1"/>
    <col min="14043" max="14043" width="11.83203125" style="1" customWidth="1"/>
    <col min="14044" max="14044" width="11.1640625" style="1" customWidth="1"/>
    <col min="14045" max="14045" width="11" style="1" customWidth="1"/>
    <col min="14046" max="14046" width="11.1640625" style="1" customWidth="1"/>
    <col min="14047" max="14047" width="10.1640625" style="1" customWidth="1"/>
    <col min="14048" max="14048" width="11.83203125" style="1" customWidth="1"/>
    <col min="14049" max="14049" width="9.33203125" style="1"/>
    <col min="14050" max="14050" width="10.1640625" style="1" customWidth="1"/>
    <col min="14051" max="14051" width="10" style="1" customWidth="1"/>
    <col min="14052" max="14052" width="10.83203125" style="1" customWidth="1"/>
    <col min="14053" max="14053" width="11.33203125" style="1" customWidth="1"/>
    <col min="14054" max="14281" width="9.33203125" style="1"/>
    <col min="14282" max="14283" width="4.5" style="1" customWidth="1"/>
    <col min="14284" max="14284" width="8.6640625" style="1" customWidth="1"/>
    <col min="14285" max="14285" width="49.1640625" style="1" customWidth="1"/>
    <col min="14286" max="14286" width="3.1640625" style="1" customWidth="1"/>
    <col min="14287" max="14287" width="8.6640625" style="1" customWidth="1"/>
    <col min="14288" max="14288" width="10.5" style="1" customWidth="1"/>
    <col min="14289" max="14289" width="10.1640625" style="1" customWidth="1"/>
    <col min="14290" max="14290" width="11" style="1" customWidth="1"/>
    <col min="14291" max="14291" width="10.33203125" style="1" customWidth="1"/>
    <col min="14292" max="14292" width="9.83203125" style="1" customWidth="1"/>
    <col min="14293" max="14293" width="11.1640625" style="1" customWidth="1"/>
    <col min="14294" max="14294" width="10.5" style="1" customWidth="1"/>
    <col min="14295" max="14295" width="8.83203125" style="1" customWidth="1"/>
    <col min="14296" max="14296" width="10.33203125" style="1" customWidth="1"/>
    <col min="14297" max="14297" width="10.6640625" style="1" customWidth="1"/>
    <col min="14298" max="14298" width="12.5" style="1" customWidth="1"/>
    <col min="14299" max="14299" width="11.83203125" style="1" customWidth="1"/>
    <col min="14300" max="14300" width="11.1640625" style="1" customWidth="1"/>
    <col min="14301" max="14301" width="11" style="1" customWidth="1"/>
    <col min="14302" max="14302" width="11.1640625" style="1" customWidth="1"/>
    <col min="14303" max="14303" width="10.1640625" style="1" customWidth="1"/>
    <col min="14304" max="14304" width="11.83203125" style="1" customWidth="1"/>
    <col min="14305" max="14305" width="9.33203125" style="1"/>
    <col min="14306" max="14306" width="10.1640625" style="1" customWidth="1"/>
    <col min="14307" max="14307" width="10" style="1" customWidth="1"/>
    <col min="14308" max="14308" width="10.83203125" style="1" customWidth="1"/>
    <col min="14309" max="14309" width="11.33203125" style="1" customWidth="1"/>
    <col min="14310" max="14537" width="9.33203125" style="1"/>
    <col min="14538" max="14539" width="4.5" style="1" customWidth="1"/>
    <col min="14540" max="14540" width="8.6640625" style="1" customWidth="1"/>
    <col min="14541" max="14541" width="49.1640625" style="1" customWidth="1"/>
    <col min="14542" max="14542" width="3.1640625" style="1" customWidth="1"/>
    <col min="14543" max="14543" width="8.6640625" style="1" customWidth="1"/>
    <col min="14544" max="14544" width="10.5" style="1" customWidth="1"/>
    <col min="14545" max="14545" width="10.1640625" style="1" customWidth="1"/>
    <col min="14546" max="14546" width="11" style="1" customWidth="1"/>
    <col min="14547" max="14547" width="10.33203125" style="1" customWidth="1"/>
    <col min="14548" max="14548" width="9.83203125" style="1" customWidth="1"/>
    <col min="14549" max="14549" width="11.1640625" style="1" customWidth="1"/>
    <col min="14550" max="14550" width="10.5" style="1" customWidth="1"/>
    <col min="14551" max="14551" width="8.83203125" style="1" customWidth="1"/>
    <col min="14552" max="14552" width="10.33203125" style="1" customWidth="1"/>
    <col min="14553" max="14553" width="10.6640625" style="1" customWidth="1"/>
    <col min="14554" max="14554" width="12.5" style="1" customWidth="1"/>
    <col min="14555" max="14555" width="11.83203125" style="1" customWidth="1"/>
    <col min="14556" max="14556" width="11.1640625" style="1" customWidth="1"/>
    <col min="14557" max="14557" width="11" style="1" customWidth="1"/>
    <col min="14558" max="14558" width="11.1640625" style="1" customWidth="1"/>
    <col min="14559" max="14559" width="10.1640625" style="1" customWidth="1"/>
    <col min="14560" max="14560" width="11.83203125" style="1" customWidth="1"/>
    <col min="14561" max="14561" width="9.33203125" style="1"/>
    <col min="14562" max="14562" width="10.1640625" style="1" customWidth="1"/>
    <col min="14563" max="14563" width="10" style="1" customWidth="1"/>
    <col min="14564" max="14564" width="10.83203125" style="1" customWidth="1"/>
    <col min="14565" max="14565" width="11.33203125" style="1" customWidth="1"/>
    <col min="14566" max="14793" width="9.33203125" style="1"/>
    <col min="14794" max="14795" width="4.5" style="1" customWidth="1"/>
    <col min="14796" max="14796" width="8.6640625" style="1" customWidth="1"/>
    <col min="14797" max="14797" width="49.1640625" style="1" customWidth="1"/>
    <col min="14798" max="14798" width="3.1640625" style="1" customWidth="1"/>
    <col min="14799" max="14799" width="8.6640625" style="1" customWidth="1"/>
    <col min="14800" max="14800" width="10.5" style="1" customWidth="1"/>
    <col min="14801" max="14801" width="10.1640625" style="1" customWidth="1"/>
    <col min="14802" max="14802" width="11" style="1" customWidth="1"/>
    <col min="14803" max="14803" width="10.33203125" style="1" customWidth="1"/>
    <col min="14804" max="14804" width="9.83203125" style="1" customWidth="1"/>
    <col min="14805" max="14805" width="11.1640625" style="1" customWidth="1"/>
    <col min="14806" max="14806" width="10.5" style="1" customWidth="1"/>
    <col min="14807" max="14807" width="8.83203125" style="1" customWidth="1"/>
    <col min="14808" max="14808" width="10.33203125" style="1" customWidth="1"/>
    <col min="14809" max="14809" width="10.6640625" style="1" customWidth="1"/>
    <col min="14810" max="14810" width="12.5" style="1" customWidth="1"/>
    <col min="14811" max="14811" width="11.83203125" style="1" customWidth="1"/>
    <col min="14812" max="14812" width="11.1640625" style="1" customWidth="1"/>
    <col min="14813" max="14813" width="11" style="1" customWidth="1"/>
    <col min="14814" max="14814" width="11.1640625" style="1" customWidth="1"/>
    <col min="14815" max="14815" width="10.1640625" style="1" customWidth="1"/>
    <col min="14816" max="14816" width="11.83203125" style="1" customWidth="1"/>
    <col min="14817" max="14817" width="9.33203125" style="1"/>
    <col min="14818" max="14818" width="10.1640625" style="1" customWidth="1"/>
    <col min="14819" max="14819" width="10" style="1" customWidth="1"/>
    <col min="14820" max="14820" width="10.83203125" style="1" customWidth="1"/>
    <col min="14821" max="14821" width="11.33203125" style="1" customWidth="1"/>
    <col min="14822" max="15049" width="9.33203125" style="1"/>
    <col min="15050" max="15051" width="4.5" style="1" customWidth="1"/>
    <col min="15052" max="15052" width="8.6640625" style="1" customWidth="1"/>
    <col min="15053" max="15053" width="49.1640625" style="1" customWidth="1"/>
    <col min="15054" max="15054" width="3.1640625" style="1" customWidth="1"/>
    <col min="15055" max="15055" width="8.6640625" style="1" customWidth="1"/>
    <col min="15056" max="15056" width="10.5" style="1" customWidth="1"/>
    <col min="15057" max="15057" width="10.1640625" style="1" customWidth="1"/>
    <col min="15058" max="15058" width="11" style="1" customWidth="1"/>
    <col min="15059" max="15059" width="10.33203125" style="1" customWidth="1"/>
    <col min="15060" max="15060" width="9.83203125" style="1" customWidth="1"/>
    <col min="15061" max="15061" width="11.1640625" style="1" customWidth="1"/>
    <col min="15062" max="15062" width="10.5" style="1" customWidth="1"/>
    <col min="15063" max="15063" width="8.83203125" style="1" customWidth="1"/>
    <col min="15064" max="15064" width="10.33203125" style="1" customWidth="1"/>
    <col min="15065" max="15065" width="10.6640625" style="1" customWidth="1"/>
    <col min="15066" max="15066" width="12.5" style="1" customWidth="1"/>
    <col min="15067" max="15067" width="11.83203125" style="1" customWidth="1"/>
    <col min="15068" max="15068" width="11.1640625" style="1" customWidth="1"/>
    <col min="15069" max="15069" width="11" style="1" customWidth="1"/>
    <col min="15070" max="15070" width="11.1640625" style="1" customWidth="1"/>
    <col min="15071" max="15071" width="10.1640625" style="1" customWidth="1"/>
    <col min="15072" max="15072" width="11.83203125" style="1" customWidth="1"/>
    <col min="15073" max="15073" width="9.33203125" style="1"/>
    <col min="15074" max="15074" width="10.1640625" style="1" customWidth="1"/>
    <col min="15075" max="15075" width="10" style="1" customWidth="1"/>
    <col min="15076" max="15076" width="10.83203125" style="1" customWidth="1"/>
    <col min="15077" max="15077" width="11.33203125" style="1" customWidth="1"/>
    <col min="15078" max="15305" width="9.33203125" style="1"/>
    <col min="15306" max="15307" width="4.5" style="1" customWidth="1"/>
    <col min="15308" max="15308" width="8.6640625" style="1" customWidth="1"/>
    <col min="15309" max="15309" width="49.1640625" style="1" customWidth="1"/>
    <col min="15310" max="15310" width="3.1640625" style="1" customWidth="1"/>
    <col min="15311" max="15311" width="8.6640625" style="1" customWidth="1"/>
    <col min="15312" max="15312" width="10.5" style="1" customWidth="1"/>
    <col min="15313" max="15313" width="10.1640625" style="1" customWidth="1"/>
    <col min="15314" max="15314" width="11" style="1" customWidth="1"/>
    <col min="15315" max="15315" width="10.33203125" style="1" customWidth="1"/>
    <col min="15316" max="15316" width="9.83203125" style="1" customWidth="1"/>
    <col min="15317" max="15317" width="11.1640625" style="1" customWidth="1"/>
    <col min="15318" max="15318" width="10.5" style="1" customWidth="1"/>
    <col min="15319" max="15319" width="8.83203125" style="1" customWidth="1"/>
    <col min="15320" max="15320" width="10.33203125" style="1" customWidth="1"/>
    <col min="15321" max="15321" width="10.6640625" style="1" customWidth="1"/>
    <col min="15322" max="15322" width="12.5" style="1" customWidth="1"/>
    <col min="15323" max="15323" width="11.83203125" style="1" customWidth="1"/>
    <col min="15324" max="15324" width="11.1640625" style="1" customWidth="1"/>
    <col min="15325" max="15325" width="11" style="1" customWidth="1"/>
    <col min="15326" max="15326" width="11.1640625" style="1" customWidth="1"/>
    <col min="15327" max="15327" width="10.1640625" style="1" customWidth="1"/>
    <col min="15328" max="15328" width="11.83203125" style="1" customWidth="1"/>
    <col min="15329" max="15329" width="9.33203125" style="1"/>
    <col min="15330" max="15330" width="10.1640625" style="1" customWidth="1"/>
    <col min="15331" max="15331" width="10" style="1" customWidth="1"/>
    <col min="15332" max="15332" width="10.83203125" style="1" customWidth="1"/>
    <col min="15333" max="15333" width="11.33203125" style="1" customWidth="1"/>
    <col min="15334" max="15561" width="9.33203125" style="1"/>
    <col min="15562" max="15563" width="4.5" style="1" customWidth="1"/>
    <col min="15564" max="15564" width="8.6640625" style="1" customWidth="1"/>
    <col min="15565" max="15565" width="49.1640625" style="1" customWidth="1"/>
    <col min="15566" max="15566" width="3.1640625" style="1" customWidth="1"/>
    <col min="15567" max="15567" width="8.6640625" style="1" customWidth="1"/>
    <col min="15568" max="15568" width="10.5" style="1" customWidth="1"/>
    <col min="15569" max="15569" width="10.1640625" style="1" customWidth="1"/>
    <col min="15570" max="15570" width="11" style="1" customWidth="1"/>
    <col min="15571" max="15571" width="10.33203125" style="1" customWidth="1"/>
    <col min="15572" max="15572" width="9.83203125" style="1" customWidth="1"/>
    <col min="15573" max="15573" width="11.1640625" style="1" customWidth="1"/>
    <col min="15574" max="15574" width="10.5" style="1" customWidth="1"/>
    <col min="15575" max="15575" width="8.83203125" style="1" customWidth="1"/>
    <col min="15576" max="15576" width="10.33203125" style="1" customWidth="1"/>
    <col min="15577" max="15577" width="10.6640625" style="1" customWidth="1"/>
    <col min="15578" max="15578" width="12.5" style="1" customWidth="1"/>
    <col min="15579" max="15579" width="11.83203125" style="1" customWidth="1"/>
    <col min="15580" max="15580" width="11.1640625" style="1" customWidth="1"/>
    <col min="15581" max="15581" width="11" style="1" customWidth="1"/>
    <col min="15582" max="15582" width="11.1640625" style="1" customWidth="1"/>
    <col min="15583" max="15583" width="10.1640625" style="1" customWidth="1"/>
    <col min="15584" max="15584" width="11.83203125" style="1" customWidth="1"/>
    <col min="15585" max="15585" width="9.33203125" style="1"/>
    <col min="15586" max="15586" width="10.1640625" style="1" customWidth="1"/>
    <col min="15587" max="15587" width="10" style="1" customWidth="1"/>
    <col min="15588" max="15588" width="10.83203125" style="1" customWidth="1"/>
    <col min="15589" max="15589" width="11.33203125" style="1" customWidth="1"/>
    <col min="15590" max="15817" width="9.33203125" style="1"/>
    <col min="15818" max="15819" width="4.5" style="1" customWidth="1"/>
    <col min="15820" max="15820" width="8.6640625" style="1" customWidth="1"/>
    <col min="15821" max="15821" width="49.1640625" style="1" customWidth="1"/>
    <col min="15822" max="15822" width="3.1640625" style="1" customWidth="1"/>
    <col min="15823" max="15823" width="8.6640625" style="1" customWidth="1"/>
    <col min="15824" max="15824" width="10.5" style="1" customWidth="1"/>
    <col min="15825" max="15825" width="10.1640625" style="1" customWidth="1"/>
    <col min="15826" max="15826" width="11" style="1" customWidth="1"/>
    <col min="15827" max="15827" width="10.33203125" style="1" customWidth="1"/>
    <col min="15828" max="15828" width="9.83203125" style="1" customWidth="1"/>
    <col min="15829" max="15829" width="11.1640625" style="1" customWidth="1"/>
    <col min="15830" max="15830" width="10.5" style="1" customWidth="1"/>
    <col min="15831" max="15831" width="8.83203125" style="1" customWidth="1"/>
    <col min="15832" max="15832" width="10.33203125" style="1" customWidth="1"/>
    <col min="15833" max="15833" width="10.6640625" style="1" customWidth="1"/>
    <col min="15834" max="15834" width="12.5" style="1" customWidth="1"/>
    <col min="15835" max="15835" width="11.83203125" style="1" customWidth="1"/>
    <col min="15836" max="15836" width="11.1640625" style="1" customWidth="1"/>
    <col min="15837" max="15837" width="11" style="1" customWidth="1"/>
    <col min="15838" max="15838" width="11.1640625" style="1" customWidth="1"/>
    <col min="15839" max="15839" width="10.1640625" style="1" customWidth="1"/>
    <col min="15840" max="15840" width="11.83203125" style="1" customWidth="1"/>
    <col min="15841" max="15841" width="9.33203125" style="1"/>
    <col min="15842" max="15842" width="10.1640625" style="1" customWidth="1"/>
    <col min="15843" max="15843" width="10" style="1" customWidth="1"/>
    <col min="15844" max="15844" width="10.83203125" style="1" customWidth="1"/>
    <col min="15845" max="15845" width="11.33203125" style="1" customWidth="1"/>
    <col min="15846" max="16073" width="9.33203125" style="1"/>
    <col min="16074" max="16075" width="4.5" style="1" customWidth="1"/>
    <col min="16076" max="16076" width="8.6640625" style="1" customWidth="1"/>
    <col min="16077" max="16077" width="49.1640625" style="1" customWidth="1"/>
    <col min="16078" max="16078" width="3.1640625" style="1" customWidth="1"/>
    <col min="16079" max="16079" width="8.6640625" style="1" customWidth="1"/>
    <col min="16080" max="16080" width="10.5" style="1" customWidth="1"/>
    <col min="16081" max="16081" width="10.1640625" style="1" customWidth="1"/>
    <col min="16082" max="16082" width="11" style="1" customWidth="1"/>
    <col min="16083" max="16083" width="10.33203125" style="1" customWidth="1"/>
    <col min="16084" max="16084" width="9.83203125" style="1" customWidth="1"/>
    <col min="16085" max="16085" width="11.1640625" style="1" customWidth="1"/>
    <col min="16086" max="16086" width="10.5" style="1" customWidth="1"/>
    <col min="16087" max="16087" width="8.83203125" style="1" customWidth="1"/>
    <col min="16088" max="16088" width="10.33203125" style="1" customWidth="1"/>
    <col min="16089" max="16089" width="10.6640625" style="1" customWidth="1"/>
    <col min="16090" max="16090" width="12.5" style="1" customWidth="1"/>
    <col min="16091" max="16091" width="11.83203125" style="1" customWidth="1"/>
    <col min="16092" max="16092" width="11.1640625" style="1" customWidth="1"/>
    <col min="16093" max="16093" width="11" style="1" customWidth="1"/>
    <col min="16094" max="16094" width="11.1640625" style="1" customWidth="1"/>
    <col min="16095" max="16095" width="10.1640625" style="1" customWidth="1"/>
    <col min="16096" max="16096" width="11.83203125" style="1" customWidth="1"/>
    <col min="16097" max="16097" width="9.33203125" style="1"/>
    <col min="16098" max="16098" width="10.1640625" style="1" customWidth="1"/>
    <col min="16099" max="16099" width="10" style="1" customWidth="1"/>
    <col min="16100" max="16100" width="10.83203125" style="1" customWidth="1"/>
    <col min="16101" max="16101" width="11.33203125" style="1" customWidth="1"/>
    <col min="16102" max="16338" width="9.33203125" style="1"/>
    <col min="16339" max="16384" width="8.83203125" style="1" customWidth="1"/>
  </cols>
  <sheetData>
    <row r="1" spans="1:19" ht="25.5" customHeight="1" x14ac:dyDescent="0.2">
      <c r="A1" s="842" t="s">
        <v>80</v>
      </c>
      <c r="B1" s="842" t="s">
        <v>81</v>
      </c>
      <c r="C1" s="842" t="s">
        <v>16</v>
      </c>
      <c r="D1" s="844" t="s">
        <v>111</v>
      </c>
      <c r="E1" s="846" t="s">
        <v>222</v>
      </c>
      <c r="F1" s="840" t="s">
        <v>164</v>
      </c>
      <c r="G1" s="831" t="s">
        <v>116</v>
      </c>
      <c r="H1" s="831"/>
      <c r="I1" s="831"/>
      <c r="J1" s="831"/>
      <c r="K1" s="831"/>
      <c r="L1" s="831"/>
      <c r="M1" s="831"/>
      <c r="N1" s="832"/>
      <c r="O1" s="833" t="s">
        <v>115</v>
      </c>
      <c r="P1" s="832"/>
      <c r="Q1" s="851" t="s">
        <v>223</v>
      </c>
      <c r="R1" s="648"/>
      <c r="S1" s="850" t="s">
        <v>999</v>
      </c>
    </row>
    <row r="2" spans="1:19" ht="57.95" customHeight="1" thickBot="1" x14ac:dyDescent="0.25">
      <c r="A2" s="843"/>
      <c r="B2" s="843"/>
      <c r="C2" s="843"/>
      <c r="D2" s="845"/>
      <c r="E2" s="847"/>
      <c r="F2" s="841"/>
      <c r="G2" s="33" t="s">
        <v>100</v>
      </c>
      <c r="H2" s="23" t="s">
        <v>152</v>
      </c>
      <c r="I2" s="23" t="s">
        <v>146</v>
      </c>
      <c r="J2" s="23" t="s">
        <v>15</v>
      </c>
      <c r="K2" s="23" t="s">
        <v>21</v>
      </c>
      <c r="L2" s="23" t="s">
        <v>19</v>
      </c>
      <c r="M2" s="23" t="s">
        <v>18</v>
      </c>
      <c r="N2" s="23" t="s">
        <v>68</v>
      </c>
      <c r="O2" s="24" t="s">
        <v>120</v>
      </c>
      <c r="P2" s="25" t="s">
        <v>122</v>
      </c>
      <c r="Q2" s="851"/>
      <c r="R2" s="648"/>
      <c r="S2" s="850"/>
    </row>
    <row r="3" spans="1:19" ht="16.5" customHeight="1" x14ac:dyDescent="0.2">
      <c r="A3" s="26">
        <v>1</v>
      </c>
      <c r="B3" s="129"/>
      <c r="C3" s="492"/>
      <c r="D3" s="496" t="s">
        <v>224</v>
      </c>
      <c r="E3" s="439"/>
      <c r="F3" s="438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649"/>
      <c r="R3" s="648"/>
      <c r="S3" s="648"/>
    </row>
    <row r="4" spans="1:19" ht="12.75" customHeight="1" x14ac:dyDescent="0.2">
      <c r="A4" s="129">
        <v>1</v>
      </c>
      <c r="B4" s="129">
        <v>1</v>
      </c>
      <c r="C4" s="493"/>
      <c r="D4" s="496" t="s">
        <v>3</v>
      </c>
      <c r="E4" s="439"/>
      <c r="F4" s="438"/>
      <c r="G4" s="130"/>
      <c r="H4" s="130"/>
      <c r="I4" s="130"/>
      <c r="J4" s="130"/>
      <c r="K4" s="130"/>
      <c r="L4" s="130"/>
      <c r="M4" s="130"/>
      <c r="N4" s="130"/>
      <c r="O4" s="130"/>
      <c r="P4" s="130"/>
      <c r="Q4" s="649"/>
      <c r="R4" s="648"/>
      <c r="S4" s="648"/>
    </row>
    <row r="5" spans="1:19" ht="12" hidden="1" customHeight="1" x14ac:dyDescent="0.2">
      <c r="A5" s="131">
        <v>1</v>
      </c>
      <c r="B5" s="131">
        <v>12</v>
      </c>
      <c r="C5" s="494"/>
      <c r="D5" s="431" t="s">
        <v>90</v>
      </c>
      <c r="E5" s="497"/>
      <c r="F5" s="457"/>
      <c r="G5" s="132"/>
      <c r="H5" s="132"/>
      <c r="I5" s="132"/>
      <c r="J5" s="132"/>
      <c r="K5" s="132"/>
      <c r="L5" s="132"/>
      <c r="M5" s="132"/>
      <c r="N5" s="132"/>
      <c r="O5" s="132"/>
      <c r="P5" s="132"/>
      <c r="Q5" s="635"/>
      <c r="R5" s="648"/>
      <c r="S5" s="648"/>
    </row>
    <row r="6" spans="1:19" ht="14.45" hidden="1" customHeight="1" x14ac:dyDescent="0.2">
      <c r="A6" s="131"/>
      <c r="B6" s="131"/>
      <c r="C6" s="494"/>
      <c r="D6" s="444" t="s">
        <v>225</v>
      </c>
      <c r="E6" s="498"/>
      <c r="F6" s="499"/>
      <c r="G6" s="132"/>
      <c r="H6" s="132"/>
      <c r="I6" s="132"/>
      <c r="J6" s="132"/>
      <c r="K6" s="132"/>
      <c r="L6" s="132"/>
      <c r="M6" s="132"/>
      <c r="N6" s="132"/>
      <c r="O6" s="132"/>
      <c r="P6" s="132"/>
      <c r="Q6" s="635"/>
      <c r="R6" s="648"/>
      <c r="S6" s="648"/>
    </row>
    <row r="7" spans="1:19" ht="14.45" hidden="1" customHeight="1" x14ac:dyDescent="0.2">
      <c r="A7" s="131"/>
      <c r="B7" s="131"/>
      <c r="C7" s="494"/>
      <c r="D7" s="443" t="s">
        <v>226</v>
      </c>
      <c r="E7" s="477">
        <v>2</v>
      </c>
      <c r="F7" s="443">
        <v>121103</v>
      </c>
      <c r="G7" s="132"/>
      <c r="H7" s="132"/>
      <c r="I7" s="132"/>
      <c r="J7" s="132"/>
      <c r="K7" s="132"/>
      <c r="L7" s="132"/>
      <c r="M7" s="132"/>
      <c r="N7" s="132"/>
      <c r="O7" s="132"/>
      <c r="P7" s="132"/>
      <c r="Q7" s="635">
        <f>SUM(G7:P7)</f>
        <v>0</v>
      </c>
      <c r="R7" s="648"/>
      <c r="S7" s="648"/>
    </row>
    <row r="8" spans="1:19" ht="14.45" hidden="1" customHeight="1" x14ac:dyDescent="0.2">
      <c r="A8" s="131"/>
      <c r="B8" s="131"/>
      <c r="C8" s="494"/>
      <c r="D8" s="443" t="s">
        <v>227</v>
      </c>
      <c r="E8" s="477"/>
      <c r="F8" s="443"/>
      <c r="G8" s="132"/>
      <c r="H8" s="132"/>
      <c r="I8" s="132"/>
      <c r="J8" s="132"/>
      <c r="K8" s="132"/>
      <c r="L8" s="132"/>
      <c r="M8" s="132"/>
      <c r="N8" s="132"/>
      <c r="O8" s="132"/>
      <c r="P8" s="132"/>
      <c r="Q8" s="635"/>
      <c r="R8" s="648"/>
      <c r="S8" s="648"/>
    </row>
    <row r="9" spans="1:19" ht="14.45" hidden="1" customHeight="1" x14ac:dyDescent="0.2">
      <c r="A9" s="131"/>
      <c r="B9" s="131"/>
      <c r="C9" s="494"/>
      <c r="D9" s="443" t="s">
        <v>228</v>
      </c>
      <c r="E9" s="477">
        <v>2</v>
      </c>
      <c r="F9" s="443">
        <v>121104</v>
      </c>
      <c r="G9" s="132"/>
      <c r="H9" s="132"/>
      <c r="I9" s="132"/>
      <c r="J9" s="132"/>
      <c r="K9" s="132"/>
      <c r="L9" s="132"/>
      <c r="M9" s="132"/>
      <c r="N9" s="132"/>
      <c r="O9" s="132"/>
      <c r="P9" s="132"/>
      <c r="Q9" s="635">
        <f>SUM(G9:P9)</f>
        <v>0</v>
      </c>
      <c r="R9" s="648"/>
      <c r="S9" s="648"/>
    </row>
    <row r="10" spans="1:19" ht="25.9" hidden="1" customHeight="1" x14ac:dyDescent="0.2">
      <c r="A10" s="131"/>
      <c r="B10" s="131"/>
      <c r="C10" s="494"/>
      <c r="D10" s="500" t="s">
        <v>229</v>
      </c>
      <c r="E10" s="477">
        <v>2</v>
      </c>
      <c r="F10" s="443">
        <v>121117</v>
      </c>
      <c r="G10" s="132"/>
      <c r="H10" s="132"/>
      <c r="I10" s="132"/>
      <c r="J10" s="132"/>
      <c r="K10" s="132"/>
      <c r="L10" s="132"/>
      <c r="M10" s="132"/>
      <c r="N10" s="132"/>
      <c r="O10" s="132"/>
      <c r="P10" s="132"/>
      <c r="Q10" s="635">
        <f>SUM(G10:P10)</f>
        <v>0</v>
      </c>
      <c r="R10" s="648"/>
      <c r="S10" s="648"/>
    </row>
    <row r="11" spans="1:19" ht="15" hidden="1" customHeight="1" x14ac:dyDescent="0.2">
      <c r="A11" s="131"/>
      <c r="B11" s="131"/>
      <c r="C11" s="494"/>
      <c r="D11" s="500" t="s">
        <v>557</v>
      </c>
      <c r="E11" s="477">
        <v>2</v>
      </c>
      <c r="F11" s="443">
        <v>121202</v>
      </c>
      <c r="G11" s="132"/>
      <c r="H11" s="132"/>
      <c r="I11" s="132"/>
      <c r="J11" s="132"/>
      <c r="K11" s="132"/>
      <c r="L11" s="132"/>
      <c r="M11" s="132"/>
      <c r="N11" s="132"/>
      <c r="O11" s="132"/>
      <c r="P11" s="132"/>
      <c r="Q11" s="635">
        <f t="shared" ref="Q11:Q12" si="0">SUM(G11:P11)</f>
        <v>0</v>
      </c>
      <c r="R11" s="648"/>
      <c r="S11" s="648"/>
    </row>
    <row r="12" spans="1:19" ht="15" hidden="1" customHeight="1" x14ac:dyDescent="0.2">
      <c r="A12" s="131"/>
      <c r="B12" s="131"/>
      <c r="C12" s="494"/>
      <c r="D12" s="500" t="s">
        <v>699</v>
      </c>
      <c r="E12" s="477">
        <v>2</v>
      </c>
      <c r="F12" s="443">
        <v>121205</v>
      </c>
      <c r="G12" s="132"/>
      <c r="H12" s="132"/>
      <c r="I12" s="132"/>
      <c r="J12" s="132"/>
      <c r="K12" s="132"/>
      <c r="L12" s="132"/>
      <c r="M12" s="132"/>
      <c r="N12" s="132"/>
      <c r="O12" s="132"/>
      <c r="P12" s="132"/>
      <c r="Q12" s="635">
        <f t="shared" si="0"/>
        <v>0</v>
      </c>
      <c r="R12" s="648"/>
      <c r="S12" s="648"/>
    </row>
    <row r="13" spans="1:19" ht="14.45" hidden="1" customHeight="1" x14ac:dyDescent="0.2">
      <c r="A13" s="131"/>
      <c r="B13" s="131"/>
      <c r="C13" s="494"/>
      <c r="D13" s="443" t="s">
        <v>230</v>
      </c>
      <c r="E13" s="477"/>
      <c r="F13" s="443"/>
      <c r="G13" s="132"/>
      <c r="H13" s="132"/>
      <c r="I13" s="132"/>
      <c r="J13" s="132"/>
      <c r="K13" s="132"/>
      <c r="L13" s="132"/>
      <c r="M13" s="132"/>
      <c r="N13" s="132"/>
      <c r="O13" s="132"/>
      <c r="P13" s="132"/>
      <c r="Q13" s="635"/>
      <c r="R13" s="648"/>
      <c r="S13" s="648"/>
    </row>
    <row r="14" spans="1:19" ht="14.45" hidden="1" customHeight="1" x14ac:dyDescent="0.2">
      <c r="A14" s="131"/>
      <c r="B14" s="131"/>
      <c r="C14" s="494"/>
      <c r="D14" s="443" t="s">
        <v>231</v>
      </c>
      <c r="E14" s="477">
        <v>2</v>
      </c>
      <c r="F14" s="443">
        <v>121111</v>
      </c>
      <c r="G14" s="132"/>
      <c r="H14" s="132"/>
      <c r="I14" s="132"/>
      <c r="J14" s="132"/>
      <c r="K14" s="132"/>
      <c r="L14" s="132"/>
      <c r="M14" s="132"/>
      <c r="N14" s="132"/>
      <c r="O14" s="132"/>
      <c r="P14" s="132"/>
      <c r="Q14" s="635">
        <f t="shared" ref="Q14:Q18" si="1">SUM(G14:P14)</f>
        <v>0</v>
      </c>
      <c r="R14" s="648"/>
      <c r="S14" s="648"/>
    </row>
    <row r="15" spans="1:19" ht="14.45" hidden="1" customHeight="1" x14ac:dyDescent="0.2">
      <c r="A15" s="131"/>
      <c r="B15" s="131"/>
      <c r="C15" s="494"/>
      <c r="D15" s="443" t="s">
        <v>232</v>
      </c>
      <c r="E15" s="477">
        <v>2</v>
      </c>
      <c r="F15" s="439">
        <v>121127</v>
      </c>
      <c r="G15" s="132"/>
      <c r="H15" s="132"/>
      <c r="I15" s="132"/>
      <c r="J15" s="132"/>
      <c r="K15" s="132"/>
      <c r="L15" s="132"/>
      <c r="M15" s="132"/>
      <c r="N15" s="132"/>
      <c r="O15" s="132"/>
      <c r="P15" s="132"/>
      <c r="Q15" s="635">
        <f t="shared" si="1"/>
        <v>0</v>
      </c>
      <c r="R15" s="648"/>
      <c r="S15" s="648"/>
    </row>
    <row r="16" spans="1:19" ht="14.45" hidden="1" customHeight="1" x14ac:dyDescent="0.2">
      <c r="A16" s="131"/>
      <c r="B16" s="131"/>
      <c r="C16" s="494"/>
      <c r="D16" s="443" t="s">
        <v>577</v>
      </c>
      <c r="E16" s="477">
        <v>2</v>
      </c>
      <c r="F16" s="439">
        <v>121115</v>
      </c>
      <c r="G16" s="132"/>
      <c r="H16" s="132"/>
      <c r="I16" s="132"/>
      <c r="J16" s="132"/>
      <c r="K16" s="132"/>
      <c r="L16" s="132"/>
      <c r="M16" s="132"/>
      <c r="N16" s="132"/>
      <c r="O16" s="132"/>
      <c r="P16" s="132"/>
      <c r="Q16" s="635">
        <f t="shared" si="1"/>
        <v>0</v>
      </c>
      <c r="R16" s="648"/>
      <c r="S16" s="648"/>
    </row>
    <row r="17" spans="1:19" ht="14.45" hidden="1" customHeight="1" x14ac:dyDescent="0.2">
      <c r="A17" s="131"/>
      <c r="B17" s="131"/>
      <c r="C17" s="494"/>
      <c r="D17" s="443" t="s">
        <v>233</v>
      </c>
      <c r="E17" s="477">
        <v>2</v>
      </c>
      <c r="F17" s="439">
        <v>121129</v>
      </c>
      <c r="G17" s="132"/>
      <c r="H17" s="132"/>
      <c r="I17" s="132"/>
      <c r="J17" s="132"/>
      <c r="K17" s="132"/>
      <c r="L17" s="132"/>
      <c r="M17" s="132"/>
      <c r="N17" s="132"/>
      <c r="O17" s="132"/>
      <c r="P17" s="132"/>
      <c r="Q17" s="635">
        <f t="shared" si="1"/>
        <v>0</v>
      </c>
      <c r="R17" s="648"/>
      <c r="S17" s="648"/>
    </row>
    <row r="18" spans="1:19" ht="14.45" hidden="1" customHeight="1" x14ac:dyDescent="0.2">
      <c r="A18" s="131"/>
      <c r="B18" s="131"/>
      <c r="C18" s="494"/>
      <c r="D18" s="443" t="s">
        <v>743</v>
      </c>
      <c r="E18" s="477">
        <v>2</v>
      </c>
      <c r="F18" s="439">
        <v>121106</v>
      </c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635">
        <f t="shared" si="1"/>
        <v>0</v>
      </c>
      <c r="R18" s="648"/>
      <c r="S18" s="648"/>
    </row>
    <row r="19" spans="1:19" ht="22.5" hidden="1" customHeight="1" x14ac:dyDescent="0.2">
      <c r="A19" s="134"/>
      <c r="B19" s="134"/>
      <c r="C19" s="494"/>
      <c r="D19" s="501" t="s">
        <v>234</v>
      </c>
      <c r="E19" s="477"/>
      <c r="F19" s="477"/>
      <c r="G19" s="47"/>
      <c r="H19" s="47"/>
      <c r="I19" s="47"/>
      <c r="J19" s="47"/>
      <c r="K19" s="47"/>
      <c r="L19" s="47"/>
      <c r="M19" s="47"/>
      <c r="N19" s="47"/>
      <c r="O19" s="47"/>
      <c r="P19" s="47"/>
      <c r="Q19" s="635"/>
      <c r="R19" s="648"/>
      <c r="S19" s="648"/>
    </row>
    <row r="20" spans="1:19" ht="14.45" hidden="1" customHeight="1" x14ac:dyDescent="0.2">
      <c r="A20" s="134"/>
      <c r="B20" s="134"/>
      <c r="C20" s="494"/>
      <c r="D20" s="443" t="s">
        <v>235</v>
      </c>
      <c r="E20" s="477">
        <v>2</v>
      </c>
      <c r="F20" s="439">
        <v>121131</v>
      </c>
      <c r="G20" s="47"/>
      <c r="H20" s="47"/>
      <c r="I20" s="47"/>
      <c r="J20" s="47"/>
      <c r="K20" s="47"/>
      <c r="L20" s="47"/>
      <c r="M20" s="47"/>
      <c r="N20" s="47"/>
      <c r="O20" s="47"/>
      <c r="P20" s="47"/>
      <c r="Q20" s="635">
        <f>SUM(G20:P20)</f>
        <v>0</v>
      </c>
      <c r="R20" s="648"/>
      <c r="S20" s="648"/>
    </row>
    <row r="21" spans="1:19" ht="14.45" hidden="1" customHeight="1" x14ac:dyDescent="0.2">
      <c r="A21" s="134"/>
      <c r="B21" s="134"/>
      <c r="C21" s="494"/>
      <c r="D21" s="443" t="s">
        <v>227</v>
      </c>
      <c r="E21" s="477"/>
      <c r="F21" s="47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635"/>
      <c r="R21" s="648"/>
      <c r="S21" s="648"/>
    </row>
    <row r="22" spans="1:19" ht="14.45" hidden="1" customHeight="1" x14ac:dyDescent="0.2">
      <c r="A22" s="134"/>
      <c r="B22" s="134"/>
      <c r="C22" s="494"/>
      <c r="D22" s="443" t="s">
        <v>236</v>
      </c>
      <c r="E22" s="477">
        <v>2</v>
      </c>
      <c r="F22" s="439">
        <v>121130</v>
      </c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635">
        <f>SUM(G22:P22)</f>
        <v>0</v>
      </c>
      <c r="R22" s="648"/>
      <c r="S22" s="648"/>
    </row>
    <row r="23" spans="1:19" ht="14.45" hidden="1" customHeight="1" x14ac:dyDescent="0.2">
      <c r="A23" s="134"/>
      <c r="B23" s="134"/>
      <c r="C23" s="494"/>
      <c r="D23" s="443" t="s">
        <v>230</v>
      </c>
      <c r="E23" s="477"/>
      <c r="F23" s="47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635"/>
      <c r="R23" s="648"/>
      <c r="S23" s="648"/>
    </row>
    <row r="24" spans="1:19" ht="14.45" hidden="1" customHeight="1" x14ac:dyDescent="0.2">
      <c r="A24" s="134"/>
      <c r="B24" s="134"/>
      <c r="C24" s="494"/>
      <c r="D24" s="443" t="s">
        <v>237</v>
      </c>
      <c r="E24" s="477">
        <v>1</v>
      </c>
      <c r="F24" s="443">
        <v>121204</v>
      </c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635">
        <f>SUM(G24:P24)</f>
        <v>0</v>
      </c>
      <c r="R24" s="648"/>
      <c r="S24" s="648"/>
    </row>
    <row r="25" spans="1:19" ht="14.45" hidden="1" customHeight="1" x14ac:dyDescent="0.2">
      <c r="A25" s="134"/>
      <c r="B25" s="134"/>
      <c r="C25" s="494"/>
      <c r="D25" s="443" t="s">
        <v>744</v>
      </c>
      <c r="E25" s="477">
        <v>1</v>
      </c>
      <c r="F25" s="443">
        <v>121132</v>
      </c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635">
        <f>SUM(G25:P25)</f>
        <v>0</v>
      </c>
      <c r="R25" s="648"/>
      <c r="S25" s="648"/>
    </row>
    <row r="26" spans="1:19" ht="14.45" hidden="1" customHeight="1" x14ac:dyDescent="0.2">
      <c r="A26" s="134"/>
      <c r="B26" s="134"/>
      <c r="C26" s="494"/>
      <c r="D26" s="502" t="s">
        <v>238</v>
      </c>
      <c r="E26" s="477">
        <v>1</v>
      </c>
      <c r="F26" s="443">
        <v>121203</v>
      </c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635">
        <f>SUM(G26:P26)</f>
        <v>0</v>
      </c>
      <c r="R26" s="648"/>
      <c r="S26" s="648"/>
    </row>
    <row r="27" spans="1:19" ht="14.45" hidden="1" customHeight="1" x14ac:dyDescent="0.2">
      <c r="A27" s="134"/>
      <c r="B27" s="134"/>
      <c r="C27" s="494"/>
      <c r="D27" s="439" t="s">
        <v>239</v>
      </c>
      <c r="E27" s="477"/>
      <c r="F27" s="439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635"/>
      <c r="R27" s="648"/>
      <c r="S27" s="648"/>
    </row>
    <row r="28" spans="1:19" ht="14.45" hidden="1" customHeight="1" x14ac:dyDescent="0.2">
      <c r="A28" s="134"/>
      <c r="B28" s="134"/>
      <c r="C28" s="494"/>
      <c r="D28" s="443" t="s">
        <v>240</v>
      </c>
      <c r="E28" s="477">
        <v>2</v>
      </c>
      <c r="F28" s="443">
        <v>121504</v>
      </c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635">
        <f>SUM(G28:P28)</f>
        <v>0</v>
      </c>
      <c r="R28" s="648"/>
      <c r="S28" s="648"/>
    </row>
    <row r="29" spans="1:19" ht="12.6" hidden="1" customHeight="1" x14ac:dyDescent="0.2">
      <c r="A29" s="45"/>
      <c r="B29" s="135"/>
      <c r="C29" s="495"/>
      <c r="D29" s="439" t="s">
        <v>241</v>
      </c>
      <c r="E29" s="439"/>
      <c r="F29" s="439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635"/>
      <c r="R29" s="648"/>
      <c r="S29" s="648"/>
    </row>
    <row r="30" spans="1:19" ht="12.6" hidden="1" customHeight="1" x14ac:dyDescent="0.2">
      <c r="A30" s="45"/>
      <c r="B30" s="45"/>
      <c r="C30" s="466"/>
      <c r="D30" s="439" t="s">
        <v>242</v>
      </c>
      <c r="E30" s="439">
        <v>1</v>
      </c>
      <c r="F30" s="439">
        <v>121301</v>
      </c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635">
        <f>SUM(G30:P30)</f>
        <v>0</v>
      </c>
      <c r="R30" s="648"/>
      <c r="S30" s="648"/>
    </row>
    <row r="31" spans="1:19" ht="12.6" hidden="1" customHeight="1" x14ac:dyDescent="0.2">
      <c r="A31" s="45"/>
      <c r="B31" s="45"/>
      <c r="C31" s="466"/>
      <c r="D31" s="450" t="s">
        <v>165</v>
      </c>
      <c r="E31" s="477"/>
      <c r="F31" s="439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635"/>
      <c r="R31" s="648"/>
      <c r="S31" s="648"/>
    </row>
    <row r="32" spans="1:19" ht="12.6" hidden="1" customHeight="1" x14ac:dyDescent="0.2">
      <c r="A32" s="45"/>
      <c r="B32" s="45"/>
      <c r="C32" s="466"/>
      <c r="D32" s="503" t="s">
        <v>243</v>
      </c>
      <c r="E32" s="477">
        <v>2</v>
      </c>
      <c r="F32" s="439">
        <v>221902</v>
      </c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635">
        <f>SUM(G32:P32)</f>
        <v>0</v>
      </c>
      <c r="R32" s="648"/>
      <c r="S32" s="648"/>
    </row>
    <row r="33" spans="1:19" ht="12.6" hidden="1" customHeight="1" x14ac:dyDescent="0.2">
      <c r="A33" s="45"/>
      <c r="B33" s="45"/>
      <c r="C33" s="466"/>
      <c r="D33" s="504" t="s">
        <v>244</v>
      </c>
      <c r="E33" s="477">
        <v>2</v>
      </c>
      <c r="F33" s="439" t="s">
        <v>245</v>
      </c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635">
        <f>SUM(G33:P33)</f>
        <v>0</v>
      </c>
      <c r="R33" s="648"/>
      <c r="S33" s="648"/>
    </row>
    <row r="34" spans="1:19" ht="12.6" hidden="1" customHeight="1" x14ac:dyDescent="0.2">
      <c r="A34" s="45"/>
      <c r="B34" s="45"/>
      <c r="C34" s="466"/>
      <c r="D34" s="504" t="s">
        <v>803</v>
      </c>
      <c r="E34" s="477">
        <v>1</v>
      </c>
      <c r="F34" s="439">
        <v>121118</v>
      </c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635">
        <f t="shared" ref="Q34:Q35" si="2">SUM(G34:P34)</f>
        <v>0</v>
      </c>
      <c r="R34" s="648"/>
      <c r="S34" s="648"/>
    </row>
    <row r="35" spans="1:19" ht="12.6" hidden="1" customHeight="1" x14ac:dyDescent="0.2">
      <c r="A35" s="45"/>
      <c r="B35" s="45"/>
      <c r="C35" s="466"/>
      <c r="D35" s="502" t="s">
        <v>509</v>
      </c>
      <c r="E35" s="477">
        <v>1</v>
      </c>
      <c r="F35" s="439">
        <v>121515</v>
      </c>
      <c r="G35" s="47"/>
      <c r="H35" s="47"/>
      <c r="I35" s="47"/>
      <c r="J35" s="47"/>
      <c r="K35" s="47"/>
      <c r="L35" s="47"/>
      <c r="M35" s="47"/>
      <c r="N35" s="47"/>
      <c r="O35" s="47"/>
      <c r="P35" s="47"/>
      <c r="Q35" s="635">
        <f t="shared" si="2"/>
        <v>0</v>
      </c>
      <c r="R35" s="648"/>
      <c r="S35" s="648"/>
    </row>
    <row r="36" spans="1:19" ht="14.1" hidden="1" customHeight="1" x14ac:dyDescent="0.2">
      <c r="A36" s="45"/>
      <c r="B36" s="45"/>
      <c r="C36" s="466"/>
      <c r="D36" s="444" t="s">
        <v>246</v>
      </c>
      <c r="E36" s="477"/>
      <c r="F36" s="439"/>
      <c r="G36" s="47"/>
      <c r="H36" s="47"/>
      <c r="I36" s="47"/>
      <c r="J36" s="47"/>
      <c r="K36" s="47"/>
      <c r="L36" s="47"/>
      <c r="M36" s="47"/>
      <c r="N36" s="47"/>
      <c r="O36" s="47"/>
      <c r="P36" s="47"/>
      <c r="Q36" s="635"/>
      <c r="R36" s="648"/>
      <c r="S36" s="648"/>
    </row>
    <row r="37" spans="1:19" ht="14.1" hidden="1" customHeight="1" x14ac:dyDescent="0.2">
      <c r="A37" s="45"/>
      <c r="B37" s="45"/>
      <c r="C37" s="466"/>
      <c r="D37" s="439" t="s">
        <v>247</v>
      </c>
      <c r="E37" s="477">
        <v>1</v>
      </c>
      <c r="F37" s="439">
        <v>121601</v>
      </c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635">
        <f>SUM(G37:P37)</f>
        <v>0</v>
      </c>
      <c r="R37" s="648"/>
      <c r="S37" s="648"/>
    </row>
    <row r="38" spans="1:19" ht="14.1" hidden="1" customHeight="1" x14ac:dyDescent="0.2">
      <c r="A38" s="45"/>
      <c r="B38" s="45"/>
      <c r="C38" s="466"/>
      <c r="D38" s="460" t="s">
        <v>248</v>
      </c>
      <c r="E38" s="477"/>
      <c r="F38" s="477"/>
      <c r="G38" s="47"/>
      <c r="H38" s="47"/>
      <c r="I38" s="47"/>
      <c r="J38" s="47"/>
      <c r="K38" s="47"/>
      <c r="L38" s="47"/>
      <c r="M38" s="47"/>
      <c r="N38" s="47"/>
      <c r="O38" s="47"/>
      <c r="P38" s="47"/>
      <c r="Q38" s="635"/>
      <c r="R38" s="648"/>
      <c r="S38" s="648"/>
    </row>
    <row r="39" spans="1:19" ht="14.1" hidden="1" customHeight="1" x14ac:dyDescent="0.2">
      <c r="A39" s="45"/>
      <c r="B39" s="45"/>
      <c r="C39" s="466"/>
      <c r="D39" s="439" t="s">
        <v>249</v>
      </c>
      <c r="E39" s="477">
        <v>2</v>
      </c>
      <c r="F39" s="439">
        <v>121517</v>
      </c>
      <c r="G39" s="47"/>
      <c r="H39" s="47"/>
      <c r="I39" s="47"/>
      <c r="J39" s="47"/>
      <c r="K39" s="47"/>
      <c r="L39" s="47"/>
      <c r="M39" s="47"/>
      <c r="N39" s="47"/>
      <c r="O39" s="47"/>
      <c r="P39" s="47"/>
      <c r="Q39" s="635">
        <f>SUM(G39:P39)</f>
        <v>0</v>
      </c>
      <c r="R39" s="648"/>
      <c r="S39" s="648"/>
    </row>
    <row r="40" spans="1:19" ht="18" hidden="1" customHeight="1" x14ac:dyDescent="0.2">
      <c r="A40" s="136"/>
      <c r="B40" s="136"/>
      <c r="C40" s="137"/>
      <c r="D40" s="138" t="s">
        <v>745</v>
      </c>
      <c r="E40" s="139"/>
      <c r="F40" s="68"/>
      <c r="G40" s="68">
        <f t="shared" ref="G40:R40" si="3">SUM(G7:G39)</f>
        <v>0</v>
      </c>
      <c r="H40" s="68">
        <f t="shared" si="3"/>
        <v>0</v>
      </c>
      <c r="I40" s="68">
        <f t="shared" si="3"/>
        <v>0</v>
      </c>
      <c r="J40" s="68">
        <f t="shared" si="3"/>
        <v>0</v>
      </c>
      <c r="K40" s="68">
        <f t="shared" si="3"/>
        <v>0</v>
      </c>
      <c r="L40" s="68">
        <f t="shared" si="3"/>
        <v>0</v>
      </c>
      <c r="M40" s="68">
        <f t="shared" si="3"/>
        <v>0</v>
      </c>
      <c r="N40" s="68">
        <f t="shared" si="3"/>
        <v>0</v>
      </c>
      <c r="O40" s="68">
        <f t="shared" si="3"/>
        <v>0</v>
      </c>
      <c r="P40" s="68">
        <f t="shared" si="3"/>
        <v>0</v>
      </c>
      <c r="Q40" s="650">
        <f t="shared" si="3"/>
        <v>0</v>
      </c>
      <c r="R40" s="650">
        <f t="shared" si="3"/>
        <v>0</v>
      </c>
      <c r="S40" s="674"/>
    </row>
    <row r="41" spans="1:19" hidden="1" x14ac:dyDescent="0.2">
      <c r="A41" s="51"/>
      <c r="B41" s="51"/>
      <c r="C41" s="95"/>
      <c r="D41" s="90" t="s">
        <v>250</v>
      </c>
      <c r="E41" s="94"/>
      <c r="F41" s="48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651"/>
      <c r="R41" s="648"/>
      <c r="S41" s="648"/>
    </row>
    <row r="42" spans="1:19" hidden="1" x14ac:dyDescent="0.2">
      <c r="A42" s="462"/>
      <c r="B42" s="462"/>
      <c r="C42" s="466"/>
      <c r="D42" s="467" t="s">
        <v>746</v>
      </c>
      <c r="E42" s="201"/>
      <c r="F42" s="439"/>
      <c r="G42" s="463"/>
      <c r="H42" s="463"/>
      <c r="I42" s="463"/>
      <c r="J42" s="463"/>
      <c r="K42" s="463"/>
      <c r="L42" s="463"/>
      <c r="M42" s="463"/>
      <c r="N42" s="463"/>
      <c r="O42" s="463"/>
      <c r="P42" s="463"/>
      <c r="Q42" s="651"/>
      <c r="R42" s="648"/>
      <c r="S42" s="648"/>
    </row>
    <row r="43" spans="1:19" ht="24" hidden="1" x14ac:dyDescent="0.2">
      <c r="A43" s="51"/>
      <c r="B43" s="51"/>
      <c r="C43" s="95" t="s">
        <v>253</v>
      </c>
      <c r="D43" s="319" t="s">
        <v>252</v>
      </c>
      <c r="E43" s="94">
        <v>2</v>
      </c>
      <c r="F43" s="48">
        <v>121401</v>
      </c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560">
        <f>SUM(G43:P43)</f>
        <v>0</v>
      </c>
      <c r="R43" s="648"/>
      <c r="S43" s="648"/>
    </row>
    <row r="44" spans="1:19" ht="16.5" hidden="1" customHeight="1" x14ac:dyDescent="0.2">
      <c r="A44" s="51"/>
      <c r="B44" s="51"/>
      <c r="C44" s="95" t="s">
        <v>255</v>
      </c>
      <c r="D44" s="320" t="s">
        <v>254</v>
      </c>
      <c r="E44" s="94">
        <v>2</v>
      </c>
      <c r="F44" s="48">
        <v>121405</v>
      </c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560">
        <f>SUM(G44:P44)</f>
        <v>0</v>
      </c>
      <c r="R44" s="648"/>
      <c r="S44" s="648"/>
    </row>
    <row r="45" spans="1:19" ht="21.75" hidden="1" customHeight="1" x14ac:dyDescent="0.2">
      <c r="A45" s="136"/>
      <c r="B45" s="136"/>
      <c r="C45" s="137"/>
      <c r="D45" s="138" t="s">
        <v>747</v>
      </c>
      <c r="E45" s="139"/>
      <c r="F45" s="68"/>
      <c r="G45" s="68">
        <f t="shared" ref="G45:R45" si="4">SUM(G40:G44)</f>
        <v>0</v>
      </c>
      <c r="H45" s="68">
        <f t="shared" si="4"/>
        <v>0</v>
      </c>
      <c r="I45" s="68">
        <f t="shared" si="4"/>
        <v>0</v>
      </c>
      <c r="J45" s="68">
        <f t="shared" si="4"/>
        <v>0</v>
      </c>
      <c r="K45" s="68">
        <f t="shared" si="4"/>
        <v>0</v>
      </c>
      <c r="L45" s="68">
        <f t="shared" si="4"/>
        <v>0</v>
      </c>
      <c r="M45" s="68">
        <f t="shared" si="4"/>
        <v>0</v>
      </c>
      <c r="N45" s="68">
        <f t="shared" si="4"/>
        <v>0</v>
      </c>
      <c r="O45" s="68">
        <f t="shared" si="4"/>
        <v>0</v>
      </c>
      <c r="P45" s="68">
        <f t="shared" si="4"/>
        <v>0</v>
      </c>
      <c r="Q45" s="650">
        <f t="shared" si="4"/>
        <v>0</v>
      </c>
      <c r="R45" s="650">
        <f t="shared" si="4"/>
        <v>0</v>
      </c>
      <c r="S45" s="674"/>
    </row>
    <row r="46" spans="1:19" ht="12" customHeight="1" x14ac:dyDescent="0.2">
      <c r="A46" s="45">
        <v>1</v>
      </c>
      <c r="B46" s="45">
        <v>13</v>
      </c>
      <c r="C46" s="45"/>
      <c r="D46" s="140" t="s">
        <v>91</v>
      </c>
      <c r="E46" s="102" t="s">
        <v>256</v>
      </c>
      <c r="F46" s="52"/>
      <c r="G46" s="52"/>
      <c r="H46" s="47"/>
      <c r="I46" s="47"/>
      <c r="J46" s="47"/>
      <c r="K46" s="47"/>
      <c r="L46" s="47"/>
      <c r="M46" s="52"/>
      <c r="N46" s="52"/>
      <c r="O46" s="52"/>
      <c r="P46" s="52"/>
      <c r="Q46" s="651"/>
      <c r="R46" s="648"/>
      <c r="S46" s="648"/>
    </row>
    <row r="47" spans="1:19" hidden="1" x14ac:dyDescent="0.2">
      <c r="A47" s="45"/>
      <c r="B47" s="45"/>
      <c r="C47" s="95" t="s">
        <v>83</v>
      </c>
      <c r="D47" s="141" t="s">
        <v>257</v>
      </c>
      <c r="E47" s="102"/>
      <c r="F47" s="52"/>
      <c r="G47" s="52"/>
      <c r="H47" s="47"/>
      <c r="I47" s="47"/>
      <c r="J47" s="47"/>
      <c r="K47" s="47"/>
      <c r="L47" s="47"/>
      <c r="M47" s="52"/>
      <c r="N47" s="52"/>
      <c r="O47" s="52"/>
      <c r="P47" s="52"/>
      <c r="Q47" s="651"/>
      <c r="R47" s="648"/>
      <c r="S47" s="648"/>
    </row>
    <row r="48" spans="1:19" ht="12" hidden="1" customHeight="1" x14ac:dyDescent="0.2">
      <c r="A48" s="45"/>
      <c r="B48" s="45"/>
      <c r="C48" s="95"/>
      <c r="D48" s="93" t="s">
        <v>258</v>
      </c>
      <c r="E48" s="92"/>
      <c r="F48" s="69"/>
      <c r="G48" s="48"/>
      <c r="H48" s="47"/>
      <c r="I48" s="47"/>
      <c r="J48" s="47"/>
      <c r="K48" s="47"/>
      <c r="L48" s="47"/>
      <c r="M48" s="48"/>
      <c r="N48" s="48"/>
      <c r="O48" s="48"/>
      <c r="P48" s="48"/>
      <c r="Q48" s="560"/>
      <c r="R48" s="648"/>
      <c r="S48" s="648"/>
    </row>
    <row r="49" spans="1:19" ht="27" hidden="1" customHeight="1" x14ac:dyDescent="0.2">
      <c r="A49" s="45"/>
      <c r="B49" s="45"/>
      <c r="C49" s="95"/>
      <c r="D49" s="91" t="s">
        <v>259</v>
      </c>
      <c r="E49" s="48">
        <v>2</v>
      </c>
      <c r="F49" s="48">
        <v>131112</v>
      </c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560">
        <f t="shared" ref="Q49:R55" si="5">SUM(G49:P49)</f>
        <v>0</v>
      </c>
      <c r="R49" s="648"/>
      <c r="S49" s="648"/>
    </row>
    <row r="50" spans="1:19" ht="24.75" hidden="1" customHeight="1" x14ac:dyDescent="0.2">
      <c r="A50" s="45"/>
      <c r="B50" s="45"/>
      <c r="C50" s="95"/>
      <c r="D50" s="96" t="s">
        <v>260</v>
      </c>
      <c r="E50" s="48">
        <v>2</v>
      </c>
      <c r="F50" s="48">
        <v>131123</v>
      </c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560">
        <f t="shared" si="5"/>
        <v>0</v>
      </c>
      <c r="R50" s="648"/>
      <c r="S50" s="648"/>
    </row>
    <row r="51" spans="1:19" ht="17.45" customHeight="1" x14ac:dyDescent="0.2">
      <c r="A51" s="45"/>
      <c r="B51" s="45"/>
      <c r="C51" s="95"/>
      <c r="D51" s="96" t="s">
        <v>700</v>
      </c>
      <c r="E51" s="48">
        <v>2</v>
      </c>
      <c r="F51" s="48">
        <v>131212</v>
      </c>
      <c r="G51" s="48">
        <v>15000</v>
      </c>
      <c r="H51" s="48"/>
      <c r="I51" s="48">
        <v>-15000</v>
      </c>
      <c r="J51" s="48"/>
      <c r="K51" s="48"/>
      <c r="L51" s="48"/>
      <c r="M51" s="48"/>
      <c r="N51" s="48"/>
      <c r="O51" s="48"/>
      <c r="P51" s="48"/>
      <c r="Q51" s="560">
        <f t="shared" si="5"/>
        <v>0</v>
      </c>
      <c r="R51" s="648"/>
      <c r="S51" s="648" t="s">
        <v>1066</v>
      </c>
    </row>
    <row r="52" spans="1:19" ht="22.5" hidden="1" customHeight="1" x14ac:dyDescent="0.2">
      <c r="A52" s="45"/>
      <c r="B52" s="45"/>
      <c r="C52" s="95"/>
      <c r="D52" s="96" t="s">
        <v>261</v>
      </c>
      <c r="E52" s="48">
        <v>2</v>
      </c>
      <c r="F52" s="48">
        <v>131122</v>
      </c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560">
        <f t="shared" si="5"/>
        <v>0</v>
      </c>
      <c r="R52" s="648"/>
      <c r="S52" s="648"/>
    </row>
    <row r="53" spans="1:19" ht="15" hidden="1" customHeight="1" x14ac:dyDescent="0.2">
      <c r="A53" s="45"/>
      <c r="B53" s="45"/>
      <c r="C53" s="95"/>
      <c r="D53" s="90" t="s">
        <v>840</v>
      </c>
      <c r="E53" s="48">
        <v>2</v>
      </c>
      <c r="F53" s="48">
        <v>131107</v>
      </c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560">
        <f t="shared" si="5"/>
        <v>0</v>
      </c>
      <c r="R53" s="560">
        <f t="shared" si="5"/>
        <v>0</v>
      </c>
      <c r="S53" s="648"/>
    </row>
    <row r="54" spans="1:19" ht="15" hidden="1" customHeight="1" x14ac:dyDescent="0.2">
      <c r="A54" s="45"/>
      <c r="B54" s="45"/>
      <c r="C54" s="95"/>
      <c r="D54" s="90" t="s">
        <v>262</v>
      </c>
      <c r="E54" s="48">
        <v>2</v>
      </c>
      <c r="F54" s="48">
        <v>131128</v>
      </c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560">
        <f t="shared" si="5"/>
        <v>0</v>
      </c>
      <c r="R54" s="648"/>
      <c r="S54" s="648"/>
    </row>
    <row r="55" spans="1:19" ht="27.6" hidden="1" customHeight="1" x14ac:dyDescent="0.2">
      <c r="A55" s="45"/>
      <c r="B55" s="45"/>
      <c r="C55" s="95"/>
      <c r="D55" s="91" t="s">
        <v>701</v>
      </c>
      <c r="E55" s="48">
        <v>2</v>
      </c>
      <c r="F55" s="48">
        <v>131129</v>
      </c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560">
        <f t="shared" si="5"/>
        <v>0</v>
      </c>
      <c r="R55" s="652">
        <f>SUM(Q49:Q55)</f>
        <v>0</v>
      </c>
      <c r="S55" s="648"/>
    </row>
    <row r="56" spans="1:19" ht="14.1" hidden="1" customHeight="1" x14ac:dyDescent="0.2">
      <c r="A56" s="45"/>
      <c r="B56" s="45"/>
      <c r="C56" s="95" t="s">
        <v>82</v>
      </c>
      <c r="D56" s="97" t="s">
        <v>263</v>
      </c>
      <c r="E56" s="142"/>
      <c r="F56" s="142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560"/>
      <c r="R56" s="648"/>
      <c r="S56" s="648"/>
    </row>
    <row r="57" spans="1:19" ht="24.95" hidden="1" customHeight="1" x14ac:dyDescent="0.2">
      <c r="A57" s="45"/>
      <c r="B57" s="45"/>
      <c r="C57" s="95"/>
      <c r="D57" s="96" t="s">
        <v>264</v>
      </c>
      <c r="E57" s="57"/>
      <c r="F57" s="57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560"/>
      <c r="R57" s="648"/>
      <c r="S57" s="648"/>
    </row>
    <row r="58" spans="1:19" ht="15" hidden="1" customHeight="1" x14ac:dyDescent="0.2">
      <c r="A58" s="45"/>
      <c r="B58" s="45"/>
      <c r="C58" s="95"/>
      <c r="D58" s="90" t="s">
        <v>265</v>
      </c>
      <c r="E58" s="48">
        <v>2</v>
      </c>
      <c r="F58" s="48">
        <v>131201</v>
      </c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560">
        <f t="shared" ref="Q58:Q63" si="6">SUM(G58:P58)</f>
        <v>0</v>
      </c>
      <c r="R58" s="648"/>
      <c r="S58" s="648"/>
    </row>
    <row r="59" spans="1:19" ht="15" hidden="1" customHeight="1" x14ac:dyDescent="0.2">
      <c r="A59" s="45"/>
      <c r="B59" s="45"/>
      <c r="C59" s="95"/>
      <c r="D59" s="90" t="s">
        <v>266</v>
      </c>
      <c r="E59" s="48">
        <v>2</v>
      </c>
      <c r="F59" s="48">
        <v>131202</v>
      </c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560">
        <f t="shared" si="6"/>
        <v>0</v>
      </c>
      <c r="R59" s="648"/>
      <c r="S59" s="648"/>
    </row>
    <row r="60" spans="1:19" ht="15" hidden="1" customHeight="1" x14ac:dyDescent="0.2">
      <c r="A60" s="45"/>
      <c r="B60" s="45"/>
      <c r="C60" s="95"/>
      <c r="D60" s="90" t="s">
        <v>267</v>
      </c>
      <c r="E60" s="48">
        <v>2</v>
      </c>
      <c r="F60" s="48">
        <v>131205</v>
      </c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560">
        <f t="shared" si="6"/>
        <v>0</v>
      </c>
      <c r="R60" s="648"/>
      <c r="S60" s="648"/>
    </row>
    <row r="61" spans="1:19" ht="15" hidden="1" customHeight="1" x14ac:dyDescent="0.2">
      <c r="A61" s="45"/>
      <c r="B61" s="45"/>
      <c r="C61" s="95"/>
      <c r="D61" s="90" t="s">
        <v>268</v>
      </c>
      <c r="E61" s="48">
        <v>2</v>
      </c>
      <c r="F61" s="48">
        <v>131206</v>
      </c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560">
        <f t="shared" si="6"/>
        <v>0</v>
      </c>
      <c r="R61" s="648"/>
      <c r="S61" s="648"/>
    </row>
    <row r="62" spans="1:19" ht="15" hidden="1" customHeight="1" x14ac:dyDescent="0.2">
      <c r="A62" s="45"/>
      <c r="B62" s="45"/>
      <c r="C62" s="95"/>
      <c r="D62" s="93" t="s">
        <v>269</v>
      </c>
      <c r="E62" s="48">
        <v>2</v>
      </c>
      <c r="F62" s="48">
        <v>131209</v>
      </c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560">
        <f t="shared" si="6"/>
        <v>0</v>
      </c>
      <c r="R62" s="648"/>
      <c r="S62" s="648"/>
    </row>
    <row r="63" spans="1:19" ht="26.45" hidden="1" customHeight="1" x14ac:dyDescent="0.2">
      <c r="A63" s="45"/>
      <c r="B63" s="45"/>
      <c r="C63" s="95"/>
      <c r="D63" s="143" t="s">
        <v>702</v>
      </c>
      <c r="E63" s="48">
        <v>2</v>
      </c>
      <c r="F63" s="48">
        <v>131214</v>
      </c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560">
        <f t="shared" si="6"/>
        <v>0</v>
      </c>
      <c r="R63" s="648"/>
      <c r="S63" s="648"/>
    </row>
    <row r="64" spans="1:19" ht="14.1" hidden="1" customHeight="1" x14ac:dyDescent="0.2">
      <c r="A64" s="45"/>
      <c r="B64" s="45"/>
      <c r="C64" s="95"/>
      <c r="D64" s="90" t="s">
        <v>239</v>
      </c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560"/>
      <c r="R64" s="648"/>
      <c r="S64" s="648"/>
    </row>
    <row r="65" spans="1:19" ht="14.1" hidden="1" customHeight="1" x14ac:dyDescent="0.2">
      <c r="A65" s="45"/>
      <c r="B65" s="45"/>
      <c r="C65" s="95"/>
      <c r="D65" s="93" t="s">
        <v>270</v>
      </c>
      <c r="E65" s="48">
        <v>2</v>
      </c>
      <c r="F65" s="48">
        <v>131101</v>
      </c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560">
        <f>SUM(G65:P65)</f>
        <v>0</v>
      </c>
      <c r="R65" s="648"/>
      <c r="S65" s="648"/>
    </row>
    <row r="66" spans="1:19" ht="14.1" hidden="1" customHeight="1" x14ac:dyDescent="0.2">
      <c r="A66" s="45"/>
      <c r="B66" s="45"/>
      <c r="C66" s="95"/>
      <c r="D66" s="93" t="s">
        <v>271</v>
      </c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560"/>
      <c r="R66" s="648"/>
      <c r="S66" s="648"/>
    </row>
    <row r="67" spans="1:19" ht="14.1" hidden="1" customHeight="1" x14ac:dyDescent="0.2">
      <c r="A67" s="45"/>
      <c r="B67" s="45"/>
      <c r="C67" s="95"/>
      <c r="D67" s="90" t="s">
        <v>272</v>
      </c>
      <c r="E67" s="48">
        <v>2</v>
      </c>
      <c r="F67" s="48">
        <v>131120</v>
      </c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560">
        <f>SUM(G67:P67)</f>
        <v>0</v>
      </c>
      <c r="R67" s="648"/>
      <c r="S67" s="648"/>
    </row>
    <row r="68" spans="1:19" ht="14.1" hidden="1" customHeight="1" x14ac:dyDescent="0.2">
      <c r="A68" s="45"/>
      <c r="B68" s="45"/>
      <c r="C68" s="95"/>
      <c r="D68" s="90" t="s">
        <v>273</v>
      </c>
      <c r="E68" s="69"/>
      <c r="F68" s="69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560"/>
      <c r="R68" s="648"/>
      <c r="S68" s="648"/>
    </row>
    <row r="69" spans="1:19" ht="14.1" hidden="1" customHeight="1" x14ac:dyDescent="0.2">
      <c r="A69" s="45"/>
      <c r="B69" s="45"/>
      <c r="C69" s="95"/>
      <c r="D69" s="90" t="s">
        <v>274</v>
      </c>
      <c r="E69" s="48">
        <v>2</v>
      </c>
      <c r="F69" s="48">
        <v>131346</v>
      </c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560">
        <f t="shared" ref="Q69:Q97" si="7">SUM(G69:P69)</f>
        <v>0</v>
      </c>
      <c r="R69" s="648"/>
      <c r="S69" s="648"/>
    </row>
    <row r="70" spans="1:19" ht="14.1" hidden="1" customHeight="1" x14ac:dyDescent="0.2">
      <c r="A70" s="45"/>
      <c r="B70" s="45"/>
      <c r="C70" s="95"/>
      <c r="D70" s="90" t="s">
        <v>600</v>
      </c>
      <c r="E70" s="48">
        <v>2</v>
      </c>
      <c r="F70" s="48">
        <v>131339</v>
      </c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560">
        <f t="shared" si="7"/>
        <v>0</v>
      </c>
      <c r="R70" s="648"/>
      <c r="S70" s="648"/>
    </row>
    <row r="71" spans="1:19" ht="14.1" hidden="1" customHeight="1" x14ac:dyDescent="0.2">
      <c r="A71" s="45"/>
      <c r="B71" s="45"/>
      <c r="C71" s="95"/>
      <c r="D71" s="90" t="s">
        <v>275</v>
      </c>
      <c r="E71" s="48">
        <v>2</v>
      </c>
      <c r="F71" s="48">
        <v>131306</v>
      </c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560">
        <f t="shared" si="7"/>
        <v>0</v>
      </c>
      <c r="R71" s="648"/>
      <c r="S71" s="648"/>
    </row>
    <row r="72" spans="1:19" ht="14.1" hidden="1" customHeight="1" x14ac:dyDescent="0.2">
      <c r="A72" s="45"/>
      <c r="B72" s="45"/>
      <c r="C72" s="95"/>
      <c r="D72" s="90" t="s">
        <v>749</v>
      </c>
      <c r="E72" s="48">
        <v>2</v>
      </c>
      <c r="F72" s="48">
        <v>131341</v>
      </c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560">
        <f t="shared" si="7"/>
        <v>0</v>
      </c>
      <c r="R72" s="648"/>
      <c r="S72" s="648"/>
    </row>
    <row r="73" spans="1:19" ht="14.1" hidden="1" customHeight="1" x14ac:dyDescent="0.2">
      <c r="A73" s="45"/>
      <c r="B73" s="45"/>
      <c r="C73" s="95"/>
      <c r="D73" s="100" t="s">
        <v>750</v>
      </c>
      <c r="E73" s="48">
        <v>2</v>
      </c>
      <c r="F73" s="48">
        <v>221910</v>
      </c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560">
        <f t="shared" si="7"/>
        <v>0</v>
      </c>
      <c r="R73" s="648"/>
      <c r="S73" s="648"/>
    </row>
    <row r="74" spans="1:19" ht="14.1" hidden="1" customHeight="1" x14ac:dyDescent="0.2">
      <c r="A74" s="45"/>
      <c r="B74" s="45"/>
      <c r="C74" s="95"/>
      <c r="D74" s="100" t="s">
        <v>632</v>
      </c>
      <c r="E74" s="48">
        <v>2</v>
      </c>
      <c r="F74" s="48">
        <v>131332</v>
      </c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560">
        <f t="shared" si="7"/>
        <v>0</v>
      </c>
      <c r="R74" s="648"/>
      <c r="S74" s="648"/>
    </row>
    <row r="75" spans="1:19" ht="14.1" hidden="1" customHeight="1" x14ac:dyDescent="0.2">
      <c r="A75" s="45"/>
      <c r="B75" s="45"/>
      <c r="C75" s="56"/>
      <c r="D75" s="259" t="s">
        <v>751</v>
      </c>
      <c r="E75" s="48">
        <v>2</v>
      </c>
      <c r="F75" s="48">
        <v>131366</v>
      </c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560">
        <f t="shared" si="7"/>
        <v>0</v>
      </c>
      <c r="R75" s="648"/>
      <c r="S75" s="648"/>
    </row>
    <row r="76" spans="1:19" ht="14.1" hidden="1" customHeight="1" x14ac:dyDescent="0.2">
      <c r="A76" s="45"/>
      <c r="B76" s="45"/>
      <c r="C76" s="56"/>
      <c r="D76" s="259" t="s">
        <v>752</v>
      </c>
      <c r="E76" s="48">
        <v>2</v>
      </c>
      <c r="F76" s="48">
        <v>131314</v>
      </c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560">
        <f t="shared" si="7"/>
        <v>0</v>
      </c>
      <c r="R76" s="648"/>
      <c r="S76" s="648"/>
    </row>
    <row r="77" spans="1:19" ht="14.1" hidden="1" customHeight="1" x14ac:dyDescent="0.2">
      <c r="A77" s="45"/>
      <c r="B77" s="45"/>
      <c r="C77" s="95"/>
      <c r="D77" s="100" t="s">
        <v>649</v>
      </c>
      <c r="E77" s="48">
        <v>2</v>
      </c>
      <c r="F77" s="48">
        <v>131361</v>
      </c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560">
        <f t="shared" si="7"/>
        <v>0</v>
      </c>
      <c r="R77" s="648"/>
      <c r="S77" s="648"/>
    </row>
    <row r="78" spans="1:19" ht="14.1" hidden="1" customHeight="1" x14ac:dyDescent="0.2">
      <c r="A78" s="45"/>
      <c r="B78" s="45"/>
      <c r="C78" s="95"/>
      <c r="D78" s="90" t="s">
        <v>584</v>
      </c>
      <c r="E78" s="48">
        <v>2</v>
      </c>
      <c r="F78" s="48">
        <v>131409</v>
      </c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560">
        <f t="shared" si="7"/>
        <v>0</v>
      </c>
      <c r="R78" s="648"/>
      <c r="S78" s="648"/>
    </row>
    <row r="79" spans="1:19" ht="14.1" hidden="1" customHeight="1" x14ac:dyDescent="0.2">
      <c r="A79" s="45"/>
      <c r="B79" s="45"/>
      <c r="C79" s="56"/>
      <c r="D79" s="259" t="s">
        <v>753</v>
      </c>
      <c r="E79" s="48">
        <v>2</v>
      </c>
      <c r="F79" s="48">
        <v>131367</v>
      </c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560">
        <f t="shared" si="7"/>
        <v>0</v>
      </c>
      <c r="R79" s="648"/>
      <c r="S79" s="648"/>
    </row>
    <row r="80" spans="1:19" ht="14.1" hidden="1" customHeight="1" x14ac:dyDescent="0.2">
      <c r="A80" s="45"/>
      <c r="B80" s="45"/>
      <c r="C80" s="95"/>
      <c r="D80" s="90" t="s">
        <v>585</v>
      </c>
      <c r="E80" s="48">
        <v>2</v>
      </c>
      <c r="F80" s="48">
        <v>131352</v>
      </c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560">
        <f t="shared" si="7"/>
        <v>0</v>
      </c>
      <c r="R80" s="648"/>
      <c r="S80" s="648"/>
    </row>
    <row r="81" spans="1:19" ht="14.1" hidden="1" customHeight="1" x14ac:dyDescent="0.2">
      <c r="A81" s="45"/>
      <c r="B81" s="45"/>
      <c r="C81" s="95"/>
      <c r="D81" s="90" t="s">
        <v>586</v>
      </c>
      <c r="E81" s="48">
        <v>2</v>
      </c>
      <c r="F81" s="48">
        <v>131353</v>
      </c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560">
        <f t="shared" si="7"/>
        <v>0</v>
      </c>
      <c r="R81" s="648"/>
      <c r="S81" s="648"/>
    </row>
    <row r="82" spans="1:19" ht="14.1" hidden="1" customHeight="1" x14ac:dyDescent="0.2">
      <c r="A82" s="45"/>
      <c r="B82" s="45"/>
      <c r="C82" s="95"/>
      <c r="D82" s="90" t="s">
        <v>754</v>
      </c>
      <c r="E82" s="48">
        <v>2</v>
      </c>
      <c r="F82" s="48">
        <v>131329</v>
      </c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560">
        <f t="shared" si="7"/>
        <v>0</v>
      </c>
      <c r="R82" s="648"/>
      <c r="S82" s="648"/>
    </row>
    <row r="83" spans="1:19" ht="14.1" hidden="1" customHeight="1" x14ac:dyDescent="0.2">
      <c r="A83" s="45"/>
      <c r="B83" s="45"/>
      <c r="C83" s="95"/>
      <c r="D83" s="91" t="s">
        <v>504</v>
      </c>
      <c r="E83" s="48">
        <v>2</v>
      </c>
      <c r="F83" s="48">
        <v>131321</v>
      </c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560">
        <f t="shared" si="7"/>
        <v>0</v>
      </c>
      <c r="R83" s="648"/>
      <c r="S83" s="648"/>
    </row>
    <row r="84" spans="1:19" ht="26.25" hidden="1" customHeight="1" x14ac:dyDescent="0.2">
      <c r="A84" s="45"/>
      <c r="B84" s="45"/>
      <c r="C84" s="95"/>
      <c r="D84" s="91" t="s">
        <v>276</v>
      </c>
      <c r="E84" s="48">
        <v>2</v>
      </c>
      <c r="F84" s="48">
        <v>131313</v>
      </c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560">
        <f t="shared" si="7"/>
        <v>0</v>
      </c>
      <c r="R84" s="648"/>
      <c r="S84" s="648"/>
    </row>
    <row r="85" spans="1:19" ht="14.1" hidden="1" customHeight="1" x14ac:dyDescent="0.2">
      <c r="A85" s="45"/>
      <c r="B85" s="45"/>
      <c r="C85" s="95"/>
      <c r="D85" s="96" t="s">
        <v>277</v>
      </c>
      <c r="E85" s="48">
        <v>2</v>
      </c>
      <c r="F85" s="48">
        <v>131501</v>
      </c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560">
        <f t="shared" si="7"/>
        <v>0</v>
      </c>
      <c r="R85" s="648"/>
      <c r="S85" s="648"/>
    </row>
    <row r="86" spans="1:19" ht="14.1" hidden="1" customHeight="1" x14ac:dyDescent="0.2">
      <c r="A86" s="45"/>
      <c r="B86" s="45"/>
      <c r="C86" s="95"/>
      <c r="D86" s="70" t="s">
        <v>568</v>
      </c>
      <c r="E86" s="48">
        <v>2</v>
      </c>
      <c r="F86" s="48">
        <v>131310</v>
      </c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560">
        <f t="shared" si="7"/>
        <v>0</v>
      </c>
      <c r="R86" s="648"/>
      <c r="S86" s="648"/>
    </row>
    <row r="87" spans="1:19" ht="14.1" hidden="1" customHeight="1" x14ac:dyDescent="0.2">
      <c r="A87" s="45"/>
      <c r="B87" s="45"/>
      <c r="C87" s="95"/>
      <c r="D87" s="144" t="s">
        <v>569</v>
      </c>
      <c r="E87" s="106">
        <v>2</v>
      </c>
      <c r="F87" s="106">
        <v>131410</v>
      </c>
      <c r="G87" s="106"/>
      <c r="H87" s="106"/>
      <c r="I87" s="106"/>
      <c r="J87" s="106"/>
      <c r="K87" s="106"/>
      <c r="L87" s="106"/>
      <c r="M87" s="106"/>
      <c r="N87" s="106"/>
      <c r="O87" s="106"/>
      <c r="P87" s="106"/>
      <c r="Q87" s="560">
        <f t="shared" si="7"/>
        <v>0</v>
      </c>
      <c r="R87" s="648"/>
      <c r="S87" s="648"/>
    </row>
    <row r="88" spans="1:19" ht="14.1" hidden="1" customHeight="1" x14ac:dyDescent="0.2">
      <c r="A88" s="107"/>
      <c r="B88" s="107"/>
      <c r="C88" s="145"/>
      <c r="D88" s="144" t="s">
        <v>633</v>
      </c>
      <c r="E88" s="106">
        <v>2</v>
      </c>
      <c r="F88" s="106">
        <v>221944</v>
      </c>
      <c r="G88" s="106"/>
      <c r="H88" s="106"/>
      <c r="I88" s="106"/>
      <c r="J88" s="106"/>
      <c r="K88" s="106"/>
      <c r="L88" s="106"/>
      <c r="M88" s="106"/>
      <c r="N88" s="106"/>
      <c r="O88" s="106"/>
      <c r="P88" s="106"/>
      <c r="Q88" s="560">
        <f t="shared" si="7"/>
        <v>0</v>
      </c>
      <c r="R88" s="648"/>
      <c r="S88" s="648"/>
    </row>
    <row r="89" spans="1:19" ht="14.1" hidden="1" customHeight="1" x14ac:dyDescent="0.2">
      <c r="A89" s="107"/>
      <c r="B89" s="107"/>
      <c r="C89" s="145"/>
      <c r="D89" s="144" t="s">
        <v>588</v>
      </c>
      <c r="E89" s="106">
        <v>2</v>
      </c>
      <c r="F89" s="106">
        <v>131307</v>
      </c>
      <c r="G89" s="106"/>
      <c r="H89" s="106"/>
      <c r="I89" s="106"/>
      <c r="J89" s="106"/>
      <c r="K89" s="106"/>
      <c r="L89" s="106"/>
      <c r="M89" s="106"/>
      <c r="N89" s="106"/>
      <c r="O89" s="106"/>
      <c r="P89" s="106"/>
      <c r="Q89" s="560">
        <f t="shared" si="7"/>
        <v>0</v>
      </c>
      <c r="R89" s="648"/>
      <c r="S89" s="648"/>
    </row>
    <row r="90" spans="1:19" ht="14.1" hidden="1" customHeight="1" x14ac:dyDescent="0.2">
      <c r="A90" s="107"/>
      <c r="B90" s="107"/>
      <c r="C90" s="145"/>
      <c r="D90" s="144" t="s">
        <v>1016</v>
      </c>
      <c r="E90" s="106">
        <v>2</v>
      </c>
      <c r="F90" s="106">
        <v>131357</v>
      </c>
      <c r="G90" s="106"/>
      <c r="H90" s="106"/>
      <c r="I90" s="106"/>
      <c r="J90" s="106"/>
      <c r="K90" s="106"/>
      <c r="L90" s="106"/>
      <c r="M90" s="106"/>
      <c r="N90" s="106"/>
      <c r="O90" s="106"/>
      <c r="P90" s="106"/>
      <c r="Q90" s="560">
        <f t="shared" si="7"/>
        <v>0</v>
      </c>
      <c r="R90" s="648"/>
      <c r="S90" s="648"/>
    </row>
    <row r="91" spans="1:19" ht="14.1" hidden="1" customHeight="1" x14ac:dyDescent="0.2">
      <c r="A91" s="107"/>
      <c r="B91" s="107"/>
      <c r="C91" s="145"/>
      <c r="D91" s="144" t="s">
        <v>589</v>
      </c>
      <c r="E91" s="106">
        <v>2</v>
      </c>
      <c r="F91" s="106">
        <v>131323</v>
      </c>
      <c r="G91" s="106"/>
      <c r="H91" s="106"/>
      <c r="I91" s="106"/>
      <c r="J91" s="106"/>
      <c r="K91" s="106"/>
      <c r="L91" s="106"/>
      <c r="M91" s="106"/>
      <c r="N91" s="106"/>
      <c r="O91" s="106"/>
      <c r="P91" s="106"/>
      <c r="Q91" s="560">
        <f t="shared" si="7"/>
        <v>0</v>
      </c>
      <c r="R91" s="648"/>
      <c r="S91" s="648"/>
    </row>
    <row r="92" spans="1:19" ht="14.1" hidden="1" customHeight="1" x14ac:dyDescent="0.2">
      <c r="A92" s="107"/>
      <c r="B92" s="107"/>
      <c r="C92" s="145"/>
      <c r="D92" s="144" t="s">
        <v>755</v>
      </c>
      <c r="E92" s="106">
        <v>2</v>
      </c>
      <c r="F92" s="106">
        <v>131315</v>
      </c>
      <c r="G92" s="106"/>
      <c r="H92" s="106"/>
      <c r="I92" s="106"/>
      <c r="J92" s="106"/>
      <c r="K92" s="106"/>
      <c r="L92" s="106"/>
      <c r="M92" s="106"/>
      <c r="N92" s="106"/>
      <c r="O92" s="106"/>
      <c r="P92" s="106"/>
      <c r="Q92" s="560">
        <f t="shared" si="7"/>
        <v>0</v>
      </c>
      <c r="R92" s="648"/>
      <c r="S92" s="648"/>
    </row>
    <row r="93" spans="1:19" ht="25.5" hidden="1" customHeight="1" x14ac:dyDescent="0.2">
      <c r="A93" s="107"/>
      <c r="B93" s="107"/>
      <c r="C93" s="145"/>
      <c r="D93" s="146" t="s">
        <v>278</v>
      </c>
      <c r="E93" s="106">
        <v>2</v>
      </c>
      <c r="F93" s="106">
        <v>131348</v>
      </c>
      <c r="G93" s="106"/>
      <c r="H93" s="106"/>
      <c r="I93" s="106"/>
      <c r="J93" s="106"/>
      <c r="K93" s="106"/>
      <c r="L93" s="106"/>
      <c r="M93" s="106"/>
      <c r="N93" s="106"/>
      <c r="O93" s="106"/>
      <c r="P93" s="106"/>
      <c r="Q93" s="560">
        <f t="shared" si="7"/>
        <v>0</v>
      </c>
      <c r="R93" s="648"/>
      <c r="S93" s="648"/>
    </row>
    <row r="94" spans="1:19" ht="14.1" hidden="1" customHeight="1" x14ac:dyDescent="0.2">
      <c r="A94" s="107"/>
      <c r="B94" s="107"/>
      <c r="C94" s="145"/>
      <c r="D94" s="105" t="s">
        <v>648</v>
      </c>
      <c r="E94" s="106">
        <v>2</v>
      </c>
      <c r="F94" s="106">
        <v>131213</v>
      </c>
      <c r="G94" s="106"/>
      <c r="H94" s="106"/>
      <c r="I94" s="106"/>
      <c r="J94" s="106"/>
      <c r="K94" s="106"/>
      <c r="L94" s="106"/>
      <c r="M94" s="106"/>
      <c r="N94" s="106"/>
      <c r="O94" s="106"/>
      <c r="P94" s="106"/>
      <c r="Q94" s="560">
        <f t="shared" si="7"/>
        <v>0</v>
      </c>
      <c r="R94" s="648"/>
      <c r="S94" s="648"/>
    </row>
    <row r="95" spans="1:19" ht="16.149999999999999" hidden="1" customHeight="1" x14ac:dyDescent="0.2">
      <c r="A95" s="107"/>
      <c r="B95" s="107"/>
      <c r="C95" s="145"/>
      <c r="D95" s="105" t="s">
        <v>756</v>
      </c>
      <c r="E95" s="106">
        <v>2</v>
      </c>
      <c r="F95" s="106">
        <v>131363</v>
      </c>
      <c r="G95" s="106"/>
      <c r="H95" s="106"/>
      <c r="I95" s="106"/>
      <c r="J95" s="106"/>
      <c r="K95" s="106"/>
      <c r="L95" s="106"/>
      <c r="M95" s="106"/>
      <c r="N95" s="106"/>
      <c r="O95" s="106"/>
      <c r="P95" s="106"/>
      <c r="Q95" s="560">
        <f t="shared" si="7"/>
        <v>0</v>
      </c>
      <c r="R95" s="648"/>
      <c r="S95" s="648"/>
    </row>
    <row r="96" spans="1:19" ht="16.149999999999999" hidden="1" customHeight="1" x14ac:dyDescent="0.2">
      <c r="A96" s="45"/>
      <c r="B96" s="45"/>
      <c r="C96" s="56"/>
      <c r="D96" s="148" t="s">
        <v>703</v>
      </c>
      <c r="E96" s="202">
        <v>2</v>
      </c>
      <c r="F96" s="202">
        <v>131365</v>
      </c>
      <c r="G96" s="202"/>
      <c r="H96" s="202"/>
      <c r="I96" s="202"/>
      <c r="J96" s="202"/>
      <c r="K96" s="202"/>
      <c r="L96" s="202"/>
      <c r="M96" s="202"/>
      <c r="N96" s="202"/>
      <c r="O96" s="202"/>
      <c r="P96" s="202"/>
      <c r="Q96" s="560">
        <f t="shared" si="7"/>
        <v>0</v>
      </c>
      <c r="R96" s="648"/>
      <c r="S96" s="648"/>
    </row>
    <row r="97" spans="1:19" ht="26.25" hidden="1" customHeight="1" x14ac:dyDescent="0.2">
      <c r="A97" s="107"/>
      <c r="B97" s="107"/>
      <c r="C97" s="145"/>
      <c r="D97" s="105" t="s">
        <v>279</v>
      </c>
      <c r="E97" s="106">
        <v>2</v>
      </c>
      <c r="F97" s="106">
        <v>131345</v>
      </c>
      <c r="G97" s="106"/>
      <c r="H97" s="106"/>
      <c r="I97" s="106"/>
      <c r="J97" s="106"/>
      <c r="K97" s="106"/>
      <c r="L97" s="106"/>
      <c r="M97" s="106"/>
      <c r="N97" s="106"/>
      <c r="O97" s="106"/>
      <c r="P97" s="106"/>
      <c r="Q97" s="560">
        <f t="shared" si="7"/>
        <v>0</v>
      </c>
      <c r="R97" s="648"/>
      <c r="S97" s="648"/>
    </row>
    <row r="98" spans="1:19" ht="14.45" hidden="1" customHeight="1" x14ac:dyDescent="0.2">
      <c r="A98" s="107"/>
      <c r="B98" s="107"/>
      <c r="C98" s="145"/>
      <c r="D98" s="111" t="s">
        <v>280</v>
      </c>
      <c r="E98" s="112"/>
      <c r="F98" s="133"/>
      <c r="G98" s="106"/>
      <c r="H98" s="106"/>
      <c r="I98" s="106"/>
      <c r="J98" s="106"/>
      <c r="K98" s="106"/>
      <c r="L98" s="106"/>
      <c r="M98" s="106"/>
      <c r="N98" s="106"/>
      <c r="O98" s="106"/>
      <c r="P98" s="106"/>
      <c r="Q98" s="560"/>
      <c r="R98" s="648"/>
      <c r="S98" s="648"/>
    </row>
    <row r="99" spans="1:19" ht="25.9" hidden="1" customHeight="1" x14ac:dyDescent="0.2">
      <c r="A99" s="107"/>
      <c r="B99" s="107"/>
      <c r="C99" s="108"/>
      <c r="D99" s="149" t="s">
        <v>281</v>
      </c>
      <c r="E99" s="133">
        <v>2</v>
      </c>
      <c r="F99" s="106">
        <v>131401</v>
      </c>
      <c r="G99" s="106"/>
      <c r="H99" s="106"/>
      <c r="I99" s="106"/>
      <c r="J99" s="106"/>
      <c r="K99" s="106"/>
      <c r="L99" s="106"/>
      <c r="M99" s="106"/>
      <c r="N99" s="106"/>
      <c r="O99" s="106"/>
      <c r="P99" s="106"/>
      <c r="Q99" s="560">
        <f t="shared" ref="Q99:Q107" si="8">SUM(G99:P99)</f>
        <v>0</v>
      </c>
      <c r="R99" s="648"/>
      <c r="S99" s="648"/>
    </row>
    <row r="100" spans="1:19" ht="14.1" hidden="1" customHeight="1" x14ac:dyDescent="0.2">
      <c r="A100" s="107"/>
      <c r="B100" s="107"/>
      <c r="C100" s="145"/>
      <c r="D100" s="150" t="s">
        <v>282</v>
      </c>
      <c r="E100" s="133">
        <v>2</v>
      </c>
      <c r="F100" s="106">
        <v>131402</v>
      </c>
      <c r="G100" s="106"/>
      <c r="H100" s="106"/>
      <c r="I100" s="106"/>
      <c r="J100" s="106"/>
      <c r="K100" s="106"/>
      <c r="L100" s="106"/>
      <c r="M100" s="106"/>
      <c r="N100" s="106"/>
      <c r="O100" s="106"/>
      <c r="P100" s="106"/>
      <c r="Q100" s="560">
        <f t="shared" si="8"/>
        <v>0</v>
      </c>
      <c r="R100" s="648"/>
      <c r="S100" s="648"/>
    </row>
    <row r="101" spans="1:19" ht="14.1" hidden="1" customHeight="1" x14ac:dyDescent="0.2">
      <c r="A101" s="107"/>
      <c r="B101" s="107"/>
      <c r="C101" s="145"/>
      <c r="D101" s="111" t="s">
        <v>757</v>
      </c>
      <c r="E101" s="133">
        <v>2</v>
      </c>
      <c r="F101" s="106">
        <v>131403</v>
      </c>
      <c r="G101" s="106"/>
      <c r="H101" s="106"/>
      <c r="I101" s="106"/>
      <c r="J101" s="106"/>
      <c r="K101" s="106"/>
      <c r="L101" s="106"/>
      <c r="M101" s="106"/>
      <c r="N101" s="106"/>
      <c r="O101" s="106"/>
      <c r="P101" s="106"/>
      <c r="Q101" s="560">
        <f t="shared" si="8"/>
        <v>0</v>
      </c>
      <c r="R101" s="648"/>
      <c r="S101" s="648"/>
    </row>
    <row r="102" spans="1:19" ht="14.1" hidden="1" customHeight="1" x14ac:dyDescent="0.2">
      <c r="A102" s="107"/>
      <c r="B102" s="107"/>
      <c r="C102" s="145"/>
      <c r="D102" s="111" t="s">
        <v>283</v>
      </c>
      <c r="E102" s="133">
        <v>2</v>
      </c>
      <c r="F102" s="106">
        <v>131404</v>
      </c>
      <c r="G102" s="106"/>
      <c r="H102" s="106"/>
      <c r="I102" s="106"/>
      <c r="J102" s="106"/>
      <c r="K102" s="106"/>
      <c r="L102" s="106"/>
      <c r="M102" s="106"/>
      <c r="N102" s="106"/>
      <c r="O102" s="106"/>
      <c r="P102" s="106"/>
      <c r="Q102" s="560">
        <f t="shared" si="8"/>
        <v>0</v>
      </c>
      <c r="R102" s="648"/>
      <c r="S102" s="648"/>
    </row>
    <row r="103" spans="1:19" ht="14.1" hidden="1" customHeight="1" x14ac:dyDescent="0.2">
      <c r="A103" s="107"/>
      <c r="B103" s="107"/>
      <c r="C103" s="145"/>
      <c r="D103" s="111" t="s">
        <v>758</v>
      </c>
      <c r="E103" s="133">
        <v>2</v>
      </c>
      <c r="F103" s="106">
        <v>131330</v>
      </c>
      <c r="G103" s="106"/>
      <c r="H103" s="106"/>
      <c r="I103" s="106"/>
      <c r="J103" s="106"/>
      <c r="K103" s="106"/>
      <c r="L103" s="106"/>
      <c r="M103" s="106"/>
      <c r="N103" s="106"/>
      <c r="O103" s="106"/>
      <c r="P103" s="106"/>
      <c r="Q103" s="560">
        <f t="shared" si="8"/>
        <v>0</v>
      </c>
      <c r="R103" s="648"/>
      <c r="S103" s="648"/>
    </row>
    <row r="104" spans="1:19" ht="14.1" hidden="1" customHeight="1" x14ac:dyDescent="0.2">
      <c r="A104" s="107"/>
      <c r="B104" s="107"/>
      <c r="C104" s="108"/>
      <c r="D104" s="111" t="s">
        <v>284</v>
      </c>
      <c r="E104" s="133">
        <v>2</v>
      </c>
      <c r="F104" s="106">
        <v>131507</v>
      </c>
      <c r="G104" s="106"/>
      <c r="H104" s="106"/>
      <c r="I104" s="106"/>
      <c r="J104" s="106"/>
      <c r="K104" s="106"/>
      <c r="L104" s="106"/>
      <c r="M104" s="106"/>
      <c r="N104" s="106"/>
      <c r="O104" s="106"/>
      <c r="P104" s="106"/>
      <c r="Q104" s="560">
        <f t="shared" si="8"/>
        <v>0</v>
      </c>
      <c r="R104" s="648"/>
      <c r="S104" s="648"/>
    </row>
    <row r="105" spans="1:19" ht="14.1" hidden="1" customHeight="1" x14ac:dyDescent="0.2">
      <c r="A105" s="107"/>
      <c r="B105" s="107"/>
      <c r="C105" s="145"/>
      <c r="D105" s="106" t="s">
        <v>285</v>
      </c>
      <c r="E105" s="133">
        <v>2</v>
      </c>
      <c r="F105" s="106">
        <v>171943</v>
      </c>
      <c r="G105" s="106"/>
      <c r="H105" s="106"/>
      <c r="I105" s="106"/>
      <c r="J105" s="106"/>
      <c r="K105" s="106"/>
      <c r="L105" s="106"/>
      <c r="M105" s="106"/>
      <c r="N105" s="106"/>
      <c r="O105" s="106"/>
      <c r="P105" s="106"/>
      <c r="Q105" s="560">
        <f t="shared" si="8"/>
        <v>0</v>
      </c>
      <c r="R105" s="648"/>
      <c r="S105" s="648"/>
    </row>
    <row r="106" spans="1:19" ht="14.1" hidden="1" customHeight="1" x14ac:dyDescent="0.2">
      <c r="A106" s="107"/>
      <c r="B106" s="107"/>
      <c r="C106" s="145"/>
      <c r="D106" s="148" t="s">
        <v>286</v>
      </c>
      <c r="E106" s="117"/>
      <c r="F106" s="119"/>
      <c r="G106" s="106"/>
      <c r="H106" s="106"/>
      <c r="I106" s="106"/>
      <c r="J106" s="106"/>
      <c r="K106" s="106"/>
      <c r="L106" s="106"/>
      <c r="M106" s="106"/>
      <c r="N106" s="106"/>
      <c r="O106" s="106"/>
      <c r="P106" s="106"/>
      <c r="Q106" s="560"/>
      <c r="R106" s="648"/>
      <c r="S106" s="648"/>
    </row>
    <row r="107" spans="1:19" ht="15" hidden="1" customHeight="1" x14ac:dyDescent="0.2">
      <c r="A107" s="107"/>
      <c r="B107" s="107"/>
      <c r="C107" s="145"/>
      <c r="D107" s="148" t="s">
        <v>287</v>
      </c>
      <c r="E107" s="151">
        <v>2</v>
      </c>
      <c r="F107" s="127">
        <v>131502</v>
      </c>
      <c r="G107" s="106"/>
      <c r="H107" s="106"/>
      <c r="I107" s="106"/>
      <c r="J107" s="106"/>
      <c r="K107" s="106"/>
      <c r="L107" s="106"/>
      <c r="M107" s="106"/>
      <c r="N107" s="106"/>
      <c r="O107" s="106"/>
      <c r="P107" s="106"/>
      <c r="Q107" s="560">
        <f t="shared" si="8"/>
        <v>0</v>
      </c>
      <c r="R107" s="648"/>
      <c r="S107" s="648"/>
    </row>
    <row r="108" spans="1:19" ht="15" hidden="1" customHeight="1" x14ac:dyDescent="0.2">
      <c r="A108" s="107"/>
      <c r="B108" s="107"/>
      <c r="C108" s="145"/>
      <c r="D108" s="152" t="s">
        <v>507</v>
      </c>
      <c r="E108" s="153"/>
      <c r="F108" s="127"/>
      <c r="G108" s="106"/>
      <c r="H108" s="106"/>
      <c r="I108" s="106"/>
      <c r="J108" s="106"/>
      <c r="K108" s="106"/>
      <c r="L108" s="106"/>
      <c r="M108" s="106"/>
      <c r="N108" s="106"/>
      <c r="O108" s="106"/>
      <c r="P108" s="106"/>
      <c r="Q108" s="560"/>
      <c r="R108" s="648"/>
      <c r="S108" s="648"/>
    </row>
    <row r="109" spans="1:19" ht="18.75" hidden="1" customHeight="1" x14ac:dyDescent="0.2">
      <c r="A109" s="107"/>
      <c r="B109" s="107"/>
      <c r="C109" s="145"/>
      <c r="D109" s="148" t="s">
        <v>759</v>
      </c>
      <c r="E109" s="151">
        <v>1</v>
      </c>
      <c r="F109" s="127">
        <v>131513</v>
      </c>
      <c r="G109" s="106"/>
      <c r="H109" s="106"/>
      <c r="I109" s="106"/>
      <c r="J109" s="106"/>
      <c r="K109" s="106"/>
      <c r="L109" s="106"/>
      <c r="M109" s="106"/>
      <c r="N109" s="106"/>
      <c r="O109" s="106"/>
      <c r="P109" s="106"/>
      <c r="Q109" s="560">
        <f>SUM(G109:P109)</f>
        <v>0</v>
      </c>
      <c r="R109" s="652">
        <f>SUM(Q56:Q109)</f>
        <v>0</v>
      </c>
      <c r="S109" s="648"/>
    </row>
    <row r="110" spans="1:19" ht="14.1" hidden="1" customHeight="1" x14ac:dyDescent="0.2">
      <c r="A110" s="107"/>
      <c r="B110" s="107"/>
      <c r="C110" s="145" t="s">
        <v>84</v>
      </c>
      <c r="D110" s="113" t="s">
        <v>288</v>
      </c>
      <c r="E110" s="114"/>
      <c r="F110" s="154"/>
      <c r="G110" s="106"/>
      <c r="H110" s="106"/>
      <c r="I110" s="106"/>
      <c r="J110" s="106"/>
      <c r="K110" s="106"/>
      <c r="L110" s="106"/>
      <c r="M110" s="106"/>
      <c r="N110" s="106"/>
      <c r="O110" s="106"/>
      <c r="P110" s="106"/>
      <c r="Q110" s="560"/>
      <c r="R110" s="648"/>
      <c r="S110" s="648"/>
    </row>
    <row r="111" spans="1:19" ht="14.1" hidden="1" customHeight="1" x14ac:dyDescent="0.2">
      <c r="A111" s="107"/>
      <c r="B111" s="107"/>
      <c r="C111" s="145"/>
      <c r="D111" s="115" t="s">
        <v>289</v>
      </c>
      <c r="E111" s="112"/>
      <c r="F111" s="133"/>
      <c r="G111" s="106"/>
      <c r="H111" s="106"/>
      <c r="I111" s="106"/>
      <c r="J111" s="106"/>
      <c r="K111" s="106"/>
      <c r="L111" s="106"/>
      <c r="M111" s="106"/>
      <c r="N111" s="106"/>
      <c r="O111" s="106"/>
      <c r="P111" s="106"/>
      <c r="Q111" s="560"/>
      <c r="R111" s="648"/>
      <c r="S111" s="648"/>
    </row>
    <row r="112" spans="1:19" ht="14.1" hidden="1" customHeight="1" x14ac:dyDescent="0.2">
      <c r="A112" s="107"/>
      <c r="B112" s="107"/>
      <c r="C112" s="145"/>
      <c r="D112" s="115" t="s">
        <v>290</v>
      </c>
      <c r="E112" s="133">
        <v>1</v>
      </c>
      <c r="F112" s="106">
        <v>131703</v>
      </c>
      <c r="G112" s="106"/>
      <c r="H112" s="106"/>
      <c r="I112" s="106"/>
      <c r="J112" s="106"/>
      <c r="K112" s="106"/>
      <c r="L112" s="106"/>
      <c r="M112" s="106"/>
      <c r="N112" s="106"/>
      <c r="O112" s="106"/>
      <c r="P112" s="106"/>
      <c r="Q112" s="560">
        <f>SUM(G112:P112)</f>
        <v>0</v>
      </c>
      <c r="R112" s="648" t="s">
        <v>760</v>
      </c>
      <c r="S112" s="648"/>
    </row>
    <row r="113" spans="1:19" ht="14.45" hidden="1" customHeight="1" x14ac:dyDescent="0.2">
      <c r="A113" s="107"/>
      <c r="B113" s="107"/>
      <c r="C113" s="145"/>
      <c r="D113" s="155" t="s">
        <v>761</v>
      </c>
      <c r="E113" s="133">
        <v>1</v>
      </c>
      <c r="F113" s="106">
        <v>121319</v>
      </c>
      <c r="G113" s="106"/>
      <c r="H113" s="106"/>
      <c r="I113" s="106"/>
      <c r="J113" s="106"/>
      <c r="K113" s="106"/>
      <c r="L113" s="106"/>
      <c r="M113" s="106"/>
      <c r="N113" s="106"/>
      <c r="O113" s="106"/>
      <c r="P113" s="106"/>
      <c r="Q113" s="560">
        <f t="shared" ref="Q113:Q115" si="9">SUM(G113:P113)</f>
        <v>0</v>
      </c>
      <c r="R113" s="648"/>
      <c r="S113" s="648"/>
    </row>
    <row r="114" spans="1:19" ht="42" hidden="1" customHeight="1" x14ac:dyDescent="0.2">
      <c r="A114" s="107"/>
      <c r="B114" s="107"/>
      <c r="C114" s="145"/>
      <c r="D114" s="156" t="s">
        <v>291</v>
      </c>
      <c r="E114" s="116"/>
      <c r="F114" s="106"/>
      <c r="G114" s="106"/>
      <c r="H114" s="106"/>
      <c r="I114" s="106"/>
      <c r="J114" s="106"/>
      <c r="K114" s="106"/>
      <c r="L114" s="106"/>
      <c r="M114" s="106"/>
      <c r="N114" s="106"/>
      <c r="O114" s="106"/>
      <c r="P114" s="106"/>
      <c r="Q114" s="560"/>
      <c r="R114" s="648"/>
      <c r="S114" s="648"/>
    </row>
    <row r="115" spans="1:19" ht="18.75" hidden="1" customHeight="1" x14ac:dyDescent="0.2">
      <c r="A115" s="107"/>
      <c r="B115" s="107"/>
      <c r="C115" s="145"/>
      <c r="D115" s="156" t="s">
        <v>292</v>
      </c>
      <c r="E115" s="106">
        <v>2</v>
      </c>
      <c r="F115" s="106">
        <v>131506</v>
      </c>
      <c r="G115" s="106"/>
      <c r="H115" s="106"/>
      <c r="I115" s="106"/>
      <c r="J115" s="106"/>
      <c r="K115" s="106"/>
      <c r="L115" s="106"/>
      <c r="M115" s="106"/>
      <c r="N115" s="106"/>
      <c r="O115" s="106"/>
      <c r="P115" s="106"/>
      <c r="Q115" s="560">
        <f t="shared" si="9"/>
        <v>0</v>
      </c>
      <c r="R115" s="648"/>
      <c r="S115" s="648"/>
    </row>
    <row r="116" spans="1:19" ht="15" hidden="1" customHeight="1" x14ac:dyDescent="0.2">
      <c r="A116" s="107"/>
      <c r="B116" s="107"/>
      <c r="C116" s="145"/>
      <c r="D116" s="111" t="s">
        <v>293</v>
      </c>
      <c r="E116" s="116"/>
      <c r="F116" s="106"/>
      <c r="G116" s="106"/>
      <c r="H116" s="106"/>
      <c r="I116" s="106"/>
      <c r="J116" s="106"/>
      <c r="K116" s="106"/>
      <c r="L116" s="106"/>
      <c r="M116" s="106"/>
      <c r="N116" s="106"/>
      <c r="O116" s="106"/>
      <c r="P116" s="106"/>
      <c r="Q116" s="653"/>
      <c r="R116" s="648"/>
      <c r="S116" s="648"/>
    </row>
    <row r="117" spans="1:19" ht="15" hidden="1" customHeight="1" x14ac:dyDescent="0.2">
      <c r="A117" s="107"/>
      <c r="B117" s="107"/>
      <c r="C117" s="145"/>
      <c r="D117" s="111" t="s">
        <v>506</v>
      </c>
      <c r="E117" s="106">
        <v>2</v>
      </c>
      <c r="F117" s="106">
        <v>131707</v>
      </c>
      <c r="G117" s="106"/>
      <c r="H117" s="106"/>
      <c r="I117" s="106"/>
      <c r="J117" s="106"/>
      <c r="K117" s="106"/>
      <c r="L117" s="106"/>
      <c r="M117" s="106"/>
      <c r="N117" s="106"/>
      <c r="O117" s="106"/>
      <c r="P117" s="106"/>
      <c r="Q117" s="560">
        <f>SUM(G117:P117)</f>
        <v>0</v>
      </c>
      <c r="R117" s="648"/>
      <c r="S117" s="648"/>
    </row>
    <row r="118" spans="1:19" ht="15" hidden="1" customHeight="1" x14ac:dyDescent="0.2">
      <c r="A118" s="207"/>
      <c r="B118" s="207"/>
      <c r="C118" s="249"/>
      <c r="D118" s="90" t="s">
        <v>762</v>
      </c>
      <c r="E118" s="116"/>
      <c r="F118" s="202"/>
      <c r="G118" s="202"/>
      <c r="H118" s="202"/>
      <c r="I118" s="202"/>
      <c r="J118" s="202"/>
      <c r="K118" s="202"/>
      <c r="L118" s="202"/>
      <c r="M118" s="202"/>
      <c r="N118" s="202"/>
      <c r="O118" s="202"/>
      <c r="P118" s="202"/>
      <c r="Q118" s="560"/>
      <c r="R118" s="648"/>
      <c r="S118" s="648"/>
    </row>
    <row r="119" spans="1:19" ht="15" hidden="1" customHeight="1" x14ac:dyDescent="0.2">
      <c r="A119" s="107"/>
      <c r="B119" s="107"/>
      <c r="C119" s="145"/>
      <c r="D119" s="111" t="s">
        <v>294</v>
      </c>
      <c r="E119" s="106">
        <v>2</v>
      </c>
      <c r="F119" s="106">
        <v>131713</v>
      </c>
      <c r="G119" s="106"/>
      <c r="H119" s="106"/>
      <c r="I119" s="106"/>
      <c r="J119" s="106"/>
      <c r="K119" s="106"/>
      <c r="L119" s="106"/>
      <c r="M119" s="106"/>
      <c r="N119" s="106"/>
      <c r="O119" s="106"/>
      <c r="P119" s="106"/>
      <c r="Q119" s="560">
        <f>SUM(G119:P119)</f>
        <v>0</v>
      </c>
      <c r="R119" s="648"/>
      <c r="S119" s="648"/>
    </row>
    <row r="120" spans="1:19" ht="16.5" hidden="1" customHeight="1" x14ac:dyDescent="0.2">
      <c r="A120" s="107"/>
      <c r="B120" s="107"/>
      <c r="C120" s="145"/>
      <c r="D120" s="149" t="s">
        <v>248</v>
      </c>
      <c r="E120" s="117"/>
      <c r="F120" s="119"/>
      <c r="G120" s="106"/>
      <c r="H120" s="106"/>
      <c r="I120" s="106"/>
      <c r="J120" s="106"/>
      <c r="K120" s="106"/>
      <c r="L120" s="106"/>
      <c r="M120" s="106"/>
      <c r="N120" s="106"/>
      <c r="O120" s="106"/>
      <c r="P120" s="106"/>
      <c r="Q120" s="560"/>
      <c r="R120" s="648"/>
      <c r="S120" s="648"/>
    </row>
    <row r="121" spans="1:19" ht="15" hidden="1" customHeight="1" x14ac:dyDescent="0.2">
      <c r="A121" s="107"/>
      <c r="B121" s="107"/>
      <c r="C121" s="145"/>
      <c r="D121" s="111" t="s">
        <v>295</v>
      </c>
      <c r="E121" s="133">
        <v>2</v>
      </c>
      <c r="F121" s="106">
        <v>131706</v>
      </c>
      <c r="G121" s="106"/>
      <c r="H121" s="106"/>
      <c r="I121" s="106"/>
      <c r="J121" s="106"/>
      <c r="K121" s="106"/>
      <c r="L121" s="106"/>
      <c r="M121" s="106"/>
      <c r="N121" s="106"/>
      <c r="O121" s="106"/>
      <c r="P121" s="106"/>
      <c r="Q121" s="560">
        <f>SUM(G121:P121)</f>
        <v>0</v>
      </c>
      <c r="R121" s="648"/>
      <c r="S121" s="648"/>
    </row>
    <row r="122" spans="1:19" ht="15" hidden="1" customHeight="1" x14ac:dyDescent="0.2">
      <c r="A122" s="107"/>
      <c r="B122" s="107"/>
      <c r="C122" s="145"/>
      <c r="D122" s="111" t="s">
        <v>578</v>
      </c>
      <c r="E122" s="133">
        <v>2</v>
      </c>
      <c r="F122" s="106">
        <v>131712</v>
      </c>
      <c r="G122" s="106"/>
      <c r="H122" s="106"/>
      <c r="I122" s="106"/>
      <c r="J122" s="106"/>
      <c r="K122" s="106"/>
      <c r="L122" s="106"/>
      <c r="M122" s="106"/>
      <c r="N122" s="106"/>
      <c r="O122" s="106"/>
      <c r="P122" s="106"/>
      <c r="Q122" s="560">
        <f>SUM(G122:P122)</f>
        <v>0</v>
      </c>
      <c r="R122" s="648"/>
      <c r="S122" s="648"/>
    </row>
    <row r="123" spans="1:19" ht="15" hidden="1" customHeight="1" x14ac:dyDescent="0.2">
      <c r="A123" s="107"/>
      <c r="B123" s="107"/>
      <c r="C123" s="145"/>
      <c r="D123" s="149" t="s">
        <v>296</v>
      </c>
      <c r="E123" s="133">
        <v>2</v>
      </c>
      <c r="F123" s="106">
        <v>131714</v>
      </c>
      <c r="G123" s="106"/>
      <c r="H123" s="106"/>
      <c r="I123" s="106"/>
      <c r="J123" s="106"/>
      <c r="K123" s="106"/>
      <c r="L123" s="106"/>
      <c r="M123" s="106"/>
      <c r="N123" s="106"/>
      <c r="O123" s="106"/>
      <c r="P123" s="106"/>
      <c r="Q123" s="560">
        <f>SUM(G123:P123)</f>
        <v>0</v>
      </c>
      <c r="R123" s="648"/>
      <c r="S123" s="648"/>
    </row>
    <row r="124" spans="1:19" ht="15" hidden="1" customHeight="1" x14ac:dyDescent="0.2">
      <c r="A124" s="107"/>
      <c r="B124" s="107"/>
      <c r="C124" s="145"/>
      <c r="D124" s="111" t="s">
        <v>280</v>
      </c>
      <c r="E124" s="112"/>
      <c r="F124" s="106"/>
      <c r="G124" s="106"/>
      <c r="H124" s="106"/>
      <c r="I124" s="106"/>
      <c r="J124" s="106"/>
      <c r="K124" s="106"/>
      <c r="L124" s="106"/>
      <c r="M124" s="106"/>
      <c r="N124" s="106"/>
      <c r="O124" s="106"/>
      <c r="P124" s="106"/>
      <c r="Q124" s="560"/>
      <c r="R124" s="648"/>
      <c r="S124" s="648"/>
    </row>
    <row r="125" spans="1:19" ht="15" hidden="1" customHeight="1" x14ac:dyDescent="0.2">
      <c r="A125" s="107"/>
      <c r="B125" s="107"/>
      <c r="C125" s="145"/>
      <c r="D125" s="111" t="s">
        <v>297</v>
      </c>
      <c r="E125" s="133">
        <v>2</v>
      </c>
      <c r="F125" s="106">
        <v>128901</v>
      </c>
      <c r="G125" s="106"/>
      <c r="H125" s="106"/>
      <c r="I125" s="106"/>
      <c r="J125" s="106"/>
      <c r="K125" s="106"/>
      <c r="L125" s="106"/>
      <c r="M125" s="106"/>
      <c r="N125" s="106"/>
      <c r="O125" s="106"/>
      <c r="P125" s="106"/>
      <c r="Q125" s="560">
        <f>SUM(G125:P125)</f>
        <v>0</v>
      </c>
      <c r="R125" s="648"/>
      <c r="S125" s="648"/>
    </row>
    <row r="126" spans="1:19" ht="15" hidden="1" customHeight="1" x14ac:dyDescent="0.2">
      <c r="A126" s="107"/>
      <c r="B126" s="107"/>
      <c r="C126" s="145"/>
      <c r="D126" s="111" t="s">
        <v>460</v>
      </c>
      <c r="E126" s="116"/>
      <c r="F126" s="106"/>
      <c r="G126" s="106"/>
      <c r="H126" s="106"/>
      <c r="I126" s="106"/>
      <c r="J126" s="106"/>
      <c r="K126" s="106"/>
      <c r="L126" s="106"/>
      <c r="M126" s="106"/>
      <c r="N126" s="106"/>
      <c r="O126" s="106"/>
      <c r="P126" s="106"/>
      <c r="Q126" s="560"/>
      <c r="R126" s="648"/>
      <c r="S126" s="648"/>
    </row>
    <row r="127" spans="1:19" ht="15" hidden="1" customHeight="1" x14ac:dyDescent="0.2">
      <c r="A127" s="107"/>
      <c r="B127" s="107"/>
      <c r="C127" s="145"/>
      <c r="D127" s="111" t="s">
        <v>763</v>
      </c>
      <c r="E127" s="106">
        <v>2</v>
      </c>
      <c r="F127" s="106">
        <v>191401</v>
      </c>
      <c r="G127" s="106"/>
      <c r="H127" s="106"/>
      <c r="I127" s="106"/>
      <c r="J127" s="106"/>
      <c r="K127" s="106"/>
      <c r="L127" s="106"/>
      <c r="M127" s="106"/>
      <c r="N127" s="106"/>
      <c r="O127" s="106"/>
      <c r="P127" s="106"/>
      <c r="Q127" s="560">
        <f>SUM(G127:P127)</f>
        <v>0</v>
      </c>
      <c r="R127" s="652">
        <f>SUM(Q110:Q127)</f>
        <v>0</v>
      </c>
      <c r="S127" s="648"/>
    </row>
    <row r="128" spans="1:19" ht="15" hidden="1" customHeight="1" x14ac:dyDescent="0.2">
      <c r="A128" s="107"/>
      <c r="B128" s="107"/>
      <c r="C128" s="145" t="s">
        <v>85</v>
      </c>
      <c r="D128" s="113" t="s">
        <v>841</v>
      </c>
      <c r="E128" s="116"/>
      <c r="F128" s="106"/>
      <c r="G128" s="106"/>
      <c r="H128" s="106"/>
      <c r="I128" s="106"/>
      <c r="J128" s="106"/>
      <c r="K128" s="106"/>
      <c r="L128" s="106"/>
      <c r="M128" s="106"/>
      <c r="N128" s="106"/>
      <c r="O128" s="106"/>
      <c r="P128" s="106"/>
      <c r="Q128" s="560"/>
      <c r="R128" s="648"/>
      <c r="S128" s="648"/>
    </row>
    <row r="129" spans="1:19" ht="15" hidden="1" customHeight="1" x14ac:dyDescent="0.2">
      <c r="A129" s="107"/>
      <c r="B129" s="107"/>
      <c r="C129" s="145"/>
      <c r="D129" s="155" t="s">
        <v>298</v>
      </c>
      <c r="E129" s="112"/>
      <c r="F129" s="133"/>
      <c r="G129" s="106"/>
      <c r="H129" s="106"/>
      <c r="I129" s="106"/>
      <c r="J129" s="106"/>
      <c r="K129" s="106"/>
      <c r="L129" s="106"/>
      <c r="M129" s="106"/>
      <c r="N129" s="106"/>
      <c r="O129" s="106"/>
      <c r="P129" s="106"/>
      <c r="Q129" s="560"/>
      <c r="R129" s="648"/>
      <c r="S129" s="648"/>
    </row>
    <row r="130" spans="1:19" ht="15" hidden="1" customHeight="1" x14ac:dyDescent="0.2">
      <c r="A130" s="107"/>
      <c r="B130" s="107"/>
      <c r="C130" s="145"/>
      <c r="D130" s="111" t="s">
        <v>634</v>
      </c>
      <c r="E130" s="106">
        <v>2</v>
      </c>
      <c r="F130" s="106">
        <v>131803</v>
      </c>
      <c r="G130" s="106"/>
      <c r="H130" s="106"/>
      <c r="I130" s="106"/>
      <c r="J130" s="106"/>
      <c r="K130" s="106"/>
      <c r="L130" s="106"/>
      <c r="M130" s="106"/>
      <c r="N130" s="106"/>
      <c r="O130" s="106"/>
      <c r="P130" s="106"/>
      <c r="Q130" s="560">
        <f>SUM(G130:P130)</f>
        <v>0</v>
      </c>
      <c r="R130" s="648"/>
      <c r="S130" s="648"/>
    </row>
    <row r="131" spans="1:19" ht="15" hidden="1" customHeight="1" x14ac:dyDescent="0.2">
      <c r="A131" s="107"/>
      <c r="B131" s="107"/>
      <c r="C131" s="145"/>
      <c r="D131" s="111" t="s">
        <v>299</v>
      </c>
      <c r="E131" s="106">
        <v>2</v>
      </c>
      <c r="F131" s="106">
        <v>131804</v>
      </c>
      <c r="G131" s="106"/>
      <c r="H131" s="106"/>
      <c r="I131" s="106"/>
      <c r="J131" s="106"/>
      <c r="K131" s="106"/>
      <c r="L131" s="106"/>
      <c r="M131" s="106"/>
      <c r="N131" s="106"/>
      <c r="O131" s="106"/>
      <c r="P131" s="106"/>
      <c r="Q131" s="560">
        <f>SUM(G131:P131)</f>
        <v>0</v>
      </c>
      <c r="R131" s="648"/>
      <c r="S131" s="648"/>
    </row>
    <row r="132" spans="1:19" ht="15" hidden="1" customHeight="1" x14ac:dyDescent="0.2">
      <c r="A132" s="107"/>
      <c r="B132" s="107"/>
      <c r="C132" s="145"/>
      <c r="D132" s="111" t="s">
        <v>300</v>
      </c>
      <c r="E132" s="106">
        <v>2</v>
      </c>
      <c r="F132" s="106">
        <v>131805</v>
      </c>
      <c r="G132" s="106"/>
      <c r="H132" s="106"/>
      <c r="I132" s="106"/>
      <c r="J132" s="106"/>
      <c r="K132" s="106"/>
      <c r="L132" s="106"/>
      <c r="M132" s="106"/>
      <c r="N132" s="106"/>
      <c r="O132" s="106"/>
      <c r="P132" s="106"/>
      <c r="Q132" s="560">
        <f>SUM(G132:P132)</f>
        <v>0</v>
      </c>
      <c r="R132" s="648"/>
      <c r="S132" s="648"/>
    </row>
    <row r="133" spans="1:19" ht="15" hidden="1" customHeight="1" x14ac:dyDescent="0.2">
      <c r="A133" s="107"/>
      <c r="B133" s="107"/>
      <c r="C133" s="145"/>
      <c r="D133" s="155" t="s">
        <v>301</v>
      </c>
      <c r="E133" s="112"/>
      <c r="F133" s="133"/>
      <c r="G133" s="106"/>
      <c r="H133" s="106"/>
      <c r="I133" s="106"/>
      <c r="J133" s="106"/>
      <c r="K133" s="106"/>
      <c r="L133" s="106"/>
      <c r="M133" s="106"/>
      <c r="N133" s="106"/>
      <c r="O133" s="106"/>
      <c r="P133" s="106"/>
      <c r="Q133" s="560"/>
      <c r="R133" s="648"/>
      <c r="S133" s="648"/>
    </row>
    <row r="134" spans="1:19" ht="15" hidden="1" customHeight="1" x14ac:dyDescent="0.2">
      <c r="A134" s="107"/>
      <c r="B134" s="107"/>
      <c r="C134" s="145"/>
      <c r="D134" s="111" t="s">
        <v>302</v>
      </c>
      <c r="E134" s="133">
        <v>1</v>
      </c>
      <c r="F134" s="106">
        <v>131808</v>
      </c>
      <c r="G134" s="106"/>
      <c r="H134" s="106"/>
      <c r="I134" s="106"/>
      <c r="J134" s="106"/>
      <c r="K134" s="106"/>
      <c r="L134" s="106"/>
      <c r="M134" s="106"/>
      <c r="N134" s="106"/>
      <c r="O134" s="106"/>
      <c r="P134" s="106"/>
      <c r="Q134" s="560">
        <f>SUM(G134:P134)</f>
        <v>0</v>
      </c>
      <c r="R134" s="648"/>
      <c r="S134" s="648"/>
    </row>
    <row r="135" spans="1:19" ht="15" hidden="1" customHeight="1" x14ac:dyDescent="0.2">
      <c r="A135" s="107"/>
      <c r="B135" s="107"/>
      <c r="C135" s="145"/>
      <c r="D135" s="111" t="s">
        <v>303</v>
      </c>
      <c r="E135" s="106">
        <v>1</v>
      </c>
      <c r="F135" s="106">
        <v>131807</v>
      </c>
      <c r="G135" s="106"/>
      <c r="H135" s="106"/>
      <c r="I135" s="106"/>
      <c r="J135" s="106"/>
      <c r="K135" s="106"/>
      <c r="L135" s="106"/>
      <c r="M135" s="106"/>
      <c r="N135" s="106"/>
      <c r="O135" s="106"/>
      <c r="P135" s="106"/>
      <c r="Q135" s="560">
        <f>SUM(G135:P135)</f>
        <v>0</v>
      </c>
      <c r="R135" s="648"/>
      <c r="S135" s="648"/>
    </row>
    <row r="136" spans="1:19" ht="15" hidden="1" customHeight="1" x14ac:dyDescent="0.2">
      <c r="A136" s="107"/>
      <c r="B136" s="107"/>
      <c r="C136" s="145"/>
      <c r="D136" s="111" t="s">
        <v>765</v>
      </c>
      <c r="E136" s="133">
        <v>1</v>
      </c>
      <c r="F136" s="106">
        <v>131809</v>
      </c>
      <c r="G136" s="106"/>
      <c r="H136" s="106"/>
      <c r="I136" s="106"/>
      <c r="J136" s="106"/>
      <c r="K136" s="106"/>
      <c r="L136" s="106"/>
      <c r="M136" s="106"/>
      <c r="N136" s="106"/>
      <c r="O136" s="106"/>
      <c r="P136" s="106"/>
      <c r="Q136" s="560">
        <f>SUM(G136:P136)</f>
        <v>0</v>
      </c>
      <c r="R136" s="648"/>
      <c r="S136" s="648"/>
    </row>
    <row r="137" spans="1:19" ht="15" hidden="1" customHeight="1" x14ac:dyDescent="0.2">
      <c r="A137" s="107"/>
      <c r="B137" s="107"/>
      <c r="C137" s="145"/>
      <c r="D137" s="111" t="s">
        <v>534</v>
      </c>
      <c r="E137" s="133">
        <v>2</v>
      </c>
      <c r="F137" s="106">
        <v>131866</v>
      </c>
      <c r="G137" s="106"/>
      <c r="H137" s="106"/>
      <c r="I137" s="106"/>
      <c r="J137" s="106"/>
      <c r="K137" s="106"/>
      <c r="L137" s="106"/>
      <c r="M137" s="106"/>
      <c r="N137" s="106"/>
      <c r="O137" s="106"/>
      <c r="P137" s="106"/>
      <c r="Q137" s="560">
        <f>SUM(G137:P137)</f>
        <v>0</v>
      </c>
      <c r="R137" s="648"/>
      <c r="S137" s="648"/>
    </row>
    <row r="138" spans="1:19" ht="15" hidden="1" customHeight="1" x14ac:dyDescent="0.2">
      <c r="A138" s="107"/>
      <c r="B138" s="107"/>
      <c r="C138" s="145"/>
      <c r="D138" s="155" t="s">
        <v>304</v>
      </c>
      <c r="E138" s="112"/>
      <c r="F138" s="133"/>
      <c r="G138" s="106"/>
      <c r="H138" s="106"/>
      <c r="I138" s="106"/>
      <c r="J138" s="106"/>
      <c r="K138" s="106"/>
      <c r="L138" s="106"/>
      <c r="M138" s="106"/>
      <c r="N138" s="106"/>
      <c r="O138" s="106"/>
      <c r="P138" s="106"/>
      <c r="Q138" s="560"/>
      <c r="R138" s="648"/>
      <c r="S138" s="648"/>
    </row>
    <row r="139" spans="1:19" ht="15" hidden="1" customHeight="1" x14ac:dyDescent="0.2">
      <c r="A139" s="107"/>
      <c r="B139" s="107"/>
      <c r="C139" s="145"/>
      <c r="D139" s="111" t="s">
        <v>305</v>
      </c>
      <c r="E139" s="106">
        <v>1</v>
      </c>
      <c r="F139" s="106">
        <v>131811</v>
      </c>
      <c r="G139" s="106"/>
      <c r="H139" s="106"/>
      <c r="I139" s="106"/>
      <c r="J139" s="106"/>
      <c r="K139" s="106"/>
      <c r="L139" s="106"/>
      <c r="M139" s="106"/>
      <c r="N139" s="106"/>
      <c r="O139" s="106"/>
      <c r="P139" s="106"/>
      <c r="Q139" s="560">
        <f t="shared" ref="Q139:Q171" si="10">SUM(G139:P139)</f>
        <v>0</v>
      </c>
      <c r="R139" s="648"/>
      <c r="S139" s="648"/>
    </row>
    <row r="140" spans="1:19" ht="15" hidden="1" customHeight="1" x14ac:dyDescent="0.2">
      <c r="A140" s="107"/>
      <c r="B140" s="107"/>
      <c r="C140" s="145"/>
      <c r="D140" s="111" t="s">
        <v>306</v>
      </c>
      <c r="E140" s="106">
        <v>1</v>
      </c>
      <c r="F140" s="106">
        <v>131812</v>
      </c>
      <c r="G140" s="106"/>
      <c r="H140" s="106"/>
      <c r="I140" s="106"/>
      <c r="J140" s="106"/>
      <c r="K140" s="106"/>
      <c r="L140" s="106"/>
      <c r="M140" s="106"/>
      <c r="N140" s="106"/>
      <c r="O140" s="106"/>
      <c r="P140" s="106"/>
      <c r="Q140" s="560">
        <f t="shared" si="10"/>
        <v>0</v>
      </c>
      <c r="R140" s="648"/>
      <c r="S140" s="648"/>
    </row>
    <row r="141" spans="1:19" ht="15" hidden="1" customHeight="1" x14ac:dyDescent="0.2">
      <c r="A141" s="107"/>
      <c r="B141" s="107"/>
      <c r="C141" s="145"/>
      <c r="D141" s="111" t="s">
        <v>307</v>
      </c>
      <c r="E141" s="106">
        <v>1</v>
      </c>
      <c r="F141" s="106">
        <v>131813</v>
      </c>
      <c r="G141" s="106"/>
      <c r="H141" s="106"/>
      <c r="I141" s="106"/>
      <c r="J141" s="106"/>
      <c r="K141" s="106"/>
      <c r="L141" s="106"/>
      <c r="M141" s="106"/>
      <c r="N141" s="106"/>
      <c r="O141" s="106"/>
      <c r="P141" s="106"/>
      <c r="Q141" s="560">
        <f t="shared" si="10"/>
        <v>0</v>
      </c>
      <c r="R141" s="648"/>
      <c r="S141" s="648"/>
    </row>
    <row r="142" spans="1:19" ht="15" hidden="1" customHeight="1" x14ac:dyDescent="0.2">
      <c r="A142" s="107"/>
      <c r="B142" s="107"/>
      <c r="C142" s="145"/>
      <c r="D142" s="111" t="s">
        <v>308</v>
      </c>
      <c r="E142" s="106">
        <v>1</v>
      </c>
      <c r="F142" s="106">
        <v>131816</v>
      </c>
      <c r="G142" s="106"/>
      <c r="H142" s="106"/>
      <c r="I142" s="106"/>
      <c r="J142" s="106"/>
      <c r="K142" s="106"/>
      <c r="L142" s="106"/>
      <c r="M142" s="106"/>
      <c r="N142" s="106"/>
      <c r="O142" s="106"/>
      <c r="P142" s="106"/>
      <c r="Q142" s="560">
        <f t="shared" si="10"/>
        <v>0</v>
      </c>
      <c r="R142" s="648"/>
      <c r="S142" s="648"/>
    </row>
    <row r="143" spans="1:19" ht="15" hidden="1" customHeight="1" x14ac:dyDescent="0.2">
      <c r="A143" s="107"/>
      <c r="B143" s="107"/>
      <c r="C143" s="145"/>
      <c r="D143" s="111" t="s">
        <v>309</v>
      </c>
      <c r="E143" s="106">
        <v>1</v>
      </c>
      <c r="F143" s="106">
        <v>131817</v>
      </c>
      <c r="G143" s="106"/>
      <c r="H143" s="106"/>
      <c r="I143" s="106"/>
      <c r="J143" s="106"/>
      <c r="K143" s="106"/>
      <c r="L143" s="106"/>
      <c r="M143" s="106"/>
      <c r="N143" s="106"/>
      <c r="O143" s="106"/>
      <c r="P143" s="106"/>
      <c r="Q143" s="560">
        <f t="shared" si="10"/>
        <v>0</v>
      </c>
      <c r="R143" s="648"/>
      <c r="S143" s="648"/>
    </row>
    <row r="144" spans="1:19" ht="15" hidden="1" customHeight="1" x14ac:dyDescent="0.2">
      <c r="A144" s="107"/>
      <c r="B144" s="107"/>
      <c r="C144" s="145"/>
      <c r="D144" s="111" t="s">
        <v>310</v>
      </c>
      <c r="E144" s="106">
        <v>1</v>
      </c>
      <c r="F144" s="106">
        <v>131818</v>
      </c>
      <c r="G144" s="106"/>
      <c r="H144" s="106"/>
      <c r="I144" s="106"/>
      <c r="J144" s="106"/>
      <c r="K144" s="106"/>
      <c r="L144" s="106"/>
      <c r="M144" s="106"/>
      <c r="N144" s="106"/>
      <c r="O144" s="106"/>
      <c r="P144" s="106"/>
      <c r="Q144" s="560">
        <f t="shared" si="10"/>
        <v>0</v>
      </c>
      <c r="R144" s="648"/>
      <c r="S144" s="648"/>
    </row>
    <row r="145" spans="1:19" ht="15" hidden="1" customHeight="1" x14ac:dyDescent="0.2">
      <c r="A145" s="107"/>
      <c r="B145" s="107"/>
      <c r="C145" s="145"/>
      <c r="D145" s="111" t="s">
        <v>311</v>
      </c>
      <c r="E145" s="106">
        <v>1</v>
      </c>
      <c r="F145" s="106">
        <v>131832</v>
      </c>
      <c r="G145" s="106"/>
      <c r="H145" s="106"/>
      <c r="I145" s="106"/>
      <c r="J145" s="106"/>
      <c r="K145" s="106"/>
      <c r="L145" s="106"/>
      <c r="M145" s="106"/>
      <c r="N145" s="106"/>
      <c r="O145" s="106"/>
      <c r="P145" s="106"/>
      <c r="Q145" s="560">
        <f t="shared" si="10"/>
        <v>0</v>
      </c>
      <c r="R145" s="648"/>
      <c r="S145" s="648"/>
    </row>
    <row r="146" spans="1:19" ht="15" hidden="1" customHeight="1" x14ac:dyDescent="0.2">
      <c r="A146" s="107"/>
      <c r="B146" s="107"/>
      <c r="C146" s="145"/>
      <c r="D146" s="111" t="s">
        <v>312</v>
      </c>
      <c r="E146" s="106">
        <v>1</v>
      </c>
      <c r="F146" s="106">
        <v>131820</v>
      </c>
      <c r="G146" s="106"/>
      <c r="H146" s="106"/>
      <c r="I146" s="106"/>
      <c r="J146" s="106"/>
      <c r="K146" s="106"/>
      <c r="L146" s="106"/>
      <c r="M146" s="106"/>
      <c r="N146" s="106"/>
      <c r="O146" s="106"/>
      <c r="P146" s="106"/>
      <c r="Q146" s="560">
        <f t="shared" si="10"/>
        <v>0</v>
      </c>
      <c r="R146" s="648"/>
      <c r="S146" s="648"/>
    </row>
    <row r="147" spans="1:19" ht="15" hidden="1" customHeight="1" x14ac:dyDescent="0.2">
      <c r="A147" s="107"/>
      <c r="B147" s="107"/>
      <c r="C147" s="145"/>
      <c r="D147" s="111" t="s">
        <v>587</v>
      </c>
      <c r="E147" s="106">
        <v>2</v>
      </c>
      <c r="F147" s="106">
        <v>131854</v>
      </c>
      <c r="G147" s="106"/>
      <c r="H147" s="106"/>
      <c r="I147" s="106"/>
      <c r="J147" s="106"/>
      <c r="K147" s="106"/>
      <c r="L147" s="106"/>
      <c r="M147" s="106"/>
      <c r="N147" s="106"/>
      <c r="O147" s="106"/>
      <c r="P147" s="106"/>
      <c r="Q147" s="560">
        <f t="shared" si="10"/>
        <v>0</v>
      </c>
      <c r="R147" s="648"/>
      <c r="S147" s="648"/>
    </row>
    <row r="148" spans="1:19" ht="15" hidden="1" customHeight="1" x14ac:dyDescent="0.2">
      <c r="A148" s="107"/>
      <c r="B148" s="107"/>
      <c r="C148" s="145"/>
      <c r="D148" s="111" t="s">
        <v>658</v>
      </c>
      <c r="E148" s="106">
        <v>2</v>
      </c>
      <c r="F148" s="106">
        <v>131869</v>
      </c>
      <c r="G148" s="106"/>
      <c r="H148" s="106"/>
      <c r="I148" s="106"/>
      <c r="J148" s="106"/>
      <c r="K148" s="106"/>
      <c r="L148" s="106"/>
      <c r="M148" s="106"/>
      <c r="N148" s="106"/>
      <c r="O148" s="106"/>
      <c r="P148" s="106"/>
      <c r="Q148" s="560">
        <f t="shared" si="10"/>
        <v>0</v>
      </c>
      <c r="R148" s="648"/>
      <c r="S148" s="648"/>
    </row>
    <row r="149" spans="1:19" ht="15" hidden="1" customHeight="1" x14ac:dyDescent="0.2">
      <c r="A149" s="107"/>
      <c r="B149" s="107"/>
      <c r="C149" s="145"/>
      <c r="D149" s="111" t="s">
        <v>313</v>
      </c>
      <c r="E149" s="116"/>
      <c r="F149" s="106"/>
      <c r="G149" s="106"/>
      <c r="H149" s="106"/>
      <c r="I149" s="106"/>
      <c r="J149" s="106"/>
      <c r="K149" s="106"/>
      <c r="L149" s="106"/>
      <c r="M149" s="106"/>
      <c r="N149" s="106"/>
      <c r="O149" s="106"/>
      <c r="P149" s="106"/>
      <c r="Q149" s="560">
        <f t="shared" si="10"/>
        <v>0</v>
      </c>
      <c r="R149" s="648"/>
      <c r="S149" s="648"/>
    </row>
    <row r="150" spans="1:19" ht="15" hidden="1" customHeight="1" x14ac:dyDescent="0.2">
      <c r="A150" s="107"/>
      <c r="B150" s="107"/>
      <c r="C150" s="145"/>
      <c r="D150" s="111" t="s">
        <v>314</v>
      </c>
      <c r="E150" s="133">
        <v>2</v>
      </c>
      <c r="F150" s="106">
        <v>131821</v>
      </c>
      <c r="G150" s="106"/>
      <c r="H150" s="106"/>
      <c r="I150" s="106"/>
      <c r="J150" s="106"/>
      <c r="K150" s="106"/>
      <c r="L150" s="106"/>
      <c r="M150" s="106"/>
      <c r="N150" s="106"/>
      <c r="O150" s="106"/>
      <c r="P150" s="106"/>
      <c r="Q150" s="560">
        <f t="shared" si="10"/>
        <v>0</v>
      </c>
      <c r="R150" s="648"/>
      <c r="S150" s="648"/>
    </row>
    <row r="151" spans="1:19" ht="15" hidden="1" customHeight="1" x14ac:dyDescent="0.2">
      <c r="A151" s="107"/>
      <c r="B151" s="107"/>
      <c r="C151" s="145"/>
      <c r="D151" s="111" t="s">
        <v>315</v>
      </c>
      <c r="E151" s="133">
        <v>2</v>
      </c>
      <c r="F151" s="106">
        <v>131822</v>
      </c>
      <c r="G151" s="106"/>
      <c r="H151" s="106"/>
      <c r="I151" s="106"/>
      <c r="J151" s="106"/>
      <c r="K151" s="106"/>
      <c r="L151" s="106"/>
      <c r="M151" s="106"/>
      <c r="N151" s="106"/>
      <c r="O151" s="106"/>
      <c r="P151" s="106"/>
      <c r="Q151" s="560">
        <f t="shared" si="10"/>
        <v>0</v>
      </c>
      <c r="R151" s="648"/>
      <c r="S151" s="648"/>
    </row>
    <row r="152" spans="1:19" ht="15" hidden="1" customHeight="1" x14ac:dyDescent="0.2">
      <c r="A152" s="107"/>
      <c r="B152" s="107"/>
      <c r="C152" s="145"/>
      <c r="D152" s="157" t="s">
        <v>316</v>
      </c>
      <c r="E152" s="158">
        <v>2</v>
      </c>
      <c r="F152" s="106">
        <v>131823</v>
      </c>
      <c r="G152" s="106"/>
      <c r="H152" s="106"/>
      <c r="I152" s="106"/>
      <c r="J152" s="106"/>
      <c r="K152" s="106"/>
      <c r="L152" s="106"/>
      <c r="M152" s="106"/>
      <c r="N152" s="106"/>
      <c r="O152" s="106"/>
      <c r="P152" s="106"/>
      <c r="Q152" s="560">
        <f t="shared" si="10"/>
        <v>0</v>
      </c>
      <c r="R152" s="648"/>
      <c r="S152" s="648"/>
    </row>
    <row r="153" spans="1:19" ht="15" hidden="1" customHeight="1" x14ac:dyDescent="0.2">
      <c r="A153" s="107"/>
      <c r="B153" s="107"/>
      <c r="C153" s="145"/>
      <c r="D153" s="157" t="s">
        <v>317</v>
      </c>
      <c r="E153" s="159">
        <v>2</v>
      </c>
      <c r="F153" s="106">
        <v>131824</v>
      </c>
      <c r="G153" s="106"/>
      <c r="H153" s="106"/>
      <c r="I153" s="106"/>
      <c r="J153" s="106"/>
      <c r="K153" s="106"/>
      <c r="L153" s="106"/>
      <c r="M153" s="106"/>
      <c r="N153" s="106"/>
      <c r="O153" s="106"/>
      <c r="P153" s="106"/>
      <c r="Q153" s="560">
        <f t="shared" si="10"/>
        <v>0</v>
      </c>
      <c r="R153" s="648"/>
      <c r="S153" s="648"/>
    </row>
    <row r="154" spans="1:19" ht="15" hidden="1" customHeight="1" x14ac:dyDescent="0.2">
      <c r="A154" s="107"/>
      <c r="B154" s="107"/>
      <c r="C154" s="145"/>
      <c r="D154" s="157" t="s">
        <v>318</v>
      </c>
      <c r="E154" s="159">
        <v>2</v>
      </c>
      <c r="F154" s="160">
        <v>131833</v>
      </c>
      <c r="G154" s="106"/>
      <c r="H154" s="106"/>
      <c r="I154" s="106"/>
      <c r="J154" s="106"/>
      <c r="K154" s="106"/>
      <c r="L154" s="106"/>
      <c r="M154" s="106"/>
      <c r="N154" s="106"/>
      <c r="O154" s="106"/>
      <c r="P154" s="106"/>
      <c r="Q154" s="560">
        <f t="shared" si="10"/>
        <v>0</v>
      </c>
      <c r="R154" s="648"/>
      <c r="S154" s="648"/>
    </row>
    <row r="155" spans="1:19" ht="15" hidden="1" customHeight="1" x14ac:dyDescent="0.2">
      <c r="A155" s="107"/>
      <c r="B155" s="107"/>
      <c r="C155" s="145"/>
      <c r="D155" s="157" t="s">
        <v>319</v>
      </c>
      <c r="E155" s="159">
        <v>2</v>
      </c>
      <c r="F155" s="160">
        <v>131834</v>
      </c>
      <c r="G155" s="106"/>
      <c r="H155" s="106"/>
      <c r="I155" s="106"/>
      <c r="J155" s="106"/>
      <c r="K155" s="106"/>
      <c r="L155" s="106"/>
      <c r="M155" s="106"/>
      <c r="N155" s="106"/>
      <c r="O155" s="106"/>
      <c r="P155" s="106"/>
      <c r="Q155" s="560">
        <f t="shared" si="10"/>
        <v>0</v>
      </c>
      <c r="R155" s="648"/>
      <c r="S155" s="648"/>
    </row>
    <row r="156" spans="1:19" ht="15" hidden="1" customHeight="1" x14ac:dyDescent="0.2">
      <c r="A156" s="107"/>
      <c r="B156" s="107"/>
      <c r="C156" s="145"/>
      <c r="D156" s="157" t="s">
        <v>320</v>
      </c>
      <c r="E156" s="159">
        <v>2</v>
      </c>
      <c r="F156" s="160">
        <v>131836</v>
      </c>
      <c r="G156" s="106"/>
      <c r="H156" s="106"/>
      <c r="I156" s="106"/>
      <c r="J156" s="106"/>
      <c r="K156" s="106"/>
      <c r="L156" s="106"/>
      <c r="M156" s="106"/>
      <c r="N156" s="106"/>
      <c r="O156" s="106"/>
      <c r="P156" s="106"/>
      <c r="Q156" s="560">
        <f t="shared" si="10"/>
        <v>0</v>
      </c>
      <c r="R156" s="648"/>
      <c r="S156" s="648"/>
    </row>
    <row r="157" spans="1:19" ht="15" hidden="1" customHeight="1" x14ac:dyDescent="0.2">
      <c r="A157" s="107"/>
      <c r="B157" s="107"/>
      <c r="C157" s="145"/>
      <c r="D157" s="157" t="s">
        <v>766</v>
      </c>
      <c r="E157" s="159">
        <v>2</v>
      </c>
      <c r="F157" s="160">
        <v>131837</v>
      </c>
      <c r="G157" s="106"/>
      <c r="H157" s="106"/>
      <c r="I157" s="106"/>
      <c r="J157" s="106"/>
      <c r="K157" s="106"/>
      <c r="L157" s="106"/>
      <c r="M157" s="106"/>
      <c r="N157" s="106"/>
      <c r="O157" s="106"/>
      <c r="P157" s="106"/>
      <c r="Q157" s="560">
        <f t="shared" si="10"/>
        <v>0</v>
      </c>
      <c r="R157" s="648"/>
      <c r="S157" s="648"/>
    </row>
    <row r="158" spans="1:19" ht="15" hidden="1" customHeight="1" x14ac:dyDescent="0.2">
      <c r="A158" s="107"/>
      <c r="B158" s="107"/>
      <c r="C158" s="145"/>
      <c r="D158" s="157" t="s">
        <v>579</v>
      </c>
      <c r="E158" s="159">
        <v>2</v>
      </c>
      <c r="F158" s="160">
        <v>131838</v>
      </c>
      <c r="G158" s="106"/>
      <c r="H158" s="106"/>
      <c r="I158" s="106"/>
      <c r="J158" s="106"/>
      <c r="K158" s="106"/>
      <c r="L158" s="106"/>
      <c r="M158" s="106"/>
      <c r="N158" s="106"/>
      <c r="O158" s="106"/>
      <c r="P158" s="106"/>
      <c r="Q158" s="560">
        <f t="shared" si="10"/>
        <v>0</v>
      </c>
      <c r="R158" s="648"/>
      <c r="S158" s="648"/>
    </row>
    <row r="159" spans="1:19" ht="15" hidden="1" customHeight="1" x14ac:dyDescent="0.2">
      <c r="A159" s="107"/>
      <c r="B159" s="107"/>
      <c r="C159" s="145"/>
      <c r="D159" s="157" t="s">
        <v>321</v>
      </c>
      <c r="E159" s="159">
        <v>2</v>
      </c>
      <c r="F159" s="160">
        <v>131840</v>
      </c>
      <c r="G159" s="106"/>
      <c r="H159" s="106"/>
      <c r="I159" s="106"/>
      <c r="J159" s="106"/>
      <c r="K159" s="106"/>
      <c r="L159" s="106"/>
      <c r="M159" s="106"/>
      <c r="N159" s="106"/>
      <c r="O159" s="106"/>
      <c r="P159" s="106"/>
      <c r="Q159" s="560">
        <f t="shared" si="10"/>
        <v>0</v>
      </c>
      <c r="R159" s="648"/>
      <c r="S159" s="648"/>
    </row>
    <row r="160" spans="1:19" ht="15" hidden="1" customHeight="1" x14ac:dyDescent="0.2">
      <c r="A160" s="107"/>
      <c r="B160" s="107"/>
      <c r="C160" s="107"/>
      <c r="D160" s="157" t="s">
        <v>561</v>
      </c>
      <c r="E160" s="159">
        <v>2</v>
      </c>
      <c r="F160" s="160">
        <v>131841</v>
      </c>
      <c r="G160" s="106"/>
      <c r="H160" s="106"/>
      <c r="I160" s="106"/>
      <c r="J160" s="106"/>
      <c r="K160" s="106"/>
      <c r="L160" s="106"/>
      <c r="M160" s="106"/>
      <c r="N160" s="106"/>
      <c r="O160" s="106"/>
      <c r="P160" s="106"/>
      <c r="Q160" s="560">
        <f t="shared" si="10"/>
        <v>0</v>
      </c>
      <c r="R160" s="648"/>
      <c r="S160" s="648"/>
    </row>
    <row r="161" spans="1:19" ht="15" hidden="1" customHeight="1" x14ac:dyDescent="0.2">
      <c r="A161" s="107"/>
      <c r="B161" s="107"/>
      <c r="C161" s="107"/>
      <c r="D161" s="157" t="s">
        <v>322</v>
      </c>
      <c r="E161" s="159">
        <v>2</v>
      </c>
      <c r="F161" s="160">
        <v>131843</v>
      </c>
      <c r="G161" s="106"/>
      <c r="H161" s="106"/>
      <c r="I161" s="106"/>
      <c r="J161" s="106"/>
      <c r="K161" s="106"/>
      <c r="L161" s="106"/>
      <c r="M161" s="106"/>
      <c r="N161" s="106"/>
      <c r="O161" s="106"/>
      <c r="P161" s="106"/>
      <c r="Q161" s="560">
        <f t="shared" si="10"/>
        <v>0</v>
      </c>
      <c r="R161" s="648"/>
      <c r="S161" s="648"/>
    </row>
    <row r="162" spans="1:19" ht="15" hidden="1" customHeight="1" x14ac:dyDescent="0.2">
      <c r="A162" s="107"/>
      <c r="B162" s="107"/>
      <c r="C162" s="107"/>
      <c r="D162" s="106" t="s">
        <v>323</v>
      </c>
      <c r="E162" s="159">
        <v>2</v>
      </c>
      <c r="F162" s="160">
        <v>131847</v>
      </c>
      <c r="G162" s="106"/>
      <c r="H162" s="106"/>
      <c r="I162" s="106"/>
      <c r="J162" s="106"/>
      <c r="K162" s="106"/>
      <c r="L162" s="106"/>
      <c r="M162" s="106"/>
      <c r="N162" s="106"/>
      <c r="O162" s="106"/>
      <c r="P162" s="106"/>
      <c r="Q162" s="560">
        <f t="shared" si="10"/>
        <v>0</v>
      </c>
      <c r="R162" s="648"/>
      <c r="S162" s="648"/>
    </row>
    <row r="163" spans="1:19" ht="15" hidden="1" customHeight="1" x14ac:dyDescent="0.2">
      <c r="A163" s="107"/>
      <c r="B163" s="107"/>
      <c r="C163" s="107"/>
      <c r="D163" s="161" t="s">
        <v>324</v>
      </c>
      <c r="E163" s="159">
        <v>2</v>
      </c>
      <c r="F163" s="160">
        <v>131848</v>
      </c>
      <c r="G163" s="106"/>
      <c r="H163" s="106"/>
      <c r="I163" s="106"/>
      <c r="J163" s="106"/>
      <c r="K163" s="106"/>
      <c r="L163" s="106"/>
      <c r="M163" s="106"/>
      <c r="N163" s="106"/>
      <c r="O163" s="106"/>
      <c r="P163" s="106"/>
      <c r="Q163" s="560">
        <f t="shared" si="10"/>
        <v>0</v>
      </c>
      <c r="R163" s="648"/>
      <c r="S163" s="648"/>
    </row>
    <row r="164" spans="1:19" ht="15" hidden="1" customHeight="1" x14ac:dyDescent="0.2">
      <c r="A164" s="107"/>
      <c r="B164" s="107"/>
      <c r="C164" s="107"/>
      <c r="D164" s="162" t="s">
        <v>325</v>
      </c>
      <c r="E164" s="80">
        <v>2</v>
      </c>
      <c r="F164" s="81">
        <v>131851</v>
      </c>
      <c r="G164" s="48"/>
      <c r="H164" s="48"/>
      <c r="I164" s="48"/>
      <c r="J164" s="48"/>
      <c r="K164" s="48"/>
      <c r="L164" s="48"/>
      <c r="M164" s="48"/>
      <c r="N164" s="48"/>
      <c r="O164" s="48"/>
      <c r="P164" s="48"/>
      <c r="Q164" s="560">
        <f t="shared" si="10"/>
        <v>0</v>
      </c>
      <c r="R164" s="648"/>
      <c r="S164" s="648"/>
    </row>
    <row r="165" spans="1:19" ht="15" hidden="1" customHeight="1" x14ac:dyDescent="0.2">
      <c r="A165" s="45"/>
      <c r="B165" s="45"/>
      <c r="C165" s="45"/>
      <c r="D165" s="48" t="s">
        <v>326</v>
      </c>
      <c r="E165" s="80">
        <v>2</v>
      </c>
      <c r="F165" s="81">
        <v>131852</v>
      </c>
      <c r="G165" s="48"/>
      <c r="H165" s="48"/>
      <c r="I165" s="48"/>
      <c r="J165" s="48"/>
      <c r="K165" s="48"/>
      <c r="L165" s="48"/>
      <c r="M165" s="48"/>
      <c r="N165" s="48"/>
      <c r="O165" s="48"/>
      <c r="P165" s="48"/>
      <c r="Q165" s="560">
        <f t="shared" si="10"/>
        <v>0</v>
      </c>
      <c r="R165" s="648"/>
      <c r="S165" s="648"/>
    </row>
    <row r="166" spans="1:19" ht="24" hidden="1" customHeight="1" x14ac:dyDescent="0.2">
      <c r="A166" s="45"/>
      <c r="B166" s="45"/>
      <c r="C166" s="45"/>
      <c r="D166" s="163" t="s">
        <v>327</v>
      </c>
      <c r="E166" s="99">
        <v>2</v>
      </c>
      <c r="F166" s="58">
        <v>131862</v>
      </c>
      <c r="G166" s="48"/>
      <c r="H166" s="48"/>
      <c r="I166" s="48"/>
      <c r="J166" s="48"/>
      <c r="K166" s="48"/>
      <c r="L166" s="48"/>
      <c r="M166" s="48"/>
      <c r="N166" s="48"/>
      <c r="O166" s="48"/>
      <c r="P166" s="48"/>
      <c r="Q166" s="560">
        <f t="shared" si="10"/>
        <v>0</v>
      </c>
      <c r="R166" s="648"/>
      <c r="S166" s="648"/>
    </row>
    <row r="167" spans="1:19" ht="15" hidden="1" customHeight="1" x14ac:dyDescent="0.2">
      <c r="A167" s="45"/>
      <c r="B167" s="45"/>
      <c r="C167" s="45"/>
      <c r="D167" s="110" t="s">
        <v>328</v>
      </c>
      <c r="E167" s="80">
        <v>2</v>
      </c>
      <c r="F167" s="81">
        <v>131859</v>
      </c>
      <c r="G167" s="48"/>
      <c r="H167" s="48"/>
      <c r="I167" s="48"/>
      <c r="J167" s="48"/>
      <c r="K167" s="48"/>
      <c r="L167" s="48"/>
      <c r="M167" s="48"/>
      <c r="N167" s="48"/>
      <c r="O167" s="48"/>
      <c r="P167" s="48"/>
      <c r="Q167" s="560">
        <f t="shared" si="10"/>
        <v>0</v>
      </c>
      <c r="R167" s="648"/>
      <c r="S167" s="648"/>
    </row>
    <row r="168" spans="1:19" ht="15" hidden="1" customHeight="1" x14ac:dyDescent="0.2">
      <c r="A168" s="45"/>
      <c r="B168" s="45"/>
      <c r="C168" s="45"/>
      <c r="D168" s="164" t="s">
        <v>329</v>
      </c>
      <c r="E168" s="159">
        <v>2</v>
      </c>
      <c r="F168" s="160">
        <v>131860</v>
      </c>
      <c r="G168" s="106"/>
      <c r="H168" s="106"/>
      <c r="I168" s="106"/>
      <c r="J168" s="106"/>
      <c r="K168" s="106"/>
      <c r="L168" s="106"/>
      <c r="M168" s="106"/>
      <c r="N168" s="106"/>
      <c r="O168" s="106"/>
      <c r="P168" s="106"/>
      <c r="Q168" s="560">
        <f t="shared" si="10"/>
        <v>0</v>
      </c>
      <c r="R168" s="648"/>
      <c r="S168" s="648"/>
    </row>
    <row r="169" spans="1:19" ht="15" hidden="1" customHeight="1" x14ac:dyDescent="0.2">
      <c r="A169" s="107"/>
      <c r="B169" s="107"/>
      <c r="C169" s="107"/>
      <c r="D169" s="164" t="s">
        <v>330</v>
      </c>
      <c r="E169" s="159">
        <v>2</v>
      </c>
      <c r="F169" s="160">
        <v>131861</v>
      </c>
      <c r="G169" s="106"/>
      <c r="H169" s="106"/>
      <c r="I169" s="106"/>
      <c r="J169" s="106"/>
      <c r="K169" s="106"/>
      <c r="L169" s="106"/>
      <c r="M169" s="106"/>
      <c r="N169" s="106"/>
      <c r="O169" s="106"/>
      <c r="P169" s="106"/>
      <c r="Q169" s="560">
        <f t="shared" si="10"/>
        <v>0</v>
      </c>
      <c r="R169" s="648"/>
      <c r="S169" s="648"/>
    </row>
    <row r="170" spans="1:19" ht="43.5" hidden="1" customHeight="1" x14ac:dyDescent="0.2">
      <c r="A170" s="107"/>
      <c r="B170" s="107"/>
      <c r="C170" s="107"/>
      <c r="D170" s="263" t="s">
        <v>767</v>
      </c>
      <c r="E170" s="159">
        <v>2</v>
      </c>
      <c r="F170" s="160">
        <v>131826</v>
      </c>
      <c r="G170" s="106"/>
      <c r="H170" s="106"/>
      <c r="I170" s="106"/>
      <c r="J170" s="106"/>
      <c r="K170" s="106"/>
      <c r="L170" s="106"/>
      <c r="M170" s="106"/>
      <c r="N170" s="106"/>
      <c r="O170" s="106"/>
      <c r="P170" s="106"/>
      <c r="Q170" s="560">
        <f t="shared" si="10"/>
        <v>0</v>
      </c>
      <c r="R170" s="648"/>
      <c r="S170" s="648"/>
    </row>
    <row r="171" spans="1:19" ht="15" hidden="1" customHeight="1" x14ac:dyDescent="0.2">
      <c r="A171" s="107"/>
      <c r="B171" s="107"/>
      <c r="C171" s="107"/>
      <c r="D171" s="155" t="s">
        <v>331</v>
      </c>
      <c r="E171" s="133">
        <v>2</v>
      </c>
      <c r="F171" s="106">
        <v>131829</v>
      </c>
      <c r="G171" s="106"/>
      <c r="H171" s="106"/>
      <c r="I171" s="106"/>
      <c r="J171" s="106"/>
      <c r="K171" s="106"/>
      <c r="L171" s="106"/>
      <c r="M171" s="106"/>
      <c r="N171" s="106"/>
      <c r="O171" s="106"/>
      <c r="P171" s="106"/>
      <c r="Q171" s="560">
        <f t="shared" si="10"/>
        <v>0</v>
      </c>
      <c r="R171" s="648"/>
      <c r="S171" s="648"/>
    </row>
    <row r="172" spans="1:19" ht="15" hidden="1" customHeight="1" x14ac:dyDescent="0.2">
      <c r="A172" s="107"/>
      <c r="B172" s="107"/>
      <c r="C172" s="145"/>
      <c r="D172" s="155" t="s">
        <v>590</v>
      </c>
      <c r="E172" s="133">
        <v>2</v>
      </c>
      <c r="F172" s="106">
        <v>131825</v>
      </c>
      <c r="G172" s="106"/>
      <c r="H172" s="106"/>
      <c r="I172" s="106"/>
      <c r="J172" s="106"/>
      <c r="K172" s="106"/>
      <c r="L172" s="106"/>
      <c r="M172" s="106"/>
      <c r="N172" s="106"/>
      <c r="O172" s="106"/>
      <c r="P172" s="106"/>
      <c r="Q172" s="560">
        <f>SUM(G172:P172)</f>
        <v>0</v>
      </c>
      <c r="R172" s="648"/>
      <c r="S172" s="648"/>
    </row>
    <row r="173" spans="1:19" ht="15" hidden="1" customHeight="1" x14ac:dyDescent="0.2">
      <c r="A173" s="107"/>
      <c r="B173" s="107"/>
      <c r="C173" s="145"/>
      <c r="D173" s="111" t="s">
        <v>332</v>
      </c>
      <c r="E173" s="112"/>
      <c r="F173" s="106"/>
      <c r="G173" s="106"/>
      <c r="H173" s="106"/>
      <c r="I173" s="106"/>
      <c r="J173" s="106"/>
      <c r="K173" s="106"/>
      <c r="L173" s="106"/>
      <c r="M173" s="106"/>
      <c r="N173" s="106"/>
      <c r="O173" s="106"/>
      <c r="P173" s="106"/>
      <c r="Q173" s="560"/>
      <c r="R173" s="648"/>
      <c r="S173" s="648"/>
    </row>
    <row r="174" spans="1:19" ht="15" hidden="1" customHeight="1" x14ac:dyDescent="0.2">
      <c r="A174" s="107"/>
      <c r="B174" s="107"/>
      <c r="C174" s="145"/>
      <c r="D174" s="111" t="s">
        <v>333</v>
      </c>
      <c r="E174" s="133">
        <v>1</v>
      </c>
      <c r="F174" s="106">
        <v>131827</v>
      </c>
      <c r="G174" s="106"/>
      <c r="H174" s="106"/>
      <c r="I174" s="106"/>
      <c r="J174" s="106"/>
      <c r="K174" s="106"/>
      <c r="L174" s="106"/>
      <c r="M174" s="106"/>
      <c r="N174" s="106"/>
      <c r="O174" s="106"/>
      <c r="P174" s="106"/>
      <c r="Q174" s="560">
        <f>SUM(G174:P174)</f>
        <v>0</v>
      </c>
      <c r="R174" s="648"/>
      <c r="S174" s="648"/>
    </row>
    <row r="175" spans="1:19" ht="15" hidden="1" customHeight="1" x14ac:dyDescent="0.2">
      <c r="A175" s="107"/>
      <c r="B175" s="107"/>
      <c r="C175" s="145"/>
      <c r="D175" s="165" t="s">
        <v>334</v>
      </c>
      <c r="E175" s="106">
        <v>2</v>
      </c>
      <c r="F175" s="106">
        <v>131844</v>
      </c>
      <c r="G175" s="106"/>
      <c r="H175" s="106"/>
      <c r="I175" s="106"/>
      <c r="J175" s="106"/>
      <c r="K175" s="106"/>
      <c r="L175" s="106"/>
      <c r="M175" s="106"/>
      <c r="N175" s="106"/>
      <c r="O175" s="106"/>
      <c r="P175" s="106"/>
      <c r="Q175" s="560">
        <f>SUM(G175:P175)</f>
        <v>0</v>
      </c>
      <c r="R175" s="648"/>
      <c r="S175" s="648"/>
    </row>
    <row r="176" spans="1:19" ht="15" hidden="1" customHeight="1" x14ac:dyDescent="0.2">
      <c r="A176" s="107"/>
      <c r="B176" s="107"/>
      <c r="C176" s="145"/>
      <c r="D176" s="166" t="s">
        <v>539</v>
      </c>
      <c r="E176" s="167">
        <v>2</v>
      </c>
      <c r="F176" s="106">
        <v>221966</v>
      </c>
      <c r="G176" s="168"/>
      <c r="H176" s="168"/>
      <c r="I176" s="168"/>
      <c r="J176" s="168"/>
      <c r="K176" s="106"/>
      <c r="L176" s="168"/>
      <c r="M176" s="168"/>
      <c r="N176" s="168"/>
      <c r="O176" s="168"/>
      <c r="P176" s="168"/>
      <c r="Q176" s="654">
        <f>SUM(G176:P176)</f>
        <v>0</v>
      </c>
      <c r="R176" s="648"/>
      <c r="S176" s="648"/>
    </row>
    <row r="177" spans="1:19" ht="15" hidden="1" customHeight="1" x14ac:dyDescent="0.2">
      <c r="A177" s="107"/>
      <c r="B177" s="107"/>
      <c r="C177" s="145"/>
      <c r="D177" s="111" t="s">
        <v>536</v>
      </c>
      <c r="E177" s="106">
        <v>2</v>
      </c>
      <c r="F177" s="106">
        <v>191801</v>
      </c>
      <c r="G177" s="106"/>
      <c r="H177" s="106"/>
      <c r="I177" s="106"/>
      <c r="J177" s="106"/>
      <c r="K177" s="106"/>
      <c r="L177" s="106"/>
      <c r="M177" s="106"/>
      <c r="N177" s="106"/>
      <c r="O177" s="106"/>
      <c r="P177" s="106"/>
      <c r="Q177" s="560">
        <f>SUM(G177:P177)</f>
        <v>0</v>
      </c>
      <c r="R177" s="652">
        <f>SUM(Q128:Q177)</f>
        <v>0</v>
      </c>
      <c r="S177" s="648"/>
    </row>
    <row r="178" spans="1:19" ht="15" customHeight="1" x14ac:dyDescent="0.2">
      <c r="A178" s="169"/>
      <c r="B178" s="169"/>
      <c r="C178" s="170"/>
      <c r="D178" s="171" t="s">
        <v>748</v>
      </c>
      <c r="E178" s="172"/>
      <c r="F178" s="173"/>
      <c r="G178" s="174">
        <f t="shared" ref="G178:R178" si="11">SUM(G49:G177)</f>
        <v>15000</v>
      </c>
      <c r="H178" s="174">
        <f t="shared" si="11"/>
        <v>0</v>
      </c>
      <c r="I178" s="174">
        <f t="shared" si="11"/>
        <v>-15000</v>
      </c>
      <c r="J178" s="174">
        <f t="shared" si="11"/>
        <v>0</v>
      </c>
      <c r="K178" s="174">
        <f t="shared" si="11"/>
        <v>0</v>
      </c>
      <c r="L178" s="174">
        <f t="shared" si="11"/>
        <v>0</v>
      </c>
      <c r="M178" s="174">
        <f t="shared" si="11"/>
        <v>0</v>
      </c>
      <c r="N178" s="174">
        <f t="shared" si="11"/>
        <v>0</v>
      </c>
      <c r="O178" s="174">
        <f t="shared" si="11"/>
        <v>0</v>
      </c>
      <c r="P178" s="174">
        <f t="shared" si="11"/>
        <v>0</v>
      </c>
      <c r="Q178" s="655">
        <f t="shared" si="11"/>
        <v>0</v>
      </c>
      <c r="R178" s="655">
        <f t="shared" si="11"/>
        <v>0</v>
      </c>
      <c r="S178" s="674"/>
    </row>
    <row r="179" spans="1:19" ht="15" hidden="1" customHeight="1" x14ac:dyDescent="0.2">
      <c r="A179" s="175"/>
      <c r="B179" s="175"/>
      <c r="C179" s="176"/>
      <c r="D179" s="113" t="s">
        <v>250</v>
      </c>
      <c r="E179" s="118"/>
      <c r="F179" s="177"/>
      <c r="G179" s="178"/>
      <c r="H179" s="178"/>
      <c r="I179" s="178"/>
      <c r="J179" s="178"/>
      <c r="K179" s="178"/>
      <c r="L179" s="178"/>
      <c r="M179" s="178"/>
      <c r="N179" s="178"/>
      <c r="O179" s="178"/>
      <c r="P179" s="178"/>
      <c r="Q179" s="656"/>
      <c r="R179" s="648"/>
      <c r="S179" s="648"/>
    </row>
    <row r="180" spans="1:19" ht="15" hidden="1" customHeight="1" x14ac:dyDescent="0.2">
      <c r="A180" s="175"/>
      <c r="B180" s="175"/>
      <c r="C180" s="466" t="s">
        <v>82</v>
      </c>
      <c r="D180" s="97" t="s">
        <v>263</v>
      </c>
      <c r="E180" s="179"/>
      <c r="F180" s="106"/>
      <c r="G180" s="178"/>
      <c r="H180" s="178"/>
      <c r="I180" s="178"/>
      <c r="J180" s="178"/>
      <c r="K180" s="178"/>
      <c r="L180" s="178"/>
      <c r="M180" s="178"/>
      <c r="N180" s="178"/>
      <c r="O180" s="178"/>
      <c r="P180" s="178"/>
      <c r="Q180" s="657"/>
      <c r="R180" s="648"/>
      <c r="S180" s="648"/>
    </row>
    <row r="181" spans="1:19" ht="15" hidden="1" customHeight="1" x14ac:dyDescent="0.2">
      <c r="A181" s="462"/>
      <c r="B181" s="462"/>
      <c r="C181" s="293" t="s">
        <v>905</v>
      </c>
      <c r="D181" s="411" t="s">
        <v>849</v>
      </c>
      <c r="E181" s="470">
        <v>2</v>
      </c>
      <c r="F181" s="439">
        <v>132972</v>
      </c>
      <c r="G181" s="178"/>
      <c r="H181" s="178"/>
      <c r="I181" s="178"/>
      <c r="J181" s="178"/>
      <c r="K181" s="178"/>
      <c r="L181" s="180"/>
      <c r="M181" s="178"/>
      <c r="N181" s="178"/>
      <c r="O181" s="178"/>
      <c r="P181" s="178"/>
      <c r="Q181" s="657">
        <f t="shared" ref="Q181:Q184" si="12">SUM(G181:P181)</f>
        <v>0</v>
      </c>
      <c r="R181" s="648"/>
      <c r="S181" s="648"/>
    </row>
    <row r="182" spans="1:19" ht="15" hidden="1" customHeight="1" x14ac:dyDescent="0.2">
      <c r="A182" s="51"/>
      <c r="B182" s="51"/>
      <c r="C182" s="321"/>
      <c r="D182" s="111" t="s">
        <v>746</v>
      </c>
      <c r="E182" s="322"/>
      <c r="F182" s="48"/>
      <c r="G182" s="178"/>
      <c r="H182" s="178"/>
      <c r="I182" s="178"/>
      <c r="J182" s="178"/>
      <c r="K182" s="178"/>
      <c r="L182" s="178"/>
      <c r="M182" s="178"/>
      <c r="N182" s="178"/>
      <c r="O182" s="178"/>
      <c r="P182" s="178"/>
      <c r="Q182" s="657"/>
      <c r="R182" s="648"/>
      <c r="S182" s="648"/>
    </row>
    <row r="183" spans="1:19" ht="15" hidden="1" customHeight="1" x14ac:dyDescent="0.2">
      <c r="A183" s="51"/>
      <c r="B183" s="51"/>
      <c r="C183" s="145" t="s">
        <v>661</v>
      </c>
      <c r="D183" s="510" t="s">
        <v>704</v>
      </c>
      <c r="E183" s="116">
        <v>2</v>
      </c>
      <c r="F183" s="106">
        <v>132971</v>
      </c>
      <c r="G183" s="301"/>
      <c r="H183" s="301"/>
      <c r="I183" s="301"/>
      <c r="J183" s="301"/>
      <c r="K183" s="301"/>
      <c r="L183" s="302"/>
      <c r="M183" s="302"/>
      <c r="N183" s="301"/>
      <c r="O183" s="301"/>
      <c r="P183" s="301"/>
      <c r="Q183" s="657">
        <f t="shared" si="12"/>
        <v>0</v>
      </c>
      <c r="R183" s="648"/>
      <c r="S183" s="648"/>
    </row>
    <row r="184" spans="1:19" ht="15" hidden="1" customHeight="1" x14ac:dyDescent="0.2">
      <c r="A184" s="462"/>
      <c r="B184" s="462"/>
      <c r="C184" s="145" t="s">
        <v>949</v>
      </c>
      <c r="D184" s="477" t="s">
        <v>604</v>
      </c>
      <c r="E184" s="201">
        <v>1</v>
      </c>
      <c r="F184" s="439">
        <v>134954</v>
      </c>
      <c r="G184" s="301"/>
      <c r="H184" s="301"/>
      <c r="I184" s="301"/>
      <c r="J184" s="301"/>
      <c r="K184" s="301"/>
      <c r="L184" s="302"/>
      <c r="M184" s="302"/>
      <c r="N184" s="301"/>
      <c r="O184" s="301"/>
      <c r="P184" s="301"/>
      <c r="Q184" s="657">
        <f t="shared" si="12"/>
        <v>0</v>
      </c>
      <c r="R184" s="648"/>
      <c r="S184" s="648"/>
    </row>
    <row r="185" spans="1:19" ht="18.75" hidden="1" customHeight="1" x14ac:dyDescent="0.2">
      <c r="A185" s="169"/>
      <c r="B185" s="169"/>
      <c r="C185" s="170"/>
      <c r="D185" s="171" t="s">
        <v>171</v>
      </c>
      <c r="E185" s="172"/>
      <c r="F185" s="173"/>
      <c r="G185" s="174">
        <f>SUM(G178:G184)</f>
        <v>15000</v>
      </c>
      <c r="H185" s="174">
        <f t="shared" ref="H185:R185" si="13">SUM(H178:H184)</f>
        <v>0</v>
      </c>
      <c r="I185" s="174">
        <f t="shared" si="13"/>
        <v>-15000</v>
      </c>
      <c r="J185" s="174">
        <f t="shared" si="13"/>
        <v>0</v>
      </c>
      <c r="K185" s="174">
        <f t="shared" si="13"/>
        <v>0</v>
      </c>
      <c r="L185" s="174">
        <f t="shared" si="13"/>
        <v>0</v>
      </c>
      <c r="M185" s="174">
        <f t="shared" si="13"/>
        <v>0</v>
      </c>
      <c r="N185" s="174">
        <f t="shared" si="13"/>
        <v>0</v>
      </c>
      <c r="O185" s="174">
        <f t="shared" si="13"/>
        <v>0</v>
      </c>
      <c r="P185" s="174">
        <f t="shared" si="13"/>
        <v>0</v>
      </c>
      <c r="Q185" s="655">
        <f t="shared" si="13"/>
        <v>0</v>
      </c>
      <c r="R185" s="655">
        <f t="shared" si="13"/>
        <v>0</v>
      </c>
      <c r="S185" s="674"/>
    </row>
    <row r="186" spans="1:19" ht="12.95" customHeight="1" x14ac:dyDescent="0.2">
      <c r="A186" s="175">
        <v>1</v>
      </c>
      <c r="B186" s="175">
        <v>14</v>
      </c>
      <c r="C186" s="176"/>
      <c r="D186" s="181" t="s">
        <v>143</v>
      </c>
      <c r="E186" s="118"/>
      <c r="F186" s="177"/>
      <c r="G186" s="177"/>
      <c r="H186" s="132"/>
      <c r="I186" s="132"/>
      <c r="J186" s="132"/>
      <c r="K186" s="132"/>
      <c r="L186" s="132"/>
      <c r="M186" s="177"/>
      <c r="N186" s="177"/>
      <c r="O186" s="177"/>
      <c r="P186" s="177"/>
      <c r="Q186" s="651"/>
      <c r="R186" s="648"/>
      <c r="S186" s="648"/>
    </row>
    <row r="187" spans="1:19" ht="12.95" customHeight="1" x14ac:dyDescent="0.2">
      <c r="A187" s="175"/>
      <c r="B187" s="175"/>
      <c r="C187" s="176"/>
      <c r="D187" s="182" t="s">
        <v>172</v>
      </c>
      <c r="E187" s="118"/>
      <c r="F187" s="177"/>
      <c r="G187" s="177"/>
      <c r="H187" s="132"/>
      <c r="I187" s="132"/>
      <c r="J187" s="132"/>
      <c r="K187" s="132"/>
      <c r="L187" s="132"/>
      <c r="M187" s="177"/>
      <c r="N187" s="177"/>
      <c r="O187" s="177"/>
      <c r="P187" s="177"/>
      <c r="Q187" s="651"/>
      <c r="R187" s="648"/>
      <c r="S187" s="648"/>
    </row>
    <row r="188" spans="1:19" ht="12.95" customHeight="1" x14ac:dyDescent="0.2">
      <c r="A188" s="175"/>
      <c r="B188" s="175"/>
      <c r="C188" s="176"/>
      <c r="D188" s="111" t="s">
        <v>337</v>
      </c>
      <c r="E188" s="106">
        <v>1</v>
      </c>
      <c r="F188" s="106">
        <v>171918</v>
      </c>
      <c r="G188" s="106"/>
      <c r="H188" s="106"/>
      <c r="I188" s="132">
        <v>-312064</v>
      </c>
      <c r="J188" s="106"/>
      <c r="K188" s="106"/>
      <c r="L188" s="106">
        <v>412064</v>
      </c>
      <c r="M188" s="106"/>
      <c r="N188" s="106"/>
      <c r="O188" s="106"/>
      <c r="P188" s="106"/>
      <c r="Q188" s="560">
        <f>SUM(G188:P188)</f>
        <v>100000</v>
      </c>
      <c r="R188" s="648"/>
      <c r="S188" s="648" t="s">
        <v>1066</v>
      </c>
    </row>
    <row r="189" spans="1:19" ht="24" hidden="1" customHeight="1" x14ac:dyDescent="0.2">
      <c r="A189" s="175"/>
      <c r="B189" s="175"/>
      <c r="C189" s="176"/>
      <c r="D189" s="149" t="s">
        <v>338</v>
      </c>
      <c r="E189" s="106">
        <v>1</v>
      </c>
      <c r="F189" s="106">
        <v>171922</v>
      </c>
      <c r="G189" s="106"/>
      <c r="H189" s="106"/>
      <c r="I189" s="132"/>
      <c r="J189" s="106"/>
      <c r="K189" s="106"/>
      <c r="L189" s="106"/>
      <c r="M189" s="106"/>
      <c r="N189" s="106"/>
      <c r="O189" s="106"/>
      <c r="P189" s="106"/>
      <c r="Q189" s="560">
        <f>SUM(G189:P189)</f>
        <v>0</v>
      </c>
      <c r="R189" s="648"/>
      <c r="S189" s="648"/>
    </row>
    <row r="190" spans="1:19" ht="12.95" customHeight="1" x14ac:dyDescent="0.2">
      <c r="A190" s="175"/>
      <c r="B190" s="175"/>
      <c r="C190" s="176"/>
      <c r="D190" s="111" t="s">
        <v>339</v>
      </c>
      <c r="E190" s="106">
        <v>1</v>
      </c>
      <c r="F190" s="106">
        <v>171926</v>
      </c>
      <c r="G190" s="106">
        <v>1000000</v>
      </c>
      <c r="H190" s="106">
        <v>125000</v>
      </c>
      <c r="I190" s="132">
        <v>-1125000</v>
      </c>
      <c r="J190" s="106"/>
      <c r="K190" s="106"/>
      <c r="L190" s="106"/>
      <c r="M190" s="106"/>
      <c r="N190" s="106"/>
      <c r="O190" s="106"/>
      <c r="P190" s="106"/>
      <c r="Q190" s="560">
        <f>SUM(G190:P190)</f>
        <v>0</v>
      </c>
      <c r="R190" s="648"/>
      <c r="S190" s="648" t="s">
        <v>1066</v>
      </c>
    </row>
    <row r="191" spans="1:19" ht="12.95" hidden="1" customHeight="1" x14ac:dyDescent="0.2">
      <c r="A191" s="175"/>
      <c r="B191" s="175"/>
      <c r="C191" s="176"/>
      <c r="D191" s="111" t="s">
        <v>340</v>
      </c>
      <c r="E191" s="106">
        <v>1</v>
      </c>
      <c r="F191" s="106">
        <v>171967</v>
      </c>
      <c r="G191" s="106"/>
      <c r="H191" s="106"/>
      <c r="I191" s="132"/>
      <c r="J191" s="106"/>
      <c r="K191" s="106"/>
      <c r="L191" s="106"/>
      <c r="M191" s="106"/>
      <c r="N191" s="106"/>
      <c r="O191" s="106"/>
      <c r="P191" s="106"/>
      <c r="Q191" s="560">
        <f>SUM(G191:P191)</f>
        <v>0</v>
      </c>
      <c r="R191" s="648"/>
      <c r="S191" s="648"/>
    </row>
    <row r="192" spans="1:19" ht="18.75" customHeight="1" x14ac:dyDescent="0.2">
      <c r="A192" s="169"/>
      <c r="B192" s="169"/>
      <c r="C192" s="170"/>
      <c r="D192" s="171" t="s">
        <v>341</v>
      </c>
      <c r="E192" s="183"/>
      <c r="F192" s="184"/>
      <c r="G192" s="185">
        <f t="shared" ref="G192:R192" si="14">SUM(G188:G191)</f>
        <v>1000000</v>
      </c>
      <c r="H192" s="185">
        <f t="shared" si="14"/>
        <v>125000</v>
      </c>
      <c r="I192" s="185">
        <f t="shared" si="14"/>
        <v>-1437064</v>
      </c>
      <c r="J192" s="185">
        <f t="shared" si="14"/>
        <v>0</v>
      </c>
      <c r="K192" s="185">
        <f t="shared" si="14"/>
        <v>0</v>
      </c>
      <c r="L192" s="185">
        <f t="shared" si="14"/>
        <v>412064</v>
      </c>
      <c r="M192" s="185">
        <f t="shared" si="14"/>
        <v>0</v>
      </c>
      <c r="N192" s="185">
        <f t="shared" si="14"/>
        <v>0</v>
      </c>
      <c r="O192" s="185">
        <f t="shared" si="14"/>
        <v>0</v>
      </c>
      <c r="P192" s="185">
        <f t="shared" si="14"/>
        <v>0</v>
      </c>
      <c r="Q192" s="658">
        <f t="shared" si="14"/>
        <v>100000</v>
      </c>
      <c r="R192" s="658">
        <f t="shared" si="14"/>
        <v>0</v>
      </c>
      <c r="S192" s="674"/>
    </row>
    <row r="193" spans="1:19" ht="12.95" hidden="1" customHeight="1" x14ac:dyDescent="0.2">
      <c r="A193" s="175"/>
      <c r="B193" s="175"/>
      <c r="C193" s="176"/>
      <c r="D193" s="113" t="s">
        <v>342</v>
      </c>
      <c r="E193" s="116"/>
      <c r="F193" s="106"/>
      <c r="G193" s="132"/>
      <c r="H193" s="132"/>
      <c r="I193" s="132"/>
      <c r="J193" s="132"/>
      <c r="K193" s="132"/>
      <c r="L193" s="132"/>
      <c r="M193" s="132"/>
      <c r="N193" s="132"/>
      <c r="O193" s="132"/>
      <c r="P193" s="132"/>
      <c r="Q193" s="635"/>
      <c r="R193" s="648"/>
      <c r="S193" s="648"/>
    </row>
    <row r="194" spans="1:19" ht="12.95" hidden="1" customHeight="1" x14ac:dyDescent="0.2">
      <c r="A194" s="175"/>
      <c r="B194" s="175"/>
      <c r="C194" s="186"/>
      <c r="D194" s="90" t="s">
        <v>746</v>
      </c>
      <c r="E194" s="187"/>
      <c r="F194" s="48"/>
      <c r="G194" s="47"/>
      <c r="H194" s="47"/>
      <c r="I194" s="47"/>
      <c r="J194" s="47"/>
      <c r="K194" s="47"/>
      <c r="L194" s="47"/>
      <c r="M194" s="47"/>
      <c r="N194" s="47"/>
      <c r="O194" s="47"/>
      <c r="P194" s="47"/>
      <c r="Q194" s="635"/>
      <c r="R194" s="648"/>
      <c r="S194" s="648"/>
    </row>
    <row r="195" spans="1:19" ht="12.95" hidden="1" customHeight="1" x14ac:dyDescent="0.2">
      <c r="A195" s="51"/>
      <c r="B195" s="51"/>
      <c r="C195" s="188" t="s">
        <v>253</v>
      </c>
      <c r="D195" s="161" t="s">
        <v>343</v>
      </c>
      <c r="E195" s="187">
        <v>1</v>
      </c>
      <c r="F195" s="48">
        <v>162650</v>
      </c>
      <c r="G195" s="47"/>
      <c r="H195" s="47"/>
      <c r="I195" s="47"/>
      <c r="J195" s="47"/>
      <c r="K195" s="47"/>
      <c r="L195" s="47"/>
      <c r="M195" s="47"/>
      <c r="N195" s="47"/>
      <c r="O195" s="47"/>
      <c r="P195" s="47"/>
      <c r="Q195" s="635">
        <f>SUM(G195:P195)</f>
        <v>0</v>
      </c>
      <c r="R195" s="648"/>
      <c r="S195" s="648"/>
    </row>
    <row r="196" spans="1:19" ht="12.95" hidden="1" customHeight="1" x14ac:dyDescent="0.2">
      <c r="A196" s="51"/>
      <c r="B196" s="51"/>
      <c r="C196" s="188" t="s">
        <v>255</v>
      </c>
      <c r="D196" s="189" t="s">
        <v>612</v>
      </c>
      <c r="E196" s="187">
        <v>1</v>
      </c>
      <c r="F196" s="48">
        <v>164903</v>
      </c>
      <c r="G196" s="47"/>
      <c r="H196" s="47"/>
      <c r="I196" s="47"/>
      <c r="J196" s="47"/>
      <c r="K196" s="47"/>
      <c r="L196" s="47"/>
      <c r="M196" s="47"/>
      <c r="N196" s="47"/>
      <c r="O196" s="47"/>
      <c r="P196" s="47"/>
      <c r="Q196" s="635">
        <f>SUM(G196:P196)</f>
        <v>0</v>
      </c>
      <c r="R196" s="648"/>
      <c r="S196" s="648"/>
    </row>
    <row r="197" spans="1:19" ht="12.95" hidden="1" customHeight="1" x14ac:dyDescent="0.2">
      <c r="A197" s="136"/>
      <c r="B197" s="136"/>
      <c r="C197" s="137"/>
      <c r="D197" s="138" t="s">
        <v>174</v>
      </c>
      <c r="E197" s="190"/>
      <c r="F197" s="191"/>
      <c r="G197" s="192">
        <f t="shared" ref="G197:R197" si="15">SUM(G192:G196)</f>
        <v>1000000</v>
      </c>
      <c r="H197" s="192">
        <f t="shared" si="15"/>
        <v>125000</v>
      </c>
      <c r="I197" s="192">
        <f t="shared" si="15"/>
        <v>-1437064</v>
      </c>
      <c r="J197" s="192">
        <f t="shared" si="15"/>
        <v>0</v>
      </c>
      <c r="K197" s="192">
        <f t="shared" si="15"/>
        <v>0</v>
      </c>
      <c r="L197" s="192">
        <f t="shared" si="15"/>
        <v>412064</v>
      </c>
      <c r="M197" s="192">
        <f t="shared" si="15"/>
        <v>0</v>
      </c>
      <c r="N197" s="192">
        <f t="shared" si="15"/>
        <v>0</v>
      </c>
      <c r="O197" s="192">
        <f t="shared" si="15"/>
        <v>0</v>
      </c>
      <c r="P197" s="192">
        <f t="shared" si="15"/>
        <v>0</v>
      </c>
      <c r="Q197" s="659">
        <f t="shared" si="15"/>
        <v>100000</v>
      </c>
      <c r="R197" s="659">
        <f t="shared" si="15"/>
        <v>0</v>
      </c>
      <c r="S197" s="674"/>
    </row>
    <row r="198" spans="1:19" ht="14.1" customHeight="1" x14ac:dyDescent="0.2">
      <c r="A198" s="45">
        <v>1</v>
      </c>
      <c r="B198" s="45">
        <v>15</v>
      </c>
      <c r="C198" s="95"/>
      <c r="D198" s="193" t="s">
        <v>344</v>
      </c>
      <c r="E198" s="94"/>
      <c r="F198" s="48"/>
      <c r="G198" s="48"/>
      <c r="H198" s="47"/>
      <c r="I198" s="47"/>
      <c r="J198" s="47"/>
      <c r="K198" s="47"/>
      <c r="L198" s="47"/>
      <c r="M198" s="48"/>
      <c r="N198" s="48"/>
      <c r="O198" s="48"/>
      <c r="P198" s="48"/>
      <c r="Q198" s="560"/>
      <c r="R198" s="648"/>
      <c r="S198" s="648"/>
    </row>
    <row r="199" spans="1:19" ht="14.1" hidden="1" customHeight="1" x14ac:dyDescent="0.2">
      <c r="A199" s="45"/>
      <c r="B199" s="45"/>
      <c r="C199" s="95"/>
      <c r="D199" s="100" t="s">
        <v>345</v>
      </c>
      <c r="E199" s="94"/>
      <c r="F199" s="48"/>
      <c r="G199" s="48"/>
      <c r="H199" s="47"/>
      <c r="I199" s="47"/>
      <c r="J199" s="47"/>
      <c r="K199" s="47"/>
      <c r="L199" s="47"/>
      <c r="M199" s="48"/>
      <c r="N199" s="48"/>
      <c r="O199" s="48"/>
      <c r="P199" s="48"/>
      <c r="Q199" s="560"/>
      <c r="R199" s="648"/>
      <c r="S199" s="648"/>
    </row>
    <row r="200" spans="1:19" ht="15" hidden="1" customHeight="1" x14ac:dyDescent="0.2">
      <c r="A200" s="45"/>
      <c r="B200" s="45"/>
      <c r="C200" s="95"/>
      <c r="D200" s="90" t="s">
        <v>346</v>
      </c>
      <c r="E200" s="48">
        <v>1</v>
      </c>
      <c r="F200" s="48">
        <v>151502</v>
      </c>
      <c r="G200" s="48"/>
      <c r="H200" s="48"/>
      <c r="I200" s="48"/>
      <c r="J200" s="48"/>
      <c r="K200" s="48"/>
      <c r="L200" s="48"/>
      <c r="M200" s="48"/>
      <c r="N200" s="48"/>
      <c r="O200" s="48"/>
      <c r="P200" s="48"/>
      <c r="Q200" s="560">
        <f t="shared" ref="Q200:Q217" si="16">SUM(G200:P200)</f>
        <v>0</v>
      </c>
      <c r="R200" s="648"/>
      <c r="S200" s="648"/>
    </row>
    <row r="201" spans="1:19" ht="15.75" hidden="1" customHeight="1" x14ac:dyDescent="0.2">
      <c r="A201" s="45"/>
      <c r="B201" s="45"/>
      <c r="C201" s="95"/>
      <c r="D201" s="91" t="s">
        <v>503</v>
      </c>
      <c r="E201" s="48">
        <v>1</v>
      </c>
      <c r="F201" s="48">
        <v>151530</v>
      </c>
      <c r="G201" s="48"/>
      <c r="H201" s="48"/>
      <c r="I201" s="48"/>
      <c r="J201" s="48"/>
      <c r="K201" s="48"/>
      <c r="L201" s="48"/>
      <c r="M201" s="48"/>
      <c r="N201" s="48"/>
      <c r="O201" s="48"/>
      <c r="P201" s="48"/>
      <c r="Q201" s="560">
        <f t="shared" si="16"/>
        <v>0</v>
      </c>
      <c r="R201" s="648"/>
      <c r="S201" s="648"/>
    </row>
    <row r="202" spans="1:19" ht="28.5" hidden="1" customHeight="1" x14ac:dyDescent="0.2">
      <c r="A202" s="45"/>
      <c r="B202" s="45"/>
      <c r="C202" s="95"/>
      <c r="D202" s="91" t="s">
        <v>981</v>
      </c>
      <c r="E202" s="48">
        <v>1</v>
      </c>
      <c r="F202" s="48">
        <v>151504</v>
      </c>
      <c r="G202" s="48"/>
      <c r="H202" s="48"/>
      <c r="I202" s="48"/>
      <c r="J202" s="48"/>
      <c r="K202" s="48"/>
      <c r="L202" s="48"/>
      <c r="M202" s="48"/>
      <c r="N202" s="48"/>
      <c r="O202" s="48"/>
      <c r="P202" s="48"/>
      <c r="Q202" s="560">
        <f t="shared" si="16"/>
        <v>0</v>
      </c>
      <c r="R202" s="648"/>
      <c r="S202" s="648"/>
    </row>
    <row r="203" spans="1:19" ht="14.1" hidden="1" customHeight="1" x14ac:dyDescent="0.2">
      <c r="A203" s="45"/>
      <c r="B203" s="45"/>
      <c r="C203" s="95"/>
      <c r="D203" s="93" t="s">
        <v>347</v>
      </c>
      <c r="E203" s="48">
        <v>1</v>
      </c>
      <c r="F203" s="48">
        <v>151501</v>
      </c>
      <c r="G203" s="48"/>
      <c r="H203" s="48"/>
      <c r="I203" s="48"/>
      <c r="J203" s="48"/>
      <c r="K203" s="48"/>
      <c r="L203" s="48"/>
      <c r="M203" s="48"/>
      <c r="N203" s="48"/>
      <c r="O203" s="48"/>
      <c r="P203" s="48"/>
      <c r="Q203" s="560">
        <f t="shared" si="16"/>
        <v>0</v>
      </c>
      <c r="R203" s="648"/>
      <c r="S203" s="648"/>
    </row>
    <row r="204" spans="1:19" ht="14.1" hidden="1" customHeight="1" x14ac:dyDescent="0.2">
      <c r="A204" s="45"/>
      <c r="B204" s="45"/>
      <c r="C204" s="95"/>
      <c r="D204" s="93" t="s">
        <v>348</v>
      </c>
      <c r="E204" s="48">
        <v>1</v>
      </c>
      <c r="F204" s="48">
        <v>151905</v>
      </c>
      <c r="G204" s="48"/>
      <c r="H204" s="48"/>
      <c r="I204" s="48"/>
      <c r="J204" s="48"/>
      <c r="K204" s="48"/>
      <c r="L204" s="48"/>
      <c r="M204" s="48"/>
      <c r="N204" s="48"/>
      <c r="O204" s="48"/>
      <c r="P204" s="48"/>
      <c r="Q204" s="560">
        <f t="shared" si="16"/>
        <v>0</v>
      </c>
      <c r="R204" s="648"/>
      <c r="S204" s="648"/>
    </row>
    <row r="205" spans="1:19" ht="14.1" hidden="1" customHeight="1" x14ac:dyDescent="0.2">
      <c r="A205" s="45"/>
      <c r="B205" s="45"/>
      <c r="C205" s="95"/>
      <c r="D205" s="93" t="s">
        <v>349</v>
      </c>
      <c r="E205" s="48">
        <v>1</v>
      </c>
      <c r="F205" s="48">
        <v>151920</v>
      </c>
      <c r="G205" s="48"/>
      <c r="H205" s="48"/>
      <c r="I205" s="48"/>
      <c r="J205" s="48"/>
      <c r="K205" s="48"/>
      <c r="L205" s="48"/>
      <c r="M205" s="48"/>
      <c r="N205" s="48"/>
      <c r="O205" s="48"/>
      <c r="P205" s="48"/>
      <c r="Q205" s="560">
        <f t="shared" si="16"/>
        <v>0</v>
      </c>
      <c r="R205" s="648"/>
      <c r="S205" s="648"/>
    </row>
    <row r="206" spans="1:19" ht="14.1" hidden="1" customHeight="1" x14ac:dyDescent="0.2">
      <c r="A206" s="45"/>
      <c r="B206" s="45"/>
      <c r="C206" s="95"/>
      <c r="D206" s="93" t="s">
        <v>350</v>
      </c>
      <c r="E206" s="48">
        <v>1</v>
      </c>
      <c r="F206" s="48">
        <v>151917</v>
      </c>
      <c r="G206" s="48"/>
      <c r="H206" s="48"/>
      <c r="I206" s="48"/>
      <c r="J206" s="48"/>
      <c r="K206" s="48"/>
      <c r="L206" s="48"/>
      <c r="M206" s="48"/>
      <c r="N206" s="48"/>
      <c r="O206" s="48"/>
      <c r="P206" s="48"/>
      <c r="Q206" s="560">
        <f t="shared" si="16"/>
        <v>0</v>
      </c>
      <c r="R206" s="648"/>
      <c r="S206" s="648"/>
    </row>
    <row r="207" spans="1:19" ht="15" hidden="1" customHeight="1" x14ac:dyDescent="0.2">
      <c r="A207" s="45"/>
      <c r="B207" s="45"/>
      <c r="C207" s="95"/>
      <c r="D207" s="93" t="s">
        <v>351</v>
      </c>
      <c r="E207" s="48">
        <v>2</v>
      </c>
      <c r="F207" s="48">
        <v>151503</v>
      </c>
      <c r="G207" s="48"/>
      <c r="H207" s="48"/>
      <c r="I207" s="48"/>
      <c r="J207" s="48"/>
      <c r="K207" s="48"/>
      <c r="L207" s="48"/>
      <c r="M207" s="48"/>
      <c r="N207" s="48"/>
      <c r="O207" s="48"/>
      <c r="P207" s="48"/>
      <c r="Q207" s="560">
        <f t="shared" si="16"/>
        <v>0</v>
      </c>
      <c r="R207" s="648"/>
      <c r="S207" s="648"/>
    </row>
    <row r="208" spans="1:19" ht="15" hidden="1" customHeight="1" x14ac:dyDescent="0.2">
      <c r="A208" s="45"/>
      <c r="B208" s="45"/>
      <c r="C208" s="95"/>
      <c r="D208" s="93" t="s">
        <v>352</v>
      </c>
      <c r="E208" s="48">
        <v>1</v>
      </c>
      <c r="F208" s="48">
        <v>151510</v>
      </c>
      <c r="G208" s="48"/>
      <c r="H208" s="48"/>
      <c r="I208" s="48"/>
      <c r="J208" s="48"/>
      <c r="K208" s="48"/>
      <c r="L208" s="48"/>
      <c r="M208" s="48"/>
      <c r="N208" s="48"/>
      <c r="O208" s="48"/>
      <c r="P208" s="48"/>
      <c r="Q208" s="560">
        <f t="shared" si="16"/>
        <v>0</v>
      </c>
      <c r="R208" s="648"/>
      <c r="S208" s="648"/>
    </row>
    <row r="209" spans="1:19 16351:16351" ht="15" hidden="1" customHeight="1" x14ac:dyDescent="0.2">
      <c r="A209" s="45"/>
      <c r="B209" s="45"/>
      <c r="C209" s="95"/>
      <c r="D209" s="74" t="s">
        <v>594</v>
      </c>
      <c r="E209" s="27">
        <v>1</v>
      </c>
      <c r="F209" s="48">
        <v>151521</v>
      </c>
      <c r="G209" s="48"/>
      <c r="H209" s="48"/>
      <c r="I209" s="48"/>
      <c r="J209" s="48"/>
      <c r="K209" s="48"/>
      <c r="L209" s="48"/>
      <c r="M209" s="48"/>
      <c r="N209" s="48"/>
      <c r="O209" s="48"/>
      <c r="P209" s="48"/>
      <c r="Q209" s="560">
        <f t="shared" si="16"/>
        <v>0</v>
      </c>
      <c r="R209" s="648"/>
      <c r="S209" s="648"/>
    </row>
    <row r="210" spans="1:19 16351:16351" ht="15" hidden="1" customHeight="1" x14ac:dyDescent="0.2">
      <c r="A210" s="45"/>
      <c r="B210" s="45"/>
      <c r="C210" s="95"/>
      <c r="D210" s="37" t="s">
        <v>353</v>
      </c>
      <c r="E210" s="27">
        <v>1</v>
      </c>
      <c r="F210" s="48">
        <v>151520</v>
      </c>
      <c r="G210" s="48"/>
      <c r="H210" s="48"/>
      <c r="I210" s="48"/>
      <c r="J210" s="48"/>
      <c r="K210" s="48"/>
      <c r="L210" s="48"/>
      <c r="M210" s="48"/>
      <c r="N210" s="48"/>
      <c r="O210" s="48"/>
      <c r="P210" s="48"/>
      <c r="Q210" s="560">
        <f t="shared" si="16"/>
        <v>0</v>
      </c>
      <c r="R210" s="648"/>
      <c r="S210" s="648"/>
    </row>
    <row r="211" spans="1:19 16351:16351" ht="15" hidden="1" customHeight="1" x14ac:dyDescent="0.2">
      <c r="A211" s="45"/>
      <c r="B211" s="45"/>
      <c r="C211" s="95"/>
      <c r="D211" s="194" t="s">
        <v>778</v>
      </c>
      <c r="E211" s="27">
        <v>1</v>
      </c>
      <c r="F211" s="106">
        <v>151928</v>
      </c>
      <c r="G211" s="106"/>
      <c r="H211" s="106"/>
      <c r="I211" s="106"/>
      <c r="J211" s="106"/>
      <c r="K211" s="106"/>
      <c r="L211" s="106"/>
      <c r="M211" s="106"/>
      <c r="N211" s="106"/>
      <c r="O211" s="106"/>
      <c r="P211" s="106"/>
      <c r="Q211" s="560">
        <f t="shared" si="16"/>
        <v>0</v>
      </c>
      <c r="R211" s="648"/>
      <c r="S211" s="648"/>
    </row>
    <row r="212" spans="1:19 16351:16351" ht="15" hidden="1" customHeight="1" x14ac:dyDescent="0.2">
      <c r="A212" s="107"/>
      <c r="B212" s="107"/>
      <c r="C212" s="145"/>
      <c r="D212" s="155" t="s">
        <v>354</v>
      </c>
      <c r="E212" s="106">
        <v>1</v>
      </c>
      <c r="F212" s="106">
        <v>151512</v>
      </c>
      <c r="G212" s="106"/>
      <c r="H212" s="106"/>
      <c r="I212" s="106"/>
      <c r="J212" s="106"/>
      <c r="K212" s="106"/>
      <c r="L212" s="106"/>
      <c r="M212" s="106"/>
      <c r="N212" s="106"/>
      <c r="O212" s="106"/>
      <c r="P212" s="106"/>
      <c r="Q212" s="560">
        <f t="shared" si="16"/>
        <v>0</v>
      </c>
      <c r="R212" s="648"/>
      <c r="S212" s="648"/>
    </row>
    <row r="213" spans="1:19 16351:16351" ht="15" hidden="1" customHeight="1" x14ac:dyDescent="0.2">
      <c r="A213" s="107"/>
      <c r="B213" s="107"/>
      <c r="C213" s="145"/>
      <c r="D213" s="155" t="s">
        <v>779</v>
      </c>
      <c r="E213" s="133">
        <v>1</v>
      </c>
      <c r="F213" s="106">
        <v>151513</v>
      </c>
      <c r="G213" s="106"/>
      <c r="H213" s="106"/>
      <c r="I213" s="106"/>
      <c r="J213" s="106"/>
      <c r="K213" s="106"/>
      <c r="L213" s="106"/>
      <c r="M213" s="106"/>
      <c r="N213" s="106"/>
      <c r="O213" s="106"/>
      <c r="P213" s="106"/>
      <c r="Q213" s="560">
        <f t="shared" si="16"/>
        <v>0</v>
      </c>
      <c r="R213" s="648"/>
      <c r="S213" s="648"/>
    </row>
    <row r="214" spans="1:19 16351:16351" ht="15" hidden="1" customHeight="1" x14ac:dyDescent="0.2">
      <c r="A214" s="107"/>
      <c r="B214" s="107"/>
      <c r="C214" s="145"/>
      <c r="D214" s="148" t="s">
        <v>592</v>
      </c>
      <c r="E214" s="133">
        <v>2</v>
      </c>
      <c r="F214" s="106">
        <v>151918</v>
      </c>
      <c r="G214" s="106"/>
      <c r="H214" s="106"/>
      <c r="I214" s="106"/>
      <c r="J214" s="106"/>
      <c r="K214" s="106"/>
      <c r="L214" s="106"/>
      <c r="M214" s="106"/>
      <c r="N214" s="106"/>
      <c r="O214" s="106"/>
      <c r="P214" s="106"/>
      <c r="Q214" s="560">
        <f t="shared" si="16"/>
        <v>0</v>
      </c>
      <c r="R214" s="648"/>
      <c r="S214" s="648"/>
    </row>
    <row r="215" spans="1:19 16351:16351" ht="15" hidden="1" customHeight="1" x14ac:dyDescent="0.2">
      <c r="A215" s="107"/>
      <c r="B215" s="107"/>
      <c r="C215" s="145"/>
      <c r="D215" s="148" t="s">
        <v>593</v>
      </c>
      <c r="E215" s="133">
        <v>2</v>
      </c>
      <c r="F215" s="106">
        <v>151524</v>
      </c>
      <c r="G215" s="106"/>
      <c r="H215" s="106"/>
      <c r="I215" s="106"/>
      <c r="J215" s="106"/>
      <c r="K215" s="106"/>
      <c r="L215" s="106"/>
      <c r="M215" s="106"/>
      <c r="N215" s="106"/>
      <c r="O215" s="106"/>
      <c r="P215" s="106"/>
      <c r="Q215" s="560">
        <f t="shared" si="16"/>
        <v>0</v>
      </c>
      <c r="R215" s="648"/>
      <c r="S215" s="648"/>
    </row>
    <row r="216" spans="1:19 16351:16351" ht="17.25" hidden="1" customHeight="1" x14ac:dyDescent="0.2">
      <c r="A216" s="107"/>
      <c r="B216" s="107"/>
      <c r="C216" s="145"/>
      <c r="D216" s="147" t="s">
        <v>595</v>
      </c>
      <c r="E216" s="112">
        <v>2</v>
      </c>
      <c r="F216" s="106">
        <v>151531</v>
      </c>
      <c r="G216" s="106"/>
      <c r="H216" s="106"/>
      <c r="I216" s="106"/>
      <c r="J216" s="106"/>
      <c r="K216" s="106"/>
      <c r="L216" s="106"/>
      <c r="M216" s="106"/>
      <c r="N216" s="106"/>
      <c r="O216" s="106"/>
      <c r="P216" s="106"/>
      <c r="Q216" s="560">
        <f t="shared" si="16"/>
        <v>0</v>
      </c>
      <c r="R216" s="648"/>
      <c r="S216" s="648"/>
    </row>
    <row r="217" spans="1:19 16351:16351" ht="15" hidden="1" customHeight="1" x14ac:dyDescent="0.2">
      <c r="A217" s="107"/>
      <c r="B217" s="107"/>
      <c r="C217" s="145"/>
      <c r="D217" s="147" t="s">
        <v>596</v>
      </c>
      <c r="E217" s="112">
        <v>2</v>
      </c>
      <c r="F217" s="106">
        <v>151532</v>
      </c>
      <c r="G217" s="106"/>
      <c r="H217" s="106"/>
      <c r="I217" s="106"/>
      <c r="J217" s="106"/>
      <c r="K217" s="106"/>
      <c r="L217" s="106"/>
      <c r="M217" s="106"/>
      <c r="N217" s="106"/>
      <c r="O217" s="106"/>
      <c r="P217" s="106"/>
      <c r="Q217" s="560">
        <f t="shared" si="16"/>
        <v>0</v>
      </c>
      <c r="R217" s="648"/>
      <c r="S217" s="648"/>
    </row>
    <row r="218" spans="1:19 16351:16351" ht="15" hidden="1" customHeight="1" x14ac:dyDescent="0.2">
      <c r="A218" s="107"/>
      <c r="B218" s="107"/>
      <c r="C218" s="145"/>
      <c r="D218" s="111" t="s">
        <v>355</v>
      </c>
      <c r="E218" s="112"/>
      <c r="F218" s="133"/>
      <c r="G218" s="106"/>
      <c r="H218" s="106"/>
      <c r="I218" s="106"/>
      <c r="J218" s="106"/>
      <c r="K218" s="106"/>
      <c r="L218" s="106"/>
      <c r="M218" s="106"/>
      <c r="N218" s="106"/>
      <c r="O218" s="106"/>
      <c r="P218" s="106"/>
      <c r="Q218" s="560"/>
      <c r="R218" s="648"/>
      <c r="S218" s="648"/>
    </row>
    <row r="219" spans="1:19 16351:16351" ht="15" hidden="1" customHeight="1" x14ac:dyDescent="0.2">
      <c r="A219" s="107"/>
      <c r="B219" s="107"/>
      <c r="C219" s="145"/>
      <c r="D219" s="111" t="s">
        <v>356</v>
      </c>
      <c r="E219" s="106">
        <v>1</v>
      </c>
      <c r="F219" s="106">
        <v>151401</v>
      </c>
      <c r="G219" s="106"/>
      <c r="H219" s="106"/>
      <c r="I219" s="106"/>
      <c r="J219" s="106"/>
      <c r="K219" s="106"/>
      <c r="L219" s="106"/>
      <c r="M219" s="106"/>
      <c r="N219" s="106"/>
      <c r="O219" s="106"/>
      <c r="P219" s="106"/>
      <c r="Q219" s="560">
        <f t="shared" ref="Q219:Q228" si="17">SUM(G219:P219)</f>
        <v>0</v>
      </c>
      <c r="R219" s="648"/>
      <c r="S219" s="648"/>
    </row>
    <row r="220" spans="1:19 16351:16351" ht="15" hidden="1" customHeight="1" x14ac:dyDescent="0.2">
      <c r="A220" s="107"/>
      <c r="B220" s="107"/>
      <c r="C220" s="145"/>
      <c r="D220" s="111" t="s">
        <v>597</v>
      </c>
      <c r="E220" s="106">
        <v>1</v>
      </c>
      <c r="F220" s="106">
        <v>151422</v>
      </c>
      <c r="G220" s="106"/>
      <c r="H220" s="106"/>
      <c r="I220" s="106"/>
      <c r="J220" s="106"/>
      <c r="K220" s="106"/>
      <c r="L220" s="106"/>
      <c r="M220" s="106"/>
      <c r="N220" s="106"/>
      <c r="O220" s="106"/>
      <c r="P220" s="106"/>
      <c r="Q220" s="560">
        <f t="shared" si="17"/>
        <v>0</v>
      </c>
      <c r="R220" s="648"/>
      <c r="S220" s="648"/>
    </row>
    <row r="221" spans="1:19 16351:16351" ht="14.45" hidden="1" customHeight="1" x14ac:dyDescent="0.2">
      <c r="A221" s="107"/>
      <c r="B221" s="107"/>
      <c r="C221" s="145"/>
      <c r="D221" s="111" t="s">
        <v>357</v>
      </c>
      <c r="E221" s="133">
        <v>1</v>
      </c>
      <c r="F221" s="106">
        <v>151402</v>
      </c>
      <c r="G221" s="106"/>
      <c r="H221" s="106"/>
      <c r="I221" s="106"/>
      <c r="J221" s="106"/>
      <c r="K221" s="106"/>
      <c r="L221" s="106"/>
      <c r="M221" s="106"/>
      <c r="N221" s="106"/>
      <c r="O221" s="106"/>
      <c r="P221" s="106"/>
      <c r="Q221" s="560">
        <f t="shared" si="17"/>
        <v>0</v>
      </c>
      <c r="R221" s="648"/>
      <c r="S221" s="648"/>
    </row>
    <row r="222" spans="1:19 16351:16351" ht="15" hidden="1" customHeight="1" x14ac:dyDescent="0.2">
      <c r="A222" s="107"/>
      <c r="B222" s="107"/>
      <c r="C222" s="145"/>
      <c r="D222" s="111" t="s">
        <v>580</v>
      </c>
      <c r="E222" s="133">
        <v>1</v>
      </c>
      <c r="F222" s="106">
        <v>151411</v>
      </c>
      <c r="G222" s="106"/>
      <c r="H222" s="106"/>
      <c r="I222" s="106"/>
      <c r="J222" s="106"/>
      <c r="K222" s="106"/>
      <c r="L222" s="106"/>
      <c r="M222" s="106"/>
      <c r="N222" s="106"/>
      <c r="O222" s="106"/>
      <c r="P222" s="106"/>
      <c r="Q222" s="560">
        <f t="shared" si="17"/>
        <v>0</v>
      </c>
      <c r="R222" s="648"/>
      <c r="S222" s="648"/>
      <c r="XDW222" s="1">
        <f>SUM(E222:XDV222)</f>
        <v>151412</v>
      </c>
    </row>
    <row r="223" spans="1:19 16351:16351" ht="15" customHeight="1" x14ac:dyDescent="0.2">
      <c r="A223" s="107"/>
      <c r="B223" s="107"/>
      <c r="C223" s="145"/>
      <c r="D223" s="111" t="s">
        <v>358</v>
      </c>
      <c r="E223" s="133">
        <v>2</v>
      </c>
      <c r="F223" s="106">
        <v>151415</v>
      </c>
      <c r="G223" s="106"/>
      <c r="H223" s="106"/>
      <c r="I223" s="106">
        <v>114149</v>
      </c>
      <c r="J223" s="106"/>
      <c r="K223" s="106"/>
      <c r="L223" s="106"/>
      <c r="M223" s="106"/>
      <c r="N223" s="106"/>
      <c r="O223" s="106"/>
      <c r="P223" s="106"/>
      <c r="Q223" s="560">
        <f t="shared" si="17"/>
        <v>114149</v>
      </c>
      <c r="R223" s="648"/>
      <c r="S223" s="648" t="s">
        <v>1066</v>
      </c>
      <c r="XDW223" s="1">
        <f>SUM(E223:XDV223)</f>
        <v>379715</v>
      </c>
    </row>
    <row r="224" spans="1:19 16351:16351" ht="15" hidden="1" customHeight="1" x14ac:dyDescent="0.2">
      <c r="A224" s="107"/>
      <c r="B224" s="107"/>
      <c r="C224" s="145"/>
      <c r="D224" s="111" t="s">
        <v>780</v>
      </c>
      <c r="E224" s="133">
        <v>1</v>
      </c>
      <c r="F224" s="106">
        <v>151416</v>
      </c>
      <c r="G224" s="106"/>
      <c r="H224" s="106"/>
      <c r="I224" s="106"/>
      <c r="J224" s="106"/>
      <c r="K224" s="106"/>
      <c r="L224" s="106"/>
      <c r="M224" s="106"/>
      <c r="N224" s="106"/>
      <c r="O224" s="106"/>
      <c r="P224" s="106"/>
      <c r="Q224" s="560">
        <f t="shared" si="17"/>
        <v>0</v>
      </c>
      <c r="R224" s="648"/>
      <c r="S224" s="648"/>
      <c r="XDW224" s="1">
        <f>SUM(XDW222:XFD223)</f>
        <v>531127</v>
      </c>
    </row>
    <row r="225" spans="1:19 16351:16351" ht="15" hidden="1" customHeight="1" x14ac:dyDescent="0.2">
      <c r="A225" s="107"/>
      <c r="B225" s="107"/>
      <c r="C225" s="145"/>
      <c r="D225" s="111" t="s">
        <v>359</v>
      </c>
      <c r="E225" s="133">
        <v>1</v>
      </c>
      <c r="F225" s="106">
        <v>151417</v>
      </c>
      <c r="G225" s="106"/>
      <c r="H225" s="106"/>
      <c r="I225" s="106"/>
      <c r="J225" s="106"/>
      <c r="K225" s="106"/>
      <c r="L225" s="106"/>
      <c r="M225" s="106"/>
      <c r="N225" s="106"/>
      <c r="O225" s="106"/>
      <c r="P225" s="106"/>
      <c r="Q225" s="560">
        <f t="shared" si="17"/>
        <v>0</v>
      </c>
      <c r="R225" s="648"/>
      <c r="S225" s="648"/>
      <c r="XDW225" s="1">
        <f>SUM(E225:XDV225)</f>
        <v>151418</v>
      </c>
    </row>
    <row r="226" spans="1:19 16351:16351" ht="15" hidden="1" customHeight="1" x14ac:dyDescent="0.2">
      <c r="A226" s="107"/>
      <c r="B226" s="107"/>
      <c r="C226" s="145"/>
      <c r="D226" s="111" t="s">
        <v>360</v>
      </c>
      <c r="E226" s="133">
        <v>2</v>
      </c>
      <c r="F226" s="106">
        <v>151407</v>
      </c>
      <c r="G226" s="106"/>
      <c r="H226" s="106"/>
      <c r="I226" s="106"/>
      <c r="J226" s="106"/>
      <c r="K226" s="106"/>
      <c r="L226" s="106"/>
      <c r="M226" s="106"/>
      <c r="N226" s="106"/>
      <c r="O226" s="106"/>
      <c r="P226" s="106"/>
      <c r="Q226" s="560">
        <f t="shared" si="17"/>
        <v>0</v>
      </c>
      <c r="R226" s="648"/>
      <c r="S226" s="648"/>
      <c r="XDW226" s="1">
        <f>SUM(E226:XDV226)</f>
        <v>151409</v>
      </c>
    </row>
    <row r="227" spans="1:19 16351:16351" ht="15" hidden="1" customHeight="1" x14ac:dyDescent="0.2">
      <c r="A227" s="107"/>
      <c r="B227" s="107"/>
      <c r="C227" s="145"/>
      <c r="D227" s="111" t="s">
        <v>361</v>
      </c>
      <c r="E227" s="133">
        <v>1</v>
      </c>
      <c r="F227" s="106">
        <v>151404</v>
      </c>
      <c r="G227" s="106"/>
      <c r="H227" s="106"/>
      <c r="I227" s="106"/>
      <c r="J227" s="106"/>
      <c r="K227" s="106"/>
      <c r="L227" s="106"/>
      <c r="M227" s="106"/>
      <c r="N227" s="106"/>
      <c r="O227" s="106"/>
      <c r="P227" s="106"/>
      <c r="Q227" s="560">
        <f t="shared" si="17"/>
        <v>0</v>
      </c>
      <c r="R227" s="648"/>
      <c r="S227" s="648"/>
      <c r="XDW227" s="1">
        <f>SUM(E227:XDV227)</f>
        <v>151405</v>
      </c>
    </row>
    <row r="228" spans="1:19 16351:16351" ht="24.75" hidden="1" customHeight="1" x14ac:dyDescent="0.2">
      <c r="A228" s="107"/>
      <c r="B228" s="107"/>
      <c r="C228" s="145"/>
      <c r="D228" s="146" t="s">
        <v>540</v>
      </c>
      <c r="E228" s="69">
        <v>1</v>
      </c>
      <c r="F228" s="48">
        <v>151408</v>
      </c>
      <c r="G228" s="48"/>
      <c r="H228" s="48"/>
      <c r="I228" s="48"/>
      <c r="J228" s="48"/>
      <c r="K228" s="48"/>
      <c r="L228" s="48"/>
      <c r="M228" s="48"/>
      <c r="N228" s="48"/>
      <c r="O228" s="48"/>
      <c r="P228" s="48"/>
      <c r="Q228" s="560">
        <f t="shared" si="17"/>
        <v>0</v>
      </c>
      <c r="R228" s="648"/>
      <c r="S228" s="648"/>
      <c r="XDW228" s="1">
        <f>SUM(Q228)</f>
        <v>0</v>
      </c>
    </row>
    <row r="229" spans="1:19 16351:16351" ht="23.25" hidden="1" customHeight="1" x14ac:dyDescent="0.2">
      <c r="A229" s="45"/>
      <c r="B229" s="45"/>
      <c r="C229" s="95"/>
      <c r="D229" s="195" t="s">
        <v>637</v>
      </c>
      <c r="E229" s="57">
        <v>1</v>
      </c>
      <c r="F229" s="58">
        <v>151926</v>
      </c>
      <c r="G229" s="48"/>
      <c r="H229" s="48"/>
      <c r="I229" s="48"/>
      <c r="J229" s="48"/>
      <c r="K229" s="48"/>
      <c r="L229" s="48"/>
      <c r="M229" s="48"/>
      <c r="N229" s="48"/>
      <c r="O229" s="48"/>
      <c r="P229" s="48"/>
      <c r="Q229" s="560">
        <f>SUM(G229:P229)</f>
        <v>0</v>
      </c>
      <c r="R229" s="648"/>
      <c r="S229" s="648"/>
      <c r="XDW229" s="1">
        <f>SUM(E229:XDV229)</f>
        <v>151927</v>
      </c>
    </row>
    <row r="230" spans="1:19 16351:16351" ht="15" hidden="1" customHeight="1" x14ac:dyDescent="0.2">
      <c r="A230" s="48"/>
      <c r="B230" s="48"/>
      <c r="C230" s="48"/>
      <c r="D230" s="111" t="s">
        <v>362</v>
      </c>
      <c r="E230" s="112"/>
      <c r="F230" s="48"/>
      <c r="G230" s="48"/>
      <c r="H230" s="48"/>
      <c r="I230" s="48"/>
      <c r="J230" s="48"/>
      <c r="K230" s="48"/>
      <c r="L230" s="48"/>
      <c r="M230" s="48"/>
      <c r="N230" s="48"/>
      <c r="O230" s="48"/>
      <c r="P230" s="48"/>
      <c r="Q230" s="560"/>
      <c r="R230" s="648"/>
      <c r="S230" s="648"/>
      <c r="XDW230" s="1">
        <f>SUM(Q230)</f>
        <v>0</v>
      </c>
    </row>
    <row r="231" spans="1:19 16351:16351" ht="20.25" hidden="1" customHeight="1" x14ac:dyDescent="0.2">
      <c r="A231" s="45"/>
      <c r="B231" s="45"/>
      <c r="C231" s="145"/>
      <c r="D231" s="149" t="s">
        <v>363</v>
      </c>
      <c r="E231" s="57">
        <v>1</v>
      </c>
      <c r="F231" s="58">
        <v>191129</v>
      </c>
      <c r="G231" s="48"/>
      <c r="H231" s="48"/>
      <c r="I231" s="48"/>
      <c r="J231" s="48"/>
      <c r="K231" s="48"/>
      <c r="L231" s="48"/>
      <c r="M231" s="48"/>
      <c r="N231" s="48"/>
      <c r="O231" s="48"/>
      <c r="P231" s="48"/>
      <c r="Q231" s="560">
        <f>SUM(G231:P231)</f>
        <v>0</v>
      </c>
      <c r="R231" s="648"/>
      <c r="S231" s="648"/>
      <c r="XDW231" s="1">
        <f>SUM(E231:XDV231)</f>
        <v>191130</v>
      </c>
    </row>
    <row r="232" spans="1:19 16351:16351" ht="24" hidden="1" customHeight="1" x14ac:dyDescent="0.2">
      <c r="A232" s="45"/>
      <c r="B232" s="45"/>
      <c r="C232" s="145"/>
      <c r="D232" s="149" t="s">
        <v>645</v>
      </c>
      <c r="E232" s="57">
        <v>1</v>
      </c>
      <c r="F232" s="58">
        <v>151106</v>
      </c>
      <c r="G232" s="48"/>
      <c r="H232" s="48"/>
      <c r="I232" s="48"/>
      <c r="J232" s="48"/>
      <c r="K232" s="48"/>
      <c r="L232" s="48"/>
      <c r="M232" s="48"/>
      <c r="N232" s="48"/>
      <c r="O232" s="48"/>
      <c r="P232" s="48"/>
      <c r="Q232" s="560">
        <f>SUM(G232:P232)</f>
        <v>0</v>
      </c>
      <c r="R232" s="648"/>
      <c r="S232" s="648"/>
      <c r="XDW232" s="1">
        <f>SUM(E232:XDV232)</f>
        <v>151107</v>
      </c>
    </row>
    <row r="233" spans="1:19 16351:16351" ht="15" hidden="1" customHeight="1" x14ac:dyDescent="0.2">
      <c r="A233" s="45"/>
      <c r="B233" s="45"/>
      <c r="C233" s="145"/>
      <c r="D233" s="155" t="s">
        <v>364</v>
      </c>
      <c r="E233" s="112"/>
      <c r="F233" s="48"/>
      <c r="G233" s="48"/>
      <c r="H233" s="48"/>
      <c r="I233" s="48"/>
      <c r="J233" s="48"/>
      <c r="K233" s="48"/>
      <c r="L233" s="48"/>
      <c r="M233" s="48"/>
      <c r="N233" s="48"/>
      <c r="O233" s="48"/>
      <c r="P233" s="48"/>
      <c r="Q233" s="560"/>
      <c r="R233" s="648"/>
      <c r="S233" s="648"/>
      <c r="XDW233" s="1">
        <f>SUM(E233:XDV233)</f>
        <v>0</v>
      </c>
    </row>
    <row r="234" spans="1:19 16351:16351" ht="15" customHeight="1" x14ac:dyDescent="0.2">
      <c r="A234" s="45"/>
      <c r="B234" s="45"/>
      <c r="C234" s="145"/>
      <c r="D234" s="111" t="s">
        <v>365</v>
      </c>
      <c r="E234" s="48">
        <v>1</v>
      </c>
      <c r="F234" s="48">
        <v>151102</v>
      </c>
      <c r="G234" s="48"/>
      <c r="H234" s="48"/>
      <c r="I234" s="48">
        <v>1337156</v>
      </c>
      <c r="J234" s="48"/>
      <c r="K234" s="48"/>
      <c r="L234" s="48"/>
      <c r="M234" s="48"/>
      <c r="N234" s="48"/>
      <c r="O234" s="48"/>
      <c r="P234" s="48"/>
      <c r="Q234" s="560">
        <f t="shared" ref="Q234:Q246" si="18">SUM(G234:P234)</f>
        <v>1337156</v>
      </c>
      <c r="R234" s="648"/>
      <c r="S234" s="648" t="s">
        <v>1066</v>
      </c>
      <c r="XDW234" s="1">
        <f>SUM(Q234)</f>
        <v>1337156</v>
      </c>
    </row>
    <row r="235" spans="1:19 16351:16351" ht="15" hidden="1" customHeight="1" x14ac:dyDescent="0.2">
      <c r="A235" s="45"/>
      <c r="B235" s="45"/>
      <c r="C235" s="145"/>
      <c r="D235" s="111" t="s">
        <v>706</v>
      </c>
      <c r="E235" s="48">
        <v>1</v>
      </c>
      <c r="F235" s="48">
        <v>151103</v>
      </c>
      <c r="G235" s="48"/>
      <c r="H235" s="48"/>
      <c r="I235" s="48"/>
      <c r="J235" s="48"/>
      <c r="K235" s="48"/>
      <c r="L235" s="48"/>
      <c r="M235" s="48"/>
      <c r="N235" s="48"/>
      <c r="O235" s="48"/>
      <c r="P235" s="48"/>
      <c r="Q235" s="560">
        <f t="shared" si="18"/>
        <v>0</v>
      </c>
      <c r="R235" s="648"/>
      <c r="S235" s="648"/>
      <c r="XDW235" s="1">
        <f>SUM(E235:XDV235)</f>
        <v>151104</v>
      </c>
    </row>
    <row r="236" spans="1:19 16351:16351" ht="15" hidden="1" customHeight="1" x14ac:dyDescent="0.2">
      <c r="A236" s="45"/>
      <c r="B236" s="45"/>
      <c r="C236" s="145"/>
      <c r="D236" s="111" t="s">
        <v>781</v>
      </c>
      <c r="E236" s="48">
        <v>1</v>
      </c>
      <c r="F236" s="48">
        <v>151105</v>
      </c>
      <c r="G236" s="48"/>
      <c r="H236" s="48"/>
      <c r="I236" s="48"/>
      <c r="J236" s="48"/>
      <c r="K236" s="48"/>
      <c r="L236" s="48"/>
      <c r="M236" s="48"/>
      <c r="N236" s="48"/>
      <c r="O236" s="48"/>
      <c r="P236" s="48"/>
      <c r="Q236" s="560">
        <f t="shared" si="18"/>
        <v>0</v>
      </c>
      <c r="R236" s="648"/>
      <c r="S236" s="648"/>
      <c r="XDW236" s="1">
        <f>SUM(E236:XDV236)</f>
        <v>151106</v>
      </c>
    </row>
    <row r="237" spans="1:19 16351:16351" ht="15" hidden="1" customHeight="1" x14ac:dyDescent="0.2">
      <c r="A237" s="45"/>
      <c r="B237" s="45"/>
      <c r="C237" s="145"/>
      <c r="D237" s="111" t="s">
        <v>366</v>
      </c>
      <c r="E237" s="112"/>
      <c r="F237" s="69"/>
      <c r="G237" s="48"/>
      <c r="H237" s="48"/>
      <c r="I237" s="48"/>
      <c r="J237" s="48"/>
      <c r="K237" s="48"/>
      <c r="L237" s="48"/>
      <c r="M237" s="48"/>
      <c r="N237" s="48"/>
      <c r="O237" s="48"/>
      <c r="P237" s="48"/>
      <c r="Q237" s="560"/>
      <c r="R237" s="648"/>
      <c r="S237" s="648"/>
      <c r="XDW237" s="1">
        <f>SUM(XDW235:XFD236)</f>
        <v>302210</v>
      </c>
    </row>
    <row r="238" spans="1:19 16351:16351" ht="15" hidden="1" customHeight="1" x14ac:dyDescent="0.2">
      <c r="A238" s="45"/>
      <c r="B238" s="45"/>
      <c r="C238" s="145"/>
      <c r="D238" s="155" t="s">
        <v>367</v>
      </c>
      <c r="E238" s="69">
        <v>1</v>
      </c>
      <c r="F238" s="48">
        <v>151301</v>
      </c>
      <c r="G238" s="48"/>
      <c r="H238" s="48"/>
      <c r="I238" s="48"/>
      <c r="J238" s="48"/>
      <c r="K238" s="48"/>
      <c r="L238" s="48"/>
      <c r="M238" s="48"/>
      <c r="N238" s="48"/>
      <c r="O238" s="48"/>
      <c r="P238" s="48"/>
      <c r="Q238" s="560">
        <f t="shared" si="18"/>
        <v>0</v>
      </c>
      <c r="R238" s="648"/>
      <c r="S238" s="648"/>
      <c r="XDW238" s="1">
        <f>SUM(XDW234:XFD237)</f>
        <v>1941576</v>
      </c>
    </row>
    <row r="239" spans="1:19 16351:16351" ht="16.5" hidden="1" customHeight="1" x14ac:dyDescent="0.2">
      <c r="A239" s="45"/>
      <c r="B239" s="45"/>
      <c r="C239" s="145"/>
      <c r="D239" s="155" t="s">
        <v>368</v>
      </c>
      <c r="E239" s="69">
        <v>1</v>
      </c>
      <c r="F239" s="48">
        <v>151310</v>
      </c>
      <c r="G239" s="48"/>
      <c r="H239" s="48"/>
      <c r="I239" s="48"/>
      <c r="J239" s="48"/>
      <c r="K239" s="48"/>
      <c r="L239" s="48"/>
      <c r="M239" s="48"/>
      <c r="N239" s="48"/>
      <c r="O239" s="48"/>
      <c r="P239" s="48"/>
      <c r="Q239" s="560">
        <f t="shared" si="18"/>
        <v>0</v>
      </c>
      <c r="R239" s="648" t="s">
        <v>782</v>
      </c>
      <c r="S239" s="648"/>
      <c r="XDW239" s="1">
        <f>SUM(E239:XDV239)</f>
        <v>151311</v>
      </c>
    </row>
    <row r="240" spans="1:19 16351:16351" ht="28.5" hidden="1" customHeight="1" x14ac:dyDescent="0.2">
      <c r="A240" s="45"/>
      <c r="B240" s="45"/>
      <c r="C240" s="145"/>
      <c r="D240" s="148" t="s">
        <v>785</v>
      </c>
      <c r="E240" s="69">
        <v>1</v>
      </c>
      <c r="F240" s="48">
        <v>151313</v>
      </c>
      <c r="G240" s="48"/>
      <c r="H240" s="48"/>
      <c r="I240" s="48"/>
      <c r="J240" s="48"/>
      <c r="K240" s="48"/>
      <c r="L240" s="48"/>
      <c r="M240" s="48"/>
      <c r="N240" s="48"/>
      <c r="O240" s="48"/>
      <c r="P240" s="48"/>
      <c r="Q240" s="560">
        <f t="shared" si="18"/>
        <v>0</v>
      </c>
      <c r="R240" s="648"/>
      <c r="S240" s="648"/>
      <c r="XDW240" s="1">
        <f>SUM(E240:XDV240)</f>
        <v>151314</v>
      </c>
    </row>
    <row r="241" spans="1:19 16351:16351" ht="24.75" hidden="1" customHeight="1" x14ac:dyDescent="0.2">
      <c r="A241" s="45"/>
      <c r="B241" s="45"/>
      <c r="C241" s="145"/>
      <c r="D241" s="148" t="s">
        <v>784</v>
      </c>
      <c r="E241" s="69">
        <v>1</v>
      </c>
      <c r="F241" s="48">
        <v>151314</v>
      </c>
      <c r="G241" s="48"/>
      <c r="H241" s="48"/>
      <c r="I241" s="48"/>
      <c r="J241" s="48"/>
      <c r="K241" s="48"/>
      <c r="L241" s="48"/>
      <c r="M241" s="48"/>
      <c r="N241" s="48"/>
      <c r="O241" s="48"/>
      <c r="P241" s="48"/>
      <c r="Q241" s="560">
        <f t="shared" si="18"/>
        <v>0</v>
      </c>
      <c r="R241" s="648"/>
      <c r="S241" s="648"/>
      <c r="XDW241" s="1">
        <f>SUM(XDW239:XFD240)</f>
        <v>302625</v>
      </c>
    </row>
    <row r="242" spans="1:19 16351:16351" ht="24" hidden="1" customHeight="1" x14ac:dyDescent="0.2">
      <c r="A242" s="45"/>
      <c r="B242" s="45"/>
      <c r="C242" s="145"/>
      <c r="D242" s="148" t="s">
        <v>783</v>
      </c>
      <c r="E242" s="69">
        <v>1</v>
      </c>
      <c r="F242" s="48">
        <v>151317</v>
      </c>
      <c r="G242" s="48"/>
      <c r="H242" s="48"/>
      <c r="I242" s="48"/>
      <c r="J242" s="48"/>
      <c r="K242" s="48"/>
      <c r="L242" s="48"/>
      <c r="M242" s="48"/>
      <c r="N242" s="48"/>
      <c r="O242" s="48"/>
      <c r="P242" s="48"/>
      <c r="Q242" s="560">
        <f t="shared" si="18"/>
        <v>0</v>
      </c>
      <c r="R242" s="648"/>
      <c r="S242" s="648"/>
      <c r="XDW242" s="1">
        <f>SUM(E242:XDV242)</f>
        <v>151318</v>
      </c>
    </row>
    <row r="243" spans="1:19 16351:16351" ht="17.25" hidden="1" customHeight="1" x14ac:dyDescent="0.2">
      <c r="A243" s="45"/>
      <c r="B243" s="45"/>
      <c r="C243" s="145"/>
      <c r="D243" s="149" t="s">
        <v>510</v>
      </c>
      <c r="E243" s="69">
        <v>1</v>
      </c>
      <c r="F243" s="48">
        <v>151306</v>
      </c>
      <c r="G243" s="48"/>
      <c r="H243" s="48"/>
      <c r="I243" s="48"/>
      <c r="J243" s="48"/>
      <c r="K243" s="48"/>
      <c r="L243" s="48"/>
      <c r="M243" s="48"/>
      <c r="N243" s="48"/>
      <c r="O243" s="48"/>
      <c r="P243" s="48"/>
      <c r="Q243" s="560">
        <f t="shared" si="18"/>
        <v>0</v>
      </c>
      <c r="R243" s="648"/>
      <c r="S243" s="648"/>
      <c r="XDW243" s="1">
        <f>SUM(E243:XDV243)</f>
        <v>151307</v>
      </c>
    </row>
    <row r="244" spans="1:19 16351:16351" ht="36.75" customHeight="1" x14ac:dyDescent="0.2">
      <c r="A244" s="45"/>
      <c r="B244" s="45"/>
      <c r="C244" s="145"/>
      <c r="D244" s="149" t="s">
        <v>707</v>
      </c>
      <c r="E244" s="69">
        <v>1</v>
      </c>
      <c r="F244" s="48">
        <v>151307</v>
      </c>
      <c r="G244" s="48"/>
      <c r="H244" s="48"/>
      <c r="I244" s="48">
        <v>-250000</v>
      </c>
      <c r="J244" s="48"/>
      <c r="K244" s="48"/>
      <c r="L244" s="48"/>
      <c r="M244" s="48"/>
      <c r="N244" s="48"/>
      <c r="O244" s="48"/>
      <c r="P244" s="48"/>
      <c r="Q244" s="560">
        <f t="shared" si="18"/>
        <v>-250000</v>
      </c>
      <c r="R244" s="648"/>
      <c r="S244" s="648" t="s">
        <v>1066</v>
      </c>
      <c r="XDW244" s="1">
        <f>SUM(XDW242:XFD243)</f>
        <v>302625</v>
      </c>
    </row>
    <row r="245" spans="1:19 16351:16351" ht="16.5" hidden="1" customHeight="1" x14ac:dyDescent="0.2">
      <c r="A245" s="45"/>
      <c r="B245" s="45"/>
      <c r="C245" s="145"/>
      <c r="D245" s="111" t="s">
        <v>708</v>
      </c>
      <c r="E245" s="69">
        <v>1</v>
      </c>
      <c r="F245" s="48">
        <v>151312</v>
      </c>
      <c r="G245" s="48"/>
      <c r="H245" s="48"/>
      <c r="I245" s="48"/>
      <c r="J245" s="48"/>
      <c r="K245" s="48"/>
      <c r="L245" s="48"/>
      <c r="M245" s="48"/>
      <c r="N245" s="48"/>
      <c r="O245" s="48"/>
      <c r="P245" s="48"/>
      <c r="Q245" s="560">
        <f t="shared" si="18"/>
        <v>0</v>
      </c>
      <c r="R245" s="648"/>
      <c r="S245" s="648"/>
      <c r="XDW245" s="1">
        <f>SUM(E245:XDV245)</f>
        <v>151313</v>
      </c>
    </row>
    <row r="246" spans="1:19 16351:16351" ht="16.149999999999999" customHeight="1" x14ac:dyDescent="0.2">
      <c r="A246" s="45"/>
      <c r="B246" s="45"/>
      <c r="C246" s="145"/>
      <c r="D246" s="149" t="s">
        <v>541</v>
      </c>
      <c r="E246" s="69">
        <v>1</v>
      </c>
      <c r="F246" s="48">
        <v>151302</v>
      </c>
      <c r="G246" s="48"/>
      <c r="H246" s="48"/>
      <c r="I246" s="48">
        <v>250000</v>
      </c>
      <c r="J246" s="48"/>
      <c r="K246" s="48"/>
      <c r="L246" s="48"/>
      <c r="M246" s="48"/>
      <c r="N246" s="48"/>
      <c r="O246" s="48"/>
      <c r="P246" s="48"/>
      <c r="Q246" s="560">
        <f t="shared" si="18"/>
        <v>250000</v>
      </c>
      <c r="R246" s="648"/>
      <c r="S246" s="648" t="s">
        <v>1066</v>
      </c>
      <c r="XDW246" s="1">
        <f>SUM(E246:XDV246)</f>
        <v>651303</v>
      </c>
    </row>
    <row r="247" spans="1:19 16351:16351" ht="27.75" hidden="1" customHeight="1" x14ac:dyDescent="0.2">
      <c r="A247" s="45"/>
      <c r="B247" s="45"/>
      <c r="C247" s="145"/>
      <c r="D247" s="196" t="s">
        <v>511</v>
      </c>
      <c r="E247" s="38">
        <v>1</v>
      </c>
      <c r="F247" s="58">
        <v>151321</v>
      </c>
      <c r="G247" s="48"/>
      <c r="H247" s="48"/>
      <c r="I247" s="48"/>
      <c r="J247" s="48"/>
      <c r="K247" s="48"/>
      <c r="L247" s="48"/>
      <c r="M247" s="48"/>
      <c r="N247" s="48"/>
      <c r="O247" s="48"/>
      <c r="P247" s="48"/>
      <c r="Q247" s="560">
        <f>SUM(G247:P247)</f>
        <v>0</v>
      </c>
      <c r="R247" s="648"/>
      <c r="S247" s="648"/>
      <c r="XDW247" s="1">
        <f>SUM(Q247)</f>
        <v>0</v>
      </c>
    </row>
    <row r="248" spans="1:19 16351:16351" ht="29.25" hidden="1" customHeight="1" x14ac:dyDescent="0.2">
      <c r="A248" s="45"/>
      <c r="B248" s="45"/>
      <c r="C248" s="95"/>
      <c r="D248" s="91" t="s">
        <v>369</v>
      </c>
      <c r="E248" s="57">
        <v>1</v>
      </c>
      <c r="F248" s="58">
        <v>151319</v>
      </c>
      <c r="G248" s="48"/>
      <c r="H248" s="48"/>
      <c r="I248" s="48"/>
      <c r="J248" s="48"/>
      <c r="K248" s="48"/>
      <c r="L248" s="48"/>
      <c r="M248" s="48"/>
      <c r="N248" s="48"/>
      <c r="O248" s="48"/>
      <c r="P248" s="48"/>
      <c r="Q248" s="560">
        <f t="shared" ref="Q248:Q249" si="19">SUM(G248:P248)</f>
        <v>0</v>
      </c>
      <c r="R248" s="648"/>
      <c r="S248" s="648"/>
      <c r="XDW248" s="1">
        <f>SUM(E248:XDV248)</f>
        <v>151320</v>
      </c>
    </row>
    <row r="249" spans="1:19 16351:16351" ht="42" hidden="1" customHeight="1" x14ac:dyDescent="0.2">
      <c r="A249" s="45"/>
      <c r="B249" s="45"/>
      <c r="C249" s="95"/>
      <c r="D249" s="91" t="s">
        <v>786</v>
      </c>
      <c r="E249" s="57">
        <v>2</v>
      </c>
      <c r="F249" s="58">
        <v>151323</v>
      </c>
      <c r="G249" s="48"/>
      <c r="H249" s="48"/>
      <c r="I249" s="48"/>
      <c r="J249" s="48"/>
      <c r="K249" s="48"/>
      <c r="L249" s="48"/>
      <c r="M249" s="48"/>
      <c r="N249" s="48"/>
      <c r="O249" s="48"/>
      <c r="P249" s="48"/>
      <c r="Q249" s="560">
        <f t="shared" si="19"/>
        <v>0</v>
      </c>
      <c r="R249" s="648"/>
      <c r="S249" s="648"/>
    </row>
    <row r="250" spans="1:19 16351:16351" ht="26.45" hidden="1" customHeight="1" x14ac:dyDescent="0.2">
      <c r="A250" s="45"/>
      <c r="B250" s="45"/>
      <c r="C250" s="95"/>
      <c r="D250" s="91" t="s">
        <v>370</v>
      </c>
      <c r="E250" s="103"/>
      <c r="F250" s="57"/>
      <c r="G250" s="48"/>
      <c r="H250" s="48"/>
      <c r="I250" s="48"/>
      <c r="J250" s="48"/>
      <c r="K250" s="48"/>
      <c r="L250" s="48"/>
      <c r="M250" s="48"/>
      <c r="N250" s="48"/>
      <c r="O250" s="48"/>
      <c r="P250" s="48"/>
      <c r="Q250" s="560"/>
      <c r="R250" s="648"/>
      <c r="S250" s="648"/>
    </row>
    <row r="251" spans="1:19 16351:16351" ht="14.1" hidden="1" customHeight="1" x14ac:dyDescent="0.2">
      <c r="A251" s="45"/>
      <c r="B251" s="45"/>
      <c r="C251" s="95"/>
      <c r="D251" s="90" t="s">
        <v>646</v>
      </c>
      <c r="E251" s="48">
        <v>1</v>
      </c>
      <c r="F251" s="48">
        <v>151703</v>
      </c>
      <c r="G251" s="48"/>
      <c r="H251" s="48"/>
      <c r="I251" s="48"/>
      <c r="J251" s="48"/>
      <c r="K251" s="48"/>
      <c r="L251" s="48"/>
      <c r="M251" s="48"/>
      <c r="N251" s="48"/>
      <c r="O251" s="48"/>
      <c r="P251" s="48"/>
      <c r="Q251" s="560">
        <f t="shared" ref="Q251:Q262" si="20">SUM(G251:P251)</f>
        <v>0</v>
      </c>
      <c r="R251" s="648"/>
      <c r="S251" s="648"/>
    </row>
    <row r="252" spans="1:19 16351:16351" ht="15" hidden="1" customHeight="1" x14ac:dyDescent="0.2">
      <c r="A252" s="45" t="s">
        <v>79</v>
      </c>
      <c r="B252" s="45"/>
      <c r="C252" s="95"/>
      <c r="D252" s="93" t="s">
        <v>180</v>
      </c>
      <c r="E252" s="66"/>
      <c r="F252" s="69"/>
      <c r="G252" s="48"/>
      <c r="H252" s="48"/>
      <c r="I252" s="48"/>
      <c r="J252" s="48"/>
      <c r="K252" s="48"/>
      <c r="L252" s="48"/>
      <c r="M252" s="48"/>
      <c r="N252" s="48"/>
      <c r="O252" s="48"/>
      <c r="P252" s="48"/>
      <c r="Q252" s="560"/>
      <c r="R252" s="648"/>
      <c r="S252" s="648"/>
    </row>
    <row r="253" spans="1:19 16351:16351" ht="15" hidden="1" customHeight="1" x14ac:dyDescent="0.2">
      <c r="A253" s="45"/>
      <c r="B253" s="45"/>
      <c r="C253" s="95"/>
      <c r="D253" s="93" t="s">
        <v>647</v>
      </c>
      <c r="E253" s="303">
        <v>1</v>
      </c>
      <c r="F253" s="69">
        <v>151702</v>
      </c>
      <c r="G253" s="48"/>
      <c r="H253" s="48"/>
      <c r="I253" s="48"/>
      <c r="J253" s="48"/>
      <c r="K253" s="48"/>
      <c r="L253" s="48"/>
      <c r="M253" s="48"/>
      <c r="N253" s="48"/>
      <c r="O253" s="48"/>
      <c r="P253" s="48"/>
      <c r="Q253" s="560">
        <f t="shared" si="20"/>
        <v>0</v>
      </c>
      <c r="R253" s="648"/>
      <c r="S253" s="648"/>
    </row>
    <row r="254" spans="1:19 16351:16351" ht="17.100000000000001" customHeight="1" x14ac:dyDescent="0.2">
      <c r="A254" s="45"/>
      <c r="B254" s="45"/>
      <c r="C254" s="95"/>
      <c r="D254" s="90" t="s">
        <v>1071</v>
      </c>
      <c r="E254" s="48">
        <v>1</v>
      </c>
      <c r="F254" s="48">
        <v>151601</v>
      </c>
      <c r="G254" s="48"/>
      <c r="H254" s="48"/>
      <c r="I254" s="48">
        <v>-10215377</v>
      </c>
      <c r="J254" s="48"/>
      <c r="K254" s="48"/>
      <c r="L254" s="48"/>
      <c r="M254" s="48">
        <v>3804921</v>
      </c>
      <c r="N254" s="48"/>
      <c r="O254" s="48"/>
      <c r="P254" s="48"/>
      <c r="Q254" s="560">
        <f t="shared" si="20"/>
        <v>-6410456</v>
      </c>
      <c r="R254" s="648"/>
      <c r="S254" s="648" t="s">
        <v>1066</v>
      </c>
    </row>
    <row r="255" spans="1:19 16351:16351" ht="15" hidden="1" customHeight="1" x14ac:dyDescent="0.2">
      <c r="A255" s="45"/>
      <c r="B255" s="45"/>
      <c r="C255" s="95"/>
      <c r="D255" s="90" t="s">
        <v>644</v>
      </c>
      <c r="E255" s="48">
        <v>1</v>
      </c>
      <c r="F255" s="48">
        <v>151622</v>
      </c>
      <c r="G255" s="48"/>
      <c r="H255" s="48"/>
      <c r="I255" s="48"/>
      <c r="J255" s="48"/>
      <c r="K255" s="48"/>
      <c r="L255" s="48"/>
      <c r="M255" s="48"/>
      <c r="N255" s="48"/>
      <c r="O255" s="48"/>
      <c r="P255" s="48"/>
      <c r="Q255" s="560">
        <f t="shared" si="20"/>
        <v>0</v>
      </c>
      <c r="R255" s="648"/>
      <c r="S255" s="648"/>
    </row>
    <row r="256" spans="1:19 16351:16351" ht="13.9" hidden="1" customHeight="1" x14ac:dyDescent="0.2">
      <c r="A256" s="45"/>
      <c r="B256" s="45"/>
      <c r="C256" s="95"/>
      <c r="D256" s="90" t="s">
        <v>670</v>
      </c>
      <c r="E256" s="48">
        <v>1</v>
      </c>
      <c r="F256" s="48">
        <v>151607</v>
      </c>
      <c r="G256" s="48"/>
      <c r="H256" s="48"/>
      <c r="I256" s="48"/>
      <c r="J256" s="48"/>
      <c r="K256" s="48"/>
      <c r="L256" s="48"/>
      <c r="M256" s="48"/>
      <c r="N256" s="48"/>
      <c r="O256" s="48"/>
      <c r="P256" s="48"/>
      <c r="Q256" s="560">
        <f t="shared" si="20"/>
        <v>0</v>
      </c>
      <c r="R256" s="648"/>
      <c r="S256" s="648"/>
    </row>
    <row r="257" spans="1:19" ht="27" hidden="1" customHeight="1" x14ac:dyDescent="0.2">
      <c r="A257" s="45"/>
      <c r="B257" s="45"/>
      <c r="C257" s="95"/>
      <c r="D257" s="91" t="s">
        <v>371</v>
      </c>
      <c r="E257" s="69">
        <v>1</v>
      </c>
      <c r="F257" s="48">
        <v>151619</v>
      </c>
      <c r="G257" s="48"/>
      <c r="H257" s="48"/>
      <c r="I257" s="48"/>
      <c r="J257" s="48"/>
      <c r="K257" s="48"/>
      <c r="L257" s="48"/>
      <c r="M257" s="48"/>
      <c r="N257" s="48"/>
      <c r="O257" s="48"/>
      <c r="P257" s="48"/>
      <c r="Q257" s="560">
        <f t="shared" si="20"/>
        <v>0</v>
      </c>
      <c r="R257" s="648"/>
      <c r="S257" s="648"/>
    </row>
    <row r="258" spans="1:19" ht="17.100000000000001" hidden="1" customHeight="1" x14ac:dyDescent="0.2">
      <c r="A258" s="45"/>
      <c r="B258" s="45"/>
      <c r="C258" s="95"/>
      <c r="D258" s="90" t="s">
        <v>372</v>
      </c>
      <c r="E258" s="48">
        <v>1</v>
      </c>
      <c r="F258" s="48">
        <v>151603</v>
      </c>
      <c r="G258" s="48"/>
      <c r="H258" s="48"/>
      <c r="I258" s="48"/>
      <c r="J258" s="48"/>
      <c r="K258" s="48"/>
      <c r="L258" s="48"/>
      <c r="M258" s="48"/>
      <c r="N258" s="48"/>
      <c r="O258" s="48"/>
      <c r="P258" s="48"/>
      <c r="Q258" s="560">
        <f t="shared" si="20"/>
        <v>0</v>
      </c>
      <c r="R258" s="648"/>
      <c r="S258" s="648"/>
    </row>
    <row r="259" spans="1:19" ht="15.6" hidden="1" customHeight="1" x14ac:dyDescent="0.2">
      <c r="A259" s="45"/>
      <c r="B259" s="45"/>
      <c r="C259" s="95"/>
      <c r="D259" s="90" t="s">
        <v>373</v>
      </c>
      <c r="E259" s="48">
        <v>1</v>
      </c>
      <c r="F259" s="48">
        <v>151605</v>
      </c>
      <c r="G259" s="48"/>
      <c r="H259" s="48"/>
      <c r="I259" s="48"/>
      <c r="J259" s="48"/>
      <c r="K259" s="48"/>
      <c r="L259" s="48"/>
      <c r="M259" s="48"/>
      <c r="N259" s="48"/>
      <c r="O259" s="48"/>
      <c r="P259" s="48"/>
      <c r="Q259" s="560">
        <f t="shared" si="20"/>
        <v>0</v>
      </c>
      <c r="R259" s="648"/>
      <c r="S259" s="648"/>
    </row>
    <row r="260" spans="1:19" ht="15" hidden="1" customHeight="1" x14ac:dyDescent="0.2">
      <c r="A260" s="45"/>
      <c r="B260" s="45"/>
      <c r="C260" s="95"/>
      <c r="D260" s="90" t="s">
        <v>374</v>
      </c>
      <c r="E260" s="48">
        <v>1</v>
      </c>
      <c r="F260" s="48">
        <v>151608</v>
      </c>
      <c r="G260" s="48"/>
      <c r="H260" s="48"/>
      <c r="I260" s="48"/>
      <c r="J260" s="48"/>
      <c r="K260" s="48"/>
      <c r="L260" s="48"/>
      <c r="M260" s="48"/>
      <c r="N260" s="48"/>
      <c r="O260" s="48"/>
      <c r="P260" s="48"/>
      <c r="Q260" s="560">
        <f t="shared" si="20"/>
        <v>0</v>
      </c>
      <c r="R260" s="648"/>
      <c r="S260" s="648"/>
    </row>
    <row r="261" spans="1:19" ht="27.75" hidden="1" customHeight="1" x14ac:dyDescent="0.2">
      <c r="A261" s="45"/>
      <c r="B261" s="45"/>
      <c r="C261" s="95"/>
      <c r="D261" s="91" t="s">
        <v>982</v>
      </c>
      <c r="E261" s="48">
        <v>1</v>
      </c>
      <c r="F261" s="48">
        <v>151631</v>
      </c>
      <c r="G261" s="48"/>
      <c r="H261" s="48"/>
      <c r="I261" s="48"/>
      <c r="J261" s="48"/>
      <c r="K261" s="48"/>
      <c r="L261" s="48"/>
      <c r="M261" s="48"/>
      <c r="N261" s="48"/>
      <c r="O261" s="48"/>
      <c r="P261" s="48"/>
      <c r="Q261" s="560">
        <f t="shared" si="20"/>
        <v>0</v>
      </c>
      <c r="R261" s="648"/>
      <c r="S261" s="648"/>
    </row>
    <row r="262" spans="1:19" ht="12.95" hidden="1" customHeight="1" x14ac:dyDescent="0.2">
      <c r="A262" s="45"/>
      <c r="B262" s="45"/>
      <c r="C262" s="95"/>
      <c r="D262" s="74" t="s">
        <v>375</v>
      </c>
      <c r="E262" s="48">
        <v>1</v>
      </c>
      <c r="F262" s="48">
        <v>151612</v>
      </c>
      <c r="G262" s="48"/>
      <c r="H262" s="48"/>
      <c r="I262" s="48"/>
      <c r="J262" s="48"/>
      <c r="K262" s="48"/>
      <c r="L262" s="48"/>
      <c r="M262" s="48"/>
      <c r="N262" s="48"/>
      <c r="O262" s="48"/>
      <c r="P262" s="48"/>
      <c r="Q262" s="560">
        <f t="shared" si="20"/>
        <v>0</v>
      </c>
      <c r="R262" s="648"/>
      <c r="S262" s="648"/>
    </row>
    <row r="263" spans="1:19" ht="16.149999999999999" hidden="1" customHeight="1" x14ac:dyDescent="0.2">
      <c r="A263" s="45"/>
      <c r="B263" s="45"/>
      <c r="C263" s="95"/>
      <c r="D263" s="100" t="s">
        <v>345</v>
      </c>
      <c r="E263" s="94"/>
      <c r="F263" s="48"/>
      <c r="G263" s="48"/>
      <c r="H263" s="48"/>
      <c r="I263" s="48"/>
      <c r="J263" s="48"/>
      <c r="K263" s="48"/>
      <c r="L263" s="48"/>
      <c r="M263" s="48"/>
      <c r="N263" s="48"/>
      <c r="O263" s="48"/>
      <c r="P263" s="48"/>
      <c r="Q263" s="560"/>
      <c r="R263" s="648"/>
      <c r="S263" s="648"/>
    </row>
    <row r="264" spans="1:19" ht="24" hidden="1" customHeight="1" x14ac:dyDescent="0.2">
      <c r="A264" s="45"/>
      <c r="B264" s="45"/>
      <c r="C264" s="45"/>
      <c r="D264" s="91" t="s">
        <v>787</v>
      </c>
      <c r="E264" s="48">
        <v>1</v>
      </c>
      <c r="F264" s="48">
        <v>151505</v>
      </c>
      <c r="G264" s="48"/>
      <c r="H264" s="48"/>
      <c r="I264" s="48"/>
      <c r="J264" s="48"/>
      <c r="K264" s="48"/>
      <c r="L264" s="48"/>
      <c r="M264" s="48"/>
      <c r="N264" s="48"/>
      <c r="O264" s="48"/>
      <c r="P264" s="48"/>
      <c r="Q264" s="560">
        <f>SUM(G264:P264)</f>
        <v>0</v>
      </c>
      <c r="R264" s="648"/>
      <c r="S264" s="648"/>
    </row>
    <row r="265" spans="1:19" ht="16.5" hidden="1" customHeight="1" x14ac:dyDescent="0.2">
      <c r="A265" s="45"/>
      <c r="B265" s="45"/>
      <c r="C265" s="95"/>
      <c r="D265" s="93" t="s">
        <v>175</v>
      </c>
      <c r="E265" s="92"/>
      <c r="F265" s="69"/>
      <c r="G265" s="48"/>
      <c r="H265" s="48"/>
      <c r="I265" s="48"/>
      <c r="J265" s="48"/>
      <c r="K265" s="48"/>
      <c r="L265" s="48"/>
      <c r="M265" s="48"/>
      <c r="N265" s="48"/>
      <c r="O265" s="48"/>
      <c r="P265" s="48"/>
      <c r="Q265" s="560"/>
      <c r="R265" s="648"/>
      <c r="S265" s="648"/>
    </row>
    <row r="266" spans="1:19" ht="17.25" hidden="1" customHeight="1" x14ac:dyDescent="0.2">
      <c r="A266" s="45"/>
      <c r="B266" s="45"/>
      <c r="C266" s="95"/>
      <c r="D266" s="90" t="s">
        <v>788</v>
      </c>
      <c r="E266" s="48">
        <v>2</v>
      </c>
      <c r="F266" s="48">
        <v>151906</v>
      </c>
      <c r="G266" s="48"/>
      <c r="H266" s="48"/>
      <c r="I266" s="48"/>
      <c r="J266" s="48"/>
      <c r="K266" s="48"/>
      <c r="L266" s="48"/>
      <c r="M266" s="48"/>
      <c r="N266" s="48"/>
      <c r="O266" s="48"/>
      <c r="P266" s="48"/>
      <c r="Q266" s="560">
        <f>SUM(G266:P266)</f>
        <v>0</v>
      </c>
      <c r="R266" s="648"/>
      <c r="S266" s="648"/>
    </row>
    <row r="267" spans="1:19" ht="15.6" hidden="1" customHeight="1" x14ac:dyDescent="0.2">
      <c r="A267" s="45"/>
      <c r="B267" s="45"/>
      <c r="C267" s="95"/>
      <c r="D267" s="90" t="s">
        <v>789</v>
      </c>
      <c r="E267" s="48">
        <v>2</v>
      </c>
      <c r="F267" s="48">
        <v>151907</v>
      </c>
      <c r="G267" s="48"/>
      <c r="H267" s="48"/>
      <c r="I267" s="48"/>
      <c r="J267" s="48"/>
      <c r="K267" s="48"/>
      <c r="L267" s="48"/>
      <c r="M267" s="48"/>
      <c r="N267" s="48"/>
      <c r="O267" s="48"/>
      <c r="P267" s="48"/>
      <c r="Q267" s="560">
        <f>SUM(G267:P267)</f>
        <v>0</v>
      </c>
      <c r="R267" s="648"/>
      <c r="S267" s="648"/>
    </row>
    <row r="268" spans="1:19" ht="17.100000000000001" hidden="1" customHeight="1" x14ac:dyDescent="0.2">
      <c r="A268" s="45"/>
      <c r="B268" s="45"/>
      <c r="C268" s="95"/>
      <c r="D268" s="93" t="s">
        <v>376</v>
      </c>
      <c r="E268" s="92"/>
      <c r="F268" s="69"/>
      <c r="G268" s="48"/>
      <c r="H268" s="48"/>
      <c r="I268" s="48"/>
      <c r="J268" s="48"/>
      <c r="K268" s="48"/>
      <c r="L268" s="48"/>
      <c r="M268" s="48"/>
      <c r="N268" s="48"/>
      <c r="O268" s="48"/>
      <c r="P268" s="48"/>
      <c r="Q268" s="560"/>
      <c r="R268" s="648"/>
      <c r="S268" s="648"/>
    </row>
    <row r="269" spans="1:19" ht="27" hidden="1" customHeight="1" x14ac:dyDescent="0.2">
      <c r="A269" s="45"/>
      <c r="B269" s="45"/>
      <c r="C269" s="95"/>
      <c r="D269" s="96" t="s">
        <v>790</v>
      </c>
      <c r="E269" s="69">
        <v>1</v>
      </c>
      <c r="F269" s="48">
        <v>151801</v>
      </c>
      <c r="G269" s="48"/>
      <c r="H269" s="48"/>
      <c r="I269" s="48"/>
      <c r="J269" s="48"/>
      <c r="K269" s="48"/>
      <c r="L269" s="48"/>
      <c r="M269" s="48"/>
      <c r="N269" s="48"/>
      <c r="O269" s="48"/>
      <c r="P269" s="48"/>
      <c r="Q269" s="560">
        <f>SUM(G269:P269)</f>
        <v>0</v>
      </c>
      <c r="R269" s="648"/>
      <c r="S269" s="648"/>
    </row>
    <row r="270" spans="1:19" ht="17.100000000000001" hidden="1" customHeight="1" x14ac:dyDescent="0.2">
      <c r="A270" s="45"/>
      <c r="B270" s="45"/>
      <c r="C270" s="95"/>
      <c r="D270" s="93" t="s">
        <v>377</v>
      </c>
      <c r="E270" s="92"/>
      <c r="F270" s="69"/>
      <c r="G270" s="48"/>
      <c r="H270" s="48"/>
      <c r="I270" s="48"/>
      <c r="J270" s="48"/>
      <c r="K270" s="48"/>
      <c r="L270" s="48"/>
      <c r="M270" s="48"/>
      <c r="N270" s="48"/>
      <c r="O270" s="48"/>
      <c r="P270" s="48"/>
      <c r="Q270" s="560"/>
      <c r="R270" s="648"/>
      <c r="S270" s="648"/>
    </row>
    <row r="271" spans="1:19" ht="17.100000000000001" hidden="1" customHeight="1" x14ac:dyDescent="0.2">
      <c r="A271" s="45"/>
      <c r="B271" s="45"/>
      <c r="C271" s="95"/>
      <c r="D271" s="93" t="s">
        <v>791</v>
      </c>
      <c r="E271" s="69">
        <v>1</v>
      </c>
      <c r="F271" s="48">
        <v>151201</v>
      </c>
      <c r="G271" s="48"/>
      <c r="H271" s="48"/>
      <c r="I271" s="48"/>
      <c r="J271" s="48"/>
      <c r="K271" s="48"/>
      <c r="L271" s="48"/>
      <c r="M271" s="48"/>
      <c r="N271" s="48"/>
      <c r="O271" s="48"/>
      <c r="P271" s="48"/>
      <c r="Q271" s="560">
        <f t="shared" ref="Q271:Q289" si="21">SUM(G271:P271)</f>
        <v>0</v>
      </c>
      <c r="R271" s="648"/>
      <c r="S271" s="648"/>
    </row>
    <row r="272" spans="1:19" ht="17.100000000000001" hidden="1" customHeight="1" x14ac:dyDescent="0.2">
      <c r="A272" s="45"/>
      <c r="B272" s="45"/>
      <c r="C272" s="95"/>
      <c r="D272" s="93" t="s">
        <v>792</v>
      </c>
      <c r="E272" s="48">
        <v>1</v>
      </c>
      <c r="F272" s="48">
        <v>151209</v>
      </c>
      <c r="G272" s="48"/>
      <c r="H272" s="48"/>
      <c r="I272" s="48"/>
      <c r="J272" s="48"/>
      <c r="K272" s="48"/>
      <c r="L272" s="48"/>
      <c r="M272" s="48"/>
      <c r="N272" s="48"/>
      <c r="O272" s="48"/>
      <c r="P272" s="48"/>
      <c r="Q272" s="560">
        <f t="shared" si="21"/>
        <v>0</v>
      </c>
      <c r="R272" s="648"/>
      <c r="S272" s="648"/>
    </row>
    <row r="273" spans="1:19" ht="17.100000000000001" hidden="1" customHeight="1" x14ac:dyDescent="0.2">
      <c r="A273" s="45"/>
      <c r="B273" s="45"/>
      <c r="C273" s="95"/>
      <c r="D273" s="93" t="s">
        <v>709</v>
      </c>
      <c r="E273" s="69">
        <v>1</v>
      </c>
      <c r="F273" s="48">
        <v>151204</v>
      </c>
      <c r="G273" s="48"/>
      <c r="H273" s="48"/>
      <c r="I273" s="48"/>
      <c r="J273" s="48"/>
      <c r="K273" s="48"/>
      <c r="L273" s="48"/>
      <c r="M273" s="48"/>
      <c r="N273" s="48"/>
      <c r="O273" s="48"/>
      <c r="P273" s="48"/>
      <c r="Q273" s="560">
        <f t="shared" si="21"/>
        <v>0</v>
      </c>
      <c r="R273" s="648"/>
      <c r="S273" s="648"/>
    </row>
    <row r="274" spans="1:19" ht="17.100000000000001" customHeight="1" x14ac:dyDescent="0.2">
      <c r="A274" s="45"/>
      <c r="B274" s="45"/>
      <c r="C274" s="95"/>
      <c r="D274" s="93" t="s">
        <v>378</v>
      </c>
      <c r="E274" s="69">
        <v>1</v>
      </c>
      <c r="F274" s="48">
        <v>151202</v>
      </c>
      <c r="G274" s="48"/>
      <c r="H274" s="48"/>
      <c r="I274" s="48">
        <v>2032815</v>
      </c>
      <c r="J274" s="48"/>
      <c r="K274" s="48"/>
      <c r="L274" s="48"/>
      <c r="M274" s="48"/>
      <c r="N274" s="48"/>
      <c r="O274" s="48"/>
      <c r="P274" s="48"/>
      <c r="Q274" s="560">
        <f t="shared" si="21"/>
        <v>2032815</v>
      </c>
      <c r="R274" s="648"/>
      <c r="S274" s="648" t="s">
        <v>1066</v>
      </c>
    </row>
    <row r="275" spans="1:19" ht="33.75" hidden="1" customHeight="1" x14ac:dyDescent="0.2">
      <c r="A275" s="45"/>
      <c r="B275" s="45"/>
      <c r="C275" s="95"/>
      <c r="D275" s="96" t="s">
        <v>542</v>
      </c>
      <c r="E275" s="69">
        <v>1</v>
      </c>
      <c r="F275" s="48">
        <v>151208</v>
      </c>
      <c r="G275" s="48"/>
      <c r="H275" s="48"/>
      <c r="I275" s="48"/>
      <c r="J275" s="48"/>
      <c r="K275" s="48"/>
      <c r="L275" s="48"/>
      <c r="M275" s="48"/>
      <c r="N275" s="48"/>
      <c r="O275" s="48"/>
      <c r="P275" s="48"/>
      <c r="Q275" s="560">
        <f t="shared" si="21"/>
        <v>0</v>
      </c>
      <c r="R275" s="648"/>
      <c r="S275" s="648"/>
    </row>
    <row r="276" spans="1:19" ht="17.100000000000001" hidden="1" customHeight="1" x14ac:dyDescent="0.2">
      <c r="A276" s="45"/>
      <c r="B276" s="45"/>
      <c r="C276" s="95"/>
      <c r="D276" s="93" t="s">
        <v>379</v>
      </c>
      <c r="E276" s="69">
        <v>1</v>
      </c>
      <c r="F276" s="48">
        <v>151205</v>
      </c>
      <c r="G276" s="48"/>
      <c r="H276" s="48"/>
      <c r="I276" s="48"/>
      <c r="J276" s="48"/>
      <c r="K276" s="48"/>
      <c r="L276" s="48"/>
      <c r="M276" s="48"/>
      <c r="N276" s="48"/>
      <c r="O276" s="48"/>
      <c r="P276" s="48"/>
      <c r="Q276" s="560">
        <f t="shared" si="21"/>
        <v>0</v>
      </c>
      <c r="R276" s="648"/>
      <c r="S276" s="648"/>
    </row>
    <row r="277" spans="1:19" ht="17.100000000000001" hidden="1" customHeight="1" x14ac:dyDescent="0.2">
      <c r="A277" s="45"/>
      <c r="B277" s="45"/>
      <c r="C277" s="95"/>
      <c r="D277" s="93" t="s">
        <v>671</v>
      </c>
      <c r="E277" s="92"/>
      <c r="F277" s="48"/>
      <c r="G277" s="48"/>
      <c r="H277" s="48"/>
      <c r="I277" s="48"/>
      <c r="J277" s="48"/>
      <c r="K277" s="48"/>
      <c r="L277" s="48"/>
      <c r="M277" s="48"/>
      <c r="N277" s="48"/>
      <c r="O277" s="48"/>
      <c r="P277" s="48"/>
      <c r="Q277" s="560"/>
      <c r="R277" s="648"/>
      <c r="S277" s="648"/>
    </row>
    <row r="278" spans="1:19" ht="17.100000000000001" customHeight="1" x14ac:dyDescent="0.2">
      <c r="A278" s="45"/>
      <c r="B278" s="45"/>
      <c r="C278" s="95"/>
      <c r="D278" s="93" t="s">
        <v>576</v>
      </c>
      <c r="E278" s="69">
        <v>1</v>
      </c>
      <c r="F278" s="48">
        <v>151902</v>
      </c>
      <c r="G278" s="48"/>
      <c r="H278" s="48"/>
      <c r="I278" s="48">
        <v>-3492500</v>
      </c>
      <c r="J278" s="48"/>
      <c r="K278" s="48">
        <v>-5000000</v>
      </c>
      <c r="L278" s="48"/>
      <c r="M278" s="48">
        <v>3492500</v>
      </c>
      <c r="N278" s="48"/>
      <c r="O278" s="48"/>
      <c r="P278" s="48"/>
      <c r="Q278" s="560">
        <f t="shared" si="21"/>
        <v>-5000000</v>
      </c>
      <c r="R278" s="648"/>
      <c r="S278" s="648" t="s">
        <v>1067</v>
      </c>
    </row>
    <row r="279" spans="1:19" ht="28.5" customHeight="1" x14ac:dyDescent="0.2">
      <c r="A279" s="634"/>
      <c r="B279" s="634"/>
      <c r="C279" s="466"/>
      <c r="D279" s="756" t="s">
        <v>1062</v>
      </c>
      <c r="E279" s="755">
        <v>2</v>
      </c>
      <c r="F279" s="560">
        <v>151932</v>
      </c>
      <c r="G279" s="560"/>
      <c r="H279" s="560"/>
      <c r="I279" s="560"/>
      <c r="J279" s="560"/>
      <c r="K279" s="560">
        <v>4000000</v>
      </c>
      <c r="L279" s="560"/>
      <c r="M279" s="560"/>
      <c r="N279" s="560"/>
      <c r="O279" s="560"/>
      <c r="P279" s="560"/>
      <c r="Q279" s="560">
        <f t="shared" si="21"/>
        <v>4000000</v>
      </c>
      <c r="R279" s="648"/>
      <c r="S279" s="648" t="s">
        <v>1068</v>
      </c>
    </row>
    <row r="280" spans="1:19" ht="28.5" customHeight="1" x14ac:dyDescent="0.2">
      <c r="A280" s="634"/>
      <c r="B280" s="634"/>
      <c r="C280" s="466"/>
      <c r="D280" s="756" t="s">
        <v>1063</v>
      </c>
      <c r="E280" s="755">
        <v>2</v>
      </c>
      <c r="F280" s="560">
        <v>151933</v>
      </c>
      <c r="G280" s="560"/>
      <c r="H280" s="560"/>
      <c r="I280" s="560"/>
      <c r="J280" s="560"/>
      <c r="K280" s="560">
        <v>1000000</v>
      </c>
      <c r="L280" s="560"/>
      <c r="M280" s="560"/>
      <c r="N280" s="560"/>
      <c r="O280" s="560"/>
      <c r="P280" s="560"/>
      <c r="Q280" s="560">
        <f t="shared" si="21"/>
        <v>1000000</v>
      </c>
      <c r="R280" s="648"/>
      <c r="S280" s="648" t="s">
        <v>1068</v>
      </c>
    </row>
    <row r="281" spans="1:19" ht="28.5" hidden="1" customHeight="1" x14ac:dyDescent="0.2">
      <c r="A281" s="45"/>
      <c r="B281" s="45"/>
      <c r="C281" s="95"/>
      <c r="D281" s="96" t="s">
        <v>793</v>
      </c>
      <c r="E281" s="69">
        <v>1</v>
      </c>
      <c r="F281" s="48">
        <v>151925</v>
      </c>
      <c r="G281" s="48"/>
      <c r="H281" s="48"/>
      <c r="I281" s="48"/>
      <c r="J281" s="48"/>
      <c r="K281" s="48"/>
      <c r="L281" s="48"/>
      <c r="M281" s="48"/>
      <c r="N281" s="48"/>
      <c r="O281" s="48"/>
      <c r="P281" s="48"/>
      <c r="Q281" s="560">
        <f t="shared" si="21"/>
        <v>0</v>
      </c>
      <c r="R281" s="648"/>
      <c r="S281" s="648"/>
    </row>
    <row r="282" spans="1:19" ht="25.5" hidden="1" customHeight="1" x14ac:dyDescent="0.2">
      <c r="A282" s="45"/>
      <c r="B282" s="45"/>
      <c r="C282" s="95"/>
      <c r="D282" s="91" t="s">
        <v>181</v>
      </c>
      <c r="E282" s="103"/>
      <c r="F282" s="57"/>
      <c r="G282" s="48"/>
      <c r="H282" s="48"/>
      <c r="I282" s="48"/>
      <c r="J282" s="48"/>
      <c r="K282" s="48"/>
      <c r="L282" s="48"/>
      <c r="M282" s="48"/>
      <c r="N282" s="48"/>
      <c r="O282" s="48"/>
      <c r="P282" s="48"/>
      <c r="Q282" s="560"/>
      <c r="R282" s="648"/>
      <c r="S282" s="648"/>
    </row>
    <row r="283" spans="1:19" ht="25.9" hidden="1" customHeight="1" x14ac:dyDescent="0.2">
      <c r="A283" s="45"/>
      <c r="B283" s="45"/>
      <c r="C283" s="95"/>
      <c r="D283" s="91" t="s">
        <v>380</v>
      </c>
      <c r="E283" s="57">
        <v>2</v>
      </c>
      <c r="F283" s="58">
        <v>151910</v>
      </c>
      <c r="G283" s="48"/>
      <c r="H283" s="48"/>
      <c r="I283" s="48"/>
      <c r="J283" s="48"/>
      <c r="K283" s="48"/>
      <c r="L283" s="48"/>
      <c r="M283" s="48"/>
      <c r="N283" s="48"/>
      <c r="O283" s="48"/>
      <c r="P283" s="48"/>
      <c r="Q283" s="560">
        <f t="shared" si="21"/>
        <v>0</v>
      </c>
      <c r="R283" s="648"/>
      <c r="S283" s="648"/>
    </row>
    <row r="284" spans="1:19" ht="27" hidden="1" customHeight="1" x14ac:dyDescent="0.2">
      <c r="A284" s="45"/>
      <c r="B284" s="45"/>
      <c r="C284" s="95"/>
      <c r="D284" s="91" t="s">
        <v>196</v>
      </c>
      <c r="E284" s="103"/>
      <c r="F284" s="57"/>
      <c r="G284" s="48"/>
      <c r="H284" s="48"/>
      <c r="I284" s="48"/>
      <c r="J284" s="48"/>
      <c r="K284" s="48"/>
      <c r="L284" s="48"/>
      <c r="M284" s="48"/>
      <c r="N284" s="48"/>
      <c r="O284" s="48"/>
      <c r="P284" s="48"/>
      <c r="Q284" s="560"/>
      <c r="R284" s="648"/>
      <c r="S284" s="648"/>
    </row>
    <row r="285" spans="1:19" ht="30" hidden="1" customHeight="1" x14ac:dyDescent="0.2">
      <c r="A285" s="45"/>
      <c r="B285" s="45"/>
      <c r="C285" s="95"/>
      <c r="D285" s="91" t="s">
        <v>381</v>
      </c>
      <c r="E285" s="57">
        <v>1</v>
      </c>
      <c r="F285" s="58">
        <v>152915</v>
      </c>
      <c r="G285" s="48"/>
      <c r="H285" s="48"/>
      <c r="I285" s="48"/>
      <c r="J285" s="48"/>
      <c r="K285" s="48"/>
      <c r="L285" s="48"/>
      <c r="M285" s="48"/>
      <c r="N285" s="48"/>
      <c r="O285" s="48"/>
      <c r="P285" s="48"/>
      <c r="Q285" s="560">
        <f t="shared" si="21"/>
        <v>0</v>
      </c>
      <c r="R285" s="648" t="s">
        <v>794</v>
      </c>
      <c r="S285" s="648"/>
    </row>
    <row r="286" spans="1:19" ht="25.5" hidden="1" customHeight="1" x14ac:dyDescent="0.2">
      <c r="A286" s="634"/>
      <c r="B286" s="634"/>
      <c r="C286" s="466"/>
      <c r="D286" s="489" t="s">
        <v>1034</v>
      </c>
      <c r="E286" s="731"/>
      <c r="F286" s="714"/>
      <c r="G286" s="560"/>
      <c r="H286" s="560"/>
      <c r="I286" s="560"/>
      <c r="J286" s="560"/>
      <c r="K286" s="560"/>
      <c r="L286" s="560"/>
      <c r="M286" s="560"/>
      <c r="N286" s="560"/>
      <c r="O286" s="560"/>
      <c r="P286" s="560"/>
      <c r="Q286" s="560"/>
      <c r="R286" s="648"/>
      <c r="S286" s="648"/>
    </row>
    <row r="287" spans="1:19" ht="19.5" hidden="1" customHeight="1" x14ac:dyDescent="0.2">
      <c r="A287" s="634"/>
      <c r="B287" s="634"/>
      <c r="C287" s="466"/>
      <c r="D287" s="489" t="s">
        <v>1035</v>
      </c>
      <c r="E287" s="731">
        <v>1</v>
      </c>
      <c r="F287" s="714">
        <v>151427</v>
      </c>
      <c r="G287" s="560"/>
      <c r="H287" s="560"/>
      <c r="I287" s="560"/>
      <c r="J287" s="560"/>
      <c r="K287" s="560"/>
      <c r="L287" s="560"/>
      <c r="M287" s="560"/>
      <c r="N287" s="560"/>
      <c r="O287" s="560"/>
      <c r="P287" s="560"/>
      <c r="Q287" s="560">
        <f>SUM(G287:P287)</f>
        <v>0</v>
      </c>
      <c r="R287" s="648"/>
      <c r="S287" s="648"/>
    </row>
    <row r="288" spans="1:19" ht="17.100000000000001" hidden="1" customHeight="1" x14ac:dyDescent="0.2">
      <c r="A288" s="45"/>
      <c r="B288" s="45"/>
      <c r="C288" s="95"/>
      <c r="D288" s="93" t="s">
        <v>382</v>
      </c>
      <c r="E288" s="92"/>
      <c r="F288" s="69"/>
      <c r="G288" s="48"/>
      <c r="H288" s="48"/>
      <c r="I288" s="48"/>
      <c r="J288" s="48"/>
      <c r="K288" s="48"/>
      <c r="L288" s="48"/>
      <c r="M288" s="48"/>
      <c r="N288" s="48"/>
      <c r="O288" s="48"/>
      <c r="P288" s="48"/>
      <c r="Q288" s="560"/>
      <c r="R288" s="648"/>
      <c r="S288" s="648"/>
    </row>
    <row r="289" spans="1:19" ht="17.100000000000001" hidden="1" customHeight="1" x14ac:dyDescent="0.2">
      <c r="A289" s="45"/>
      <c r="B289" s="45"/>
      <c r="C289" s="95"/>
      <c r="D289" s="93" t="s">
        <v>383</v>
      </c>
      <c r="E289" s="48">
        <v>1</v>
      </c>
      <c r="F289" s="48">
        <v>151704</v>
      </c>
      <c r="G289" s="48"/>
      <c r="H289" s="48"/>
      <c r="I289" s="48"/>
      <c r="J289" s="48"/>
      <c r="K289" s="48"/>
      <c r="L289" s="48"/>
      <c r="M289" s="48"/>
      <c r="N289" s="48"/>
      <c r="O289" s="48"/>
      <c r="P289" s="48"/>
      <c r="Q289" s="560">
        <f t="shared" si="21"/>
        <v>0</v>
      </c>
      <c r="R289" s="648"/>
      <c r="S289" s="648"/>
    </row>
    <row r="290" spans="1:19" ht="20.25" customHeight="1" x14ac:dyDescent="0.2">
      <c r="A290" s="136"/>
      <c r="B290" s="136"/>
      <c r="C290" s="136"/>
      <c r="D290" s="197" t="s">
        <v>384</v>
      </c>
      <c r="E290" s="139"/>
      <c r="F290" s="68"/>
      <c r="G290" s="68">
        <f t="shared" ref="G290:R290" si="22">SUM(G200:G289)</f>
        <v>0</v>
      </c>
      <c r="H290" s="68">
        <f t="shared" si="22"/>
        <v>0</v>
      </c>
      <c r="I290" s="68">
        <f t="shared" si="22"/>
        <v>-10223757</v>
      </c>
      <c r="J290" s="68">
        <f t="shared" si="22"/>
        <v>0</v>
      </c>
      <c r="K290" s="68">
        <f t="shared" si="22"/>
        <v>0</v>
      </c>
      <c r="L290" s="68">
        <f t="shared" si="22"/>
        <v>0</v>
      </c>
      <c r="M290" s="68">
        <f t="shared" si="22"/>
        <v>7297421</v>
      </c>
      <c r="N290" s="68">
        <f t="shared" si="22"/>
        <v>0</v>
      </c>
      <c r="O290" s="68">
        <f t="shared" si="22"/>
        <v>0</v>
      </c>
      <c r="P290" s="68">
        <f t="shared" si="22"/>
        <v>0</v>
      </c>
      <c r="Q290" s="650">
        <f t="shared" si="22"/>
        <v>-2926336</v>
      </c>
      <c r="R290" s="650">
        <f t="shared" si="22"/>
        <v>0</v>
      </c>
      <c r="S290" s="674"/>
    </row>
    <row r="291" spans="1:19" ht="17.100000000000001" customHeight="1" x14ac:dyDescent="0.2">
      <c r="A291" s="51"/>
      <c r="B291" s="51"/>
      <c r="C291" s="51"/>
      <c r="D291" s="98" t="s">
        <v>250</v>
      </c>
      <c r="E291" s="94"/>
      <c r="F291" s="52"/>
      <c r="G291" s="52"/>
      <c r="H291" s="52"/>
      <c r="I291" s="52"/>
      <c r="J291" s="52"/>
      <c r="K291" s="52"/>
      <c r="L291" s="52"/>
      <c r="M291" s="52"/>
      <c r="N291" s="52"/>
      <c r="O291" s="52"/>
      <c r="P291" s="52"/>
      <c r="Q291" s="651"/>
      <c r="R291" s="648"/>
      <c r="S291" s="648"/>
    </row>
    <row r="292" spans="1:19" ht="17.25" hidden="1" customHeight="1" x14ac:dyDescent="0.2">
      <c r="A292" s="51"/>
      <c r="B292" s="51"/>
      <c r="C292" s="471" t="s">
        <v>83</v>
      </c>
      <c r="D292" s="198" t="s">
        <v>385</v>
      </c>
      <c r="E292" s="116"/>
      <c r="F292" s="52"/>
      <c r="G292" s="48"/>
      <c r="H292" s="48"/>
      <c r="I292" s="48"/>
      <c r="J292" s="48"/>
      <c r="K292" s="48"/>
      <c r="L292" s="48"/>
      <c r="M292" s="48"/>
      <c r="N292" s="48"/>
      <c r="O292" s="48"/>
      <c r="P292" s="48"/>
      <c r="Q292" s="651"/>
      <c r="R292" s="648"/>
      <c r="S292" s="648"/>
    </row>
    <row r="293" spans="1:19" ht="17.25" hidden="1" customHeight="1" x14ac:dyDescent="0.2">
      <c r="A293" s="203"/>
      <c r="B293" s="203"/>
      <c r="C293" s="268"/>
      <c r="D293" s="208" t="s">
        <v>746</v>
      </c>
      <c r="E293" s="201"/>
      <c r="F293" s="200"/>
      <c r="G293" s="202"/>
      <c r="H293" s="202"/>
      <c r="I293" s="202"/>
      <c r="J293" s="202"/>
      <c r="K293" s="202"/>
      <c r="L293" s="202"/>
      <c r="M293" s="202"/>
      <c r="N293" s="202"/>
      <c r="O293" s="202"/>
      <c r="P293" s="202"/>
      <c r="Q293" s="560"/>
      <c r="R293" s="648"/>
      <c r="S293" s="648"/>
    </row>
    <row r="294" spans="1:19" ht="17.25" hidden="1" customHeight="1" x14ac:dyDescent="0.2">
      <c r="A294" s="51"/>
      <c r="B294" s="51"/>
      <c r="C294" s="199" t="s">
        <v>853</v>
      </c>
      <c r="D294" s="304" t="s">
        <v>710</v>
      </c>
      <c r="E294" s="201">
        <v>1</v>
      </c>
      <c r="F294" s="201">
        <v>152112</v>
      </c>
      <c r="G294" s="202"/>
      <c r="H294" s="202"/>
      <c r="I294" s="202"/>
      <c r="J294" s="202"/>
      <c r="K294" s="202"/>
      <c r="L294" s="202"/>
      <c r="M294" s="202"/>
      <c r="N294" s="202"/>
      <c r="O294" s="202"/>
      <c r="P294" s="202"/>
      <c r="Q294" s="560">
        <f t="shared" ref="Q294:Q324" si="23">SUM(G294:P294)</f>
        <v>0</v>
      </c>
      <c r="R294" s="648"/>
      <c r="S294" s="648"/>
    </row>
    <row r="295" spans="1:19" ht="17.25" hidden="1" customHeight="1" x14ac:dyDescent="0.2">
      <c r="A295" s="203"/>
      <c r="B295" s="203"/>
      <c r="C295" s="472" t="s">
        <v>82</v>
      </c>
      <c r="D295" s="204" t="s">
        <v>386</v>
      </c>
      <c r="E295" s="201"/>
      <c r="F295" s="201"/>
      <c r="G295" s="202"/>
      <c r="H295" s="202"/>
      <c r="I295" s="202"/>
      <c r="J295" s="202"/>
      <c r="K295" s="202"/>
      <c r="L295" s="202"/>
      <c r="M295" s="202"/>
      <c r="N295" s="202"/>
      <c r="O295" s="202"/>
      <c r="P295" s="202"/>
      <c r="Q295" s="560"/>
      <c r="R295" s="648"/>
      <c r="S295" s="648"/>
    </row>
    <row r="296" spans="1:19" ht="17.25" hidden="1" customHeight="1" x14ac:dyDescent="0.2">
      <c r="A296" s="203"/>
      <c r="B296" s="203"/>
      <c r="C296" s="310" t="s">
        <v>84</v>
      </c>
      <c r="D296" s="206" t="s">
        <v>387</v>
      </c>
      <c r="E296" s="201"/>
      <c r="F296" s="200"/>
      <c r="G296" s="202"/>
      <c r="H296" s="202"/>
      <c r="I296" s="202"/>
      <c r="J296" s="202"/>
      <c r="K296" s="202"/>
      <c r="L296" s="202"/>
      <c r="M296" s="202"/>
      <c r="N296" s="202"/>
      <c r="O296" s="202"/>
      <c r="P296" s="202"/>
      <c r="Q296" s="560"/>
      <c r="R296" s="648"/>
      <c r="S296" s="648"/>
    </row>
    <row r="297" spans="1:19" ht="17.25" hidden="1" customHeight="1" x14ac:dyDescent="0.2">
      <c r="A297" s="203"/>
      <c r="B297" s="203"/>
      <c r="C297" s="205"/>
      <c r="D297" s="208" t="s">
        <v>746</v>
      </c>
      <c r="E297" s="201"/>
      <c r="F297" s="200"/>
      <c r="G297" s="202"/>
      <c r="H297" s="202"/>
      <c r="I297" s="202"/>
      <c r="J297" s="202"/>
      <c r="K297" s="202"/>
      <c r="L297" s="202"/>
      <c r="M297" s="202"/>
      <c r="N297" s="202"/>
      <c r="O297" s="202"/>
      <c r="P297" s="202"/>
      <c r="Q297" s="560"/>
      <c r="R297" s="648"/>
      <c r="S297" s="648"/>
    </row>
    <row r="298" spans="1:19" ht="17.25" customHeight="1" x14ac:dyDescent="0.2">
      <c r="A298" s="203"/>
      <c r="B298" s="203"/>
      <c r="C298" s="305" t="s">
        <v>388</v>
      </c>
      <c r="D298" s="511" t="s">
        <v>389</v>
      </c>
      <c r="E298" s="201">
        <v>1</v>
      </c>
      <c r="F298" s="201">
        <v>152301</v>
      </c>
      <c r="G298" s="202"/>
      <c r="H298" s="202"/>
      <c r="I298" s="202"/>
      <c r="J298" s="202"/>
      <c r="K298" s="202"/>
      <c r="L298" s="202">
        <v>4263492</v>
      </c>
      <c r="M298" s="202"/>
      <c r="N298" s="202"/>
      <c r="O298" s="202"/>
      <c r="P298" s="202"/>
      <c r="Q298" s="560">
        <f t="shared" si="23"/>
        <v>4263492</v>
      </c>
      <c r="R298" s="648"/>
      <c r="S298" s="648" t="s">
        <v>1066</v>
      </c>
    </row>
    <row r="299" spans="1:19" ht="28.5" hidden="1" customHeight="1" x14ac:dyDescent="0.2">
      <c r="A299" s="203"/>
      <c r="B299" s="203"/>
      <c r="C299" s="305" t="s">
        <v>660</v>
      </c>
      <c r="D299" s="306" t="s">
        <v>711</v>
      </c>
      <c r="E299" s="201">
        <v>1</v>
      </c>
      <c r="F299" s="201">
        <v>154302</v>
      </c>
      <c r="G299" s="202"/>
      <c r="H299" s="202"/>
      <c r="I299" s="202"/>
      <c r="J299" s="202"/>
      <c r="K299" s="202"/>
      <c r="L299" s="202"/>
      <c r="M299" s="202"/>
      <c r="N299" s="202"/>
      <c r="O299" s="202"/>
      <c r="P299" s="202"/>
      <c r="Q299" s="560">
        <f t="shared" si="23"/>
        <v>0</v>
      </c>
      <c r="R299" s="648"/>
      <c r="S299" s="648"/>
    </row>
    <row r="300" spans="1:19" ht="17.25" hidden="1" customHeight="1" x14ac:dyDescent="0.2">
      <c r="A300" s="203"/>
      <c r="B300" s="203"/>
      <c r="C300" s="310" t="s">
        <v>85</v>
      </c>
      <c r="D300" s="209" t="s">
        <v>951</v>
      </c>
      <c r="E300" s="201"/>
      <c r="F300" s="201"/>
      <c r="G300" s="202"/>
      <c r="H300" s="202"/>
      <c r="I300" s="202"/>
      <c r="J300" s="202"/>
      <c r="K300" s="202"/>
      <c r="L300" s="202"/>
      <c r="M300" s="202"/>
      <c r="N300" s="202"/>
      <c r="O300" s="202"/>
      <c r="P300" s="202"/>
      <c r="Q300" s="560"/>
      <c r="R300" s="648"/>
      <c r="S300" s="648"/>
    </row>
    <row r="301" spans="1:19" ht="17.25" hidden="1" customHeight="1" x14ac:dyDescent="0.2">
      <c r="A301" s="203"/>
      <c r="B301" s="203"/>
      <c r="C301" s="39"/>
      <c r="D301" s="208" t="s">
        <v>746</v>
      </c>
      <c r="E301" s="201"/>
      <c r="F301" s="201"/>
      <c r="G301" s="202"/>
      <c r="H301" s="202"/>
      <c r="I301" s="202"/>
      <c r="J301" s="202"/>
      <c r="K301" s="202"/>
      <c r="L301" s="202"/>
      <c r="M301" s="202"/>
      <c r="N301" s="202"/>
      <c r="O301" s="202"/>
      <c r="P301" s="202"/>
      <c r="Q301" s="560"/>
      <c r="R301" s="648"/>
      <c r="S301" s="648"/>
    </row>
    <row r="302" spans="1:19" ht="17.25" hidden="1" customHeight="1" x14ac:dyDescent="0.2">
      <c r="A302" s="203"/>
      <c r="B302" s="203"/>
      <c r="C302" s="28" t="s">
        <v>854</v>
      </c>
      <c r="D302" s="307" t="s">
        <v>712</v>
      </c>
      <c r="E302" s="201">
        <v>1</v>
      </c>
      <c r="F302" s="201">
        <v>152459</v>
      </c>
      <c r="G302" s="202"/>
      <c r="H302" s="202"/>
      <c r="I302" s="202"/>
      <c r="J302" s="202"/>
      <c r="K302" s="202"/>
      <c r="L302" s="202"/>
      <c r="M302" s="202"/>
      <c r="N302" s="202"/>
      <c r="O302" s="202"/>
      <c r="P302" s="202"/>
      <c r="Q302" s="560">
        <f t="shared" si="23"/>
        <v>0</v>
      </c>
      <c r="R302" s="648"/>
      <c r="S302" s="648"/>
    </row>
    <row r="303" spans="1:19" ht="17.25" hidden="1" customHeight="1" x14ac:dyDescent="0.2">
      <c r="A303" s="203"/>
      <c r="B303" s="203"/>
      <c r="C303" s="28" t="s">
        <v>856</v>
      </c>
      <c r="D303" s="307" t="s">
        <v>713</v>
      </c>
      <c r="E303" s="201">
        <v>1</v>
      </c>
      <c r="F303" s="201">
        <v>154476</v>
      </c>
      <c r="G303" s="202"/>
      <c r="H303" s="202"/>
      <c r="I303" s="202"/>
      <c r="J303" s="202"/>
      <c r="K303" s="202"/>
      <c r="L303" s="202"/>
      <c r="M303" s="202"/>
      <c r="N303" s="202"/>
      <c r="O303" s="202"/>
      <c r="P303" s="202"/>
      <c r="Q303" s="560">
        <f t="shared" si="23"/>
        <v>0</v>
      </c>
      <c r="R303" s="648"/>
      <c r="S303" s="648"/>
    </row>
    <row r="304" spans="1:19" ht="25.15" hidden="1" customHeight="1" x14ac:dyDescent="0.2">
      <c r="A304" s="203"/>
      <c r="B304" s="203"/>
      <c r="C304" s="28" t="s">
        <v>857</v>
      </c>
      <c r="D304" s="307" t="s">
        <v>714</v>
      </c>
      <c r="E304" s="201">
        <v>2</v>
      </c>
      <c r="F304" s="201">
        <v>152468</v>
      </c>
      <c r="G304" s="202"/>
      <c r="H304" s="202"/>
      <c r="I304" s="202"/>
      <c r="J304" s="202"/>
      <c r="K304" s="202"/>
      <c r="L304" s="202"/>
      <c r="M304" s="202"/>
      <c r="N304" s="202"/>
      <c r="O304" s="202"/>
      <c r="P304" s="202"/>
      <c r="Q304" s="560">
        <f t="shared" si="23"/>
        <v>0</v>
      </c>
      <c r="R304" s="648"/>
      <c r="S304" s="648"/>
    </row>
    <row r="305" spans="1:19" ht="17.25" hidden="1" customHeight="1" x14ac:dyDescent="0.2">
      <c r="A305" s="203"/>
      <c r="B305" s="203"/>
      <c r="C305" s="28" t="s">
        <v>858</v>
      </c>
      <c r="D305" s="308" t="s">
        <v>715</v>
      </c>
      <c r="E305" s="201">
        <v>1</v>
      </c>
      <c r="F305" s="201">
        <v>154925</v>
      </c>
      <c r="G305" s="202"/>
      <c r="H305" s="202"/>
      <c r="I305" s="202"/>
      <c r="J305" s="202"/>
      <c r="K305" s="202"/>
      <c r="L305" s="202"/>
      <c r="M305" s="202"/>
      <c r="N305" s="202"/>
      <c r="O305" s="202"/>
      <c r="P305" s="202"/>
      <c r="Q305" s="560">
        <f t="shared" si="23"/>
        <v>0</v>
      </c>
      <c r="R305" s="648"/>
      <c r="S305" s="648"/>
    </row>
    <row r="306" spans="1:19" ht="15.75" hidden="1" customHeight="1" x14ac:dyDescent="0.2">
      <c r="A306" s="203"/>
      <c r="B306" s="203"/>
      <c r="C306" s="28" t="s">
        <v>859</v>
      </c>
      <c r="D306" s="309" t="s">
        <v>716</v>
      </c>
      <c r="E306" s="201">
        <v>1</v>
      </c>
      <c r="F306" s="201">
        <v>154478</v>
      </c>
      <c r="G306" s="202"/>
      <c r="H306" s="202"/>
      <c r="I306" s="202"/>
      <c r="J306" s="202"/>
      <c r="K306" s="202"/>
      <c r="L306" s="202"/>
      <c r="M306" s="202"/>
      <c r="N306" s="202"/>
      <c r="O306" s="202"/>
      <c r="P306" s="202"/>
      <c r="Q306" s="560">
        <f t="shared" si="23"/>
        <v>0</v>
      </c>
      <c r="R306" s="648"/>
      <c r="S306" s="648"/>
    </row>
    <row r="307" spans="1:19" ht="25.5" hidden="1" customHeight="1" x14ac:dyDescent="0.2">
      <c r="A307" s="203"/>
      <c r="B307" s="203"/>
      <c r="C307" s="28" t="s">
        <v>860</v>
      </c>
      <c r="D307" s="309" t="s">
        <v>717</v>
      </c>
      <c r="E307" s="201">
        <v>1</v>
      </c>
      <c r="F307" s="201">
        <v>152454</v>
      </c>
      <c r="G307" s="202"/>
      <c r="H307" s="202"/>
      <c r="I307" s="202"/>
      <c r="J307" s="202"/>
      <c r="K307" s="202"/>
      <c r="L307" s="202"/>
      <c r="M307" s="202"/>
      <c r="N307" s="202"/>
      <c r="O307" s="202"/>
      <c r="P307" s="202"/>
      <c r="Q307" s="560">
        <f t="shared" si="23"/>
        <v>0</v>
      </c>
      <c r="R307" s="648"/>
      <c r="S307" s="648"/>
    </row>
    <row r="308" spans="1:19" ht="15.75" hidden="1" customHeight="1" x14ac:dyDescent="0.2">
      <c r="A308" s="203"/>
      <c r="B308" s="203"/>
      <c r="C308" s="28" t="s">
        <v>861</v>
      </c>
      <c r="D308" s="309" t="s">
        <v>718</v>
      </c>
      <c r="E308" s="201">
        <v>1</v>
      </c>
      <c r="F308" s="201">
        <v>154417</v>
      </c>
      <c r="G308" s="202"/>
      <c r="H308" s="202"/>
      <c r="I308" s="202"/>
      <c r="J308" s="202"/>
      <c r="K308" s="202"/>
      <c r="L308" s="202"/>
      <c r="M308" s="202"/>
      <c r="N308" s="202"/>
      <c r="O308" s="202"/>
      <c r="P308" s="202"/>
      <c r="Q308" s="560">
        <f t="shared" si="23"/>
        <v>0</v>
      </c>
      <c r="R308" s="648"/>
      <c r="S308" s="648"/>
    </row>
    <row r="309" spans="1:19" ht="17.25" hidden="1" customHeight="1" x14ac:dyDescent="0.2">
      <c r="A309" s="203"/>
      <c r="B309" s="203"/>
      <c r="C309" s="28" t="s">
        <v>862</v>
      </c>
      <c r="D309" s="311" t="s">
        <v>598</v>
      </c>
      <c r="E309" s="201">
        <v>1</v>
      </c>
      <c r="F309" s="201">
        <v>154455</v>
      </c>
      <c r="G309" s="202"/>
      <c r="H309" s="202"/>
      <c r="I309" s="202"/>
      <c r="J309" s="202"/>
      <c r="K309" s="202"/>
      <c r="L309" s="202"/>
      <c r="M309" s="202"/>
      <c r="N309" s="202"/>
      <c r="O309" s="202"/>
      <c r="P309" s="202"/>
      <c r="Q309" s="560">
        <f t="shared" si="23"/>
        <v>0</v>
      </c>
      <c r="R309" s="648"/>
      <c r="S309" s="648"/>
    </row>
    <row r="310" spans="1:19" ht="27.75" hidden="1" customHeight="1" x14ac:dyDescent="0.2">
      <c r="A310" s="203"/>
      <c r="B310" s="203"/>
      <c r="C310" s="28" t="s">
        <v>863</v>
      </c>
      <c r="D310" s="512" t="s">
        <v>391</v>
      </c>
      <c r="E310" s="116">
        <v>1</v>
      </c>
      <c r="F310" s="48">
        <v>152405</v>
      </c>
      <c r="G310" s="48"/>
      <c r="H310" s="48"/>
      <c r="I310" s="48"/>
      <c r="J310" s="48"/>
      <c r="K310" s="48"/>
      <c r="L310" s="48"/>
      <c r="M310" s="48"/>
      <c r="N310" s="48"/>
      <c r="O310" s="48"/>
      <c r="P310" s="48"/>
      <c r="Q310" s="560">
        <f t="shared" si="23"/>
        <v>0</v>
      </c>
      <c r="R310" s="648"/>
      <c r="S310" s="648"/>
    </row>
    <row r="311" spans="1:19" ht="15" hidden="1" customHeight="1" x14ac:dyDescent="0.2">
      <c r="A311" s="51"/>
      <c r="B311" s="51"/>
      <c r="C311" s="28" t="s">
        <v>855</v>
      </c>
      <c r="D311" s="312" t="s">
        <v>390</v>
      </c>
      <c r="E311" s="116">
        <v>1</v>
      </c>
      <c r="F311" s="48">
        <v>155427</v>
      </c>
      <c r="G311" s="48"/>
      <c r="H311" s="48"/>
      <c r="I311" s="48"/>
      <c r="J311" s="48"/>
      <c r="K311" s="48"/>
      <c r="L311" s="48"/>
      <c r="M311" s="48"/>
      <c r="N311" s="48"/>
      <c r="O311" s="48"/>
      <c r="P311" s="48"/>
      <c r="Q311" s="560">
        <f t="shared" si="23"/>
        <v>0</v>
      </c>
      <c r="R311" s="648"/>
      <c r="S311" s="648"/>
    </row>
    <row r="312" spans="1:19" ht="15.6" hidden="1" customHeight="1" x14ac:dyDescent="0.2">
      <c r="A312" s="51"/>
      <c r="B312" s="51"/>
      <c r="C312" s="473" t="s">
        <v>73</v>
      </c>
      <c r="D312" s="109" t="s">
        <v>392</v>
      </c>
      <c r="E312" s="116"/>
      <c r="F312" s="52"/>
      <c r="G312" s="48"/>
      <c r="H312" s="48"/>
      <c r="I312" s="48"/>
      <c r="J312" s="48"/>
      <c r="K312" s="48"/>
      <c r="L312" s="48"/>
      <c r="M312" s="48"/>
      <c r="N312" s="48"/>
      <c r="O312" s="48"/>
      <c r="P312" s="48"/>
      <c r="Q312" s="560"/>
      <c r="R312" s="648"/>
      <c r="S312" s="648"/>
    </row>
    <row r="313" spans="1:19" ht="15.6" hidden="1" customHeight="1" x14ac:dyDescent="0.2">
      <c r="A313" s="203"/>
      <c r="B313" s="203"/>
      <c r="C313" s="210"/>
      <c r="D313" s="208" t="s">
        <v>746</v>
      </c>
      <c r="E313" s="257"/>
      <c r="F313" s="269"/>
      <c r="G313" s="258"/>
      <c r="H313" s="258"/>
      <c r="I313" s="258"/>
      <c r="J313" s="258"/>
      <c r="K313" s="258"/>
      <c r="L313" s="258"/>
      <c r="M313" s="258"/>
      <c r="N313" s="258"/>
      <c r="O313" s="258"/>
      <c r="P313" s="258"/>
      <c r="Q313" s="653"/>
      <c r="R313" s="648"/>
      <c r="S313" s="648"/>
    </row>
    <row r="314" spans="1:19" ht="17.25" hidden="1" customHeight="1" x14ac:dyDescent="0.2">
      <c r="A314" s="101"/>
      <c r="B314" s="101"/>
      <c r="C314" s="29" t="s">
        <v>393</v>
      </c>
      <c r="D314" s="93" t="s">
        <v>605</v>
      </c>
      <c r="E314" s="116">
        <v>1</v>
      </c>
      <c r="F314" s="89">
        <v>152574</v>
      </c>
      <c r="G314" s="89"/>
      <c r="H314" s="89"/>
      <c r="I314" s="89"/>
      <c r="J314" s="89"/>
      <c r="K314" s="89"/>
      <c r="L314" s="89"/>
      <c r="M314" s="89"/>
      <c r="N314" s="89"/>
      <c r="O314" s="89"/>
      <c r="P314" s="89"/>
      <c r="Q314" s="560">
        <f t="shared" si="23"/>
        <v>0</v>
      </c>
      <c r="R314" s="648"/>
      <c r="S314" s="648"/>
    </row>
    <row r="315" spans="1:19" ht="30" hidden="1" customHeight="1" x14ac:dyDescent="0.2">
      <c r="A315" s="101"/>
      <c r="B315" s="101"/>
      <c r="C315" s="29" t="s">
        <v>864</v>
      </c>
      <c r="D315" s="513" t="s">
        <v>719</v>
      </c>
      <c r="E315" s="116"/>
      <c r="F315" s="89">
        <v>152562</v>
      </c>
      <c r="G315" s="89"/>
      <c r="H315" s="89"/>
      <c r="I315" s="89"/>
      <c r="J315" s="89"/>
      <c r="K315" s="89"/>
      <c r="L315" s="89"/>
      <c r="M315" s="89"/>
      <c r="N315" s="89"/>
      <c r="O315" s="89"/>
      <c r="P315" s="89"/>
      <c r="Q315" s="560">
        <f t="shared" si="23"/>
        <v>0</v>
      </c>
      <c r="R315" s="648" t="s">
        <v>798</v>
      </c>
      <c r="S315" s="648"/>
    </row>
    <row r="316" spans="1:19" ht="14.45" hidden="1" customHeight="1" x14ac:dyDescent="0.2">
      <c r="A316" s="101"/>
      <c r="B316" s="101"/>
      <c r="C316" s="474" t="s">
        <v>74</v>
      </c>
      <c r="D316" s="212" t="s">
        <v>394</v>
      </c>
      <c r="E316" s="116"/>
      <c r="F316" s="211"/>
      <c r="G316" s="89"/>
      <c r="H316" s="89"/>
      <c r="I316" s="89"/>
      <c r="J316" s="89"/>
      <c r="K316" s="89"/>
      <c r="L316" s="89"/>
      <c r="M316" s="89"/>
      <c r="N316" s="89"/>
      <c r="O316" s="89"/>
      <c r="P316" s="89"/>
      <c r="Q316" s="560"/>
      <c r="R316" s="648"/>
      <c r="S316" s="648"/>
    </row>
    <row r="317" spans="1:19" ht="14.45" hidden="1" customHeight="1" x14ac:dyDescent="0.2">
      <c r="A317" s="101"/>
      <c r="B317" s="101"/>
      <c r="C317" s="305" t="s">
        <v>75</v>
      </c>
      <c r="D317" s="213" t="s">
        <v>395</v>
      </c>
      <c r="E317" s="116"/>
      <c r="F317" s="211"/>
      <c r="G317" s="89"/>
      <c r="H317" s="89"/>
      <c r="I317" s="89"/>
      <c r="J317" s="89"/>
      <c r="K317" s="89"/>
      <c r="L317" s="89"/>
      <c r="M317" s="89"/>
      <c r="N317" s="89"/>
      <c r="O317" s="89"/>
      <c r="P317" s="89"/>
      <c r="Q317" s="560"/>
      <c r="R317" s="648"/>
      <c r="S317" s="648"/>
    </row>
    <row r="318" spans="1:19" ht="15" hidden="1" customHeight="1" x14ac:dyDescent="0.2">
      <c r="A318" s="101"/>
      <c r="B318" s="101"/>
      <c r="C318" s="214" t="s">
        <v>606</v>
      </c>
      <c r="D318" s="514" t="s">
        <v>396</v>
      </c>
      <c r="E318" s="46">
        <v>1</v>
      </c>
      <c r="F318" s="48">
        <v>152801</v>
      </c>
      <c r="G318" s="48"/>
      <c r="H318" s="48"/>
      <c r="I318" s="48"/>
      <c r="J318" s="48"/>
      <c r="K318" s="48"/>
      <c r="L318" s="48"/>
      <c r="M318" s="48"/>
      <c r="N318" s="48"/>
      <c r="O318" s="48"/>
      <c r="P318" s="48"/>
      <c r="Q318" s="560">
        <f t="shared" si="23"/>
        <v>0</v>
      </c>
      <c r="R318" s="648" t="s">
        <v>798</v>
      </c>
      <c r="S318" s="648"/>
    </row>
    <row r="319" spans="1:19" ht="15.6" hidden="1" customHeight="1" x14ac:dyDescent="0.2">
      <c r="A319" s="51"/>
      <c r="B319" s="51"/>
      <c r="C319" s="475" t="s">
        <v>76</v>
      </c>
      <c r="D319" s="313" t="s">
        <v>397</v>
      </c>
      <c r="E319" s="46"/>
      <c r="F319" s="48"/>
      <c r="G319" s="48"/>
      <c r="H319" s="48"/>
      <c r="I319" s="48"/>
      <c r="J319" s="48"/>
      <c r="K319" s="48"/>
      <c r="L319" s="48"/>
      <c r="M319" s="48"/>
      <c r="N319" s="48"/>
      <c r="O319" s="48"/>
      <c r="P319" s="48"/>
      <c r="Q319" s="560"/>
      <c r="R319" s="648"/>
      <c r="S319" s="648"/>
    </row>
    <row r="320" spans="1:19" ht="15.6" hidden="1" customHeight="1" x14ac:dyDescent="0.2">
      <c r="A320" s="203"/>
      <c r="B320" s="203"/>
      <c r="C320" s="491"/>
      <c r="D320" s="208" t="s">
        <v>746</v>
      </c>
      <c r="E320" s="257"/>
      <c r="F320" s="258"/>
      <c r="G320" s="258"/>
      <c r="H320" s="258"/>
      <c r="I320" s="258"/>
      <c r="J320" s="258"/>
      <c r="K320" s="258"/>
      <c r="L320" s="258"/>
      <c r="M320" s="258"/>
      <c r="N320" s="258"/>
      <c r="O320" s="258"/>
      <c r="P320" s="258"/>
      <c r="Q320" s="653"/>
      <c r="R320" s="648"/>
      <c r="S320" s="648"/>
    </row>
    <row r="321" spans="1:19" ht="17.25" hidden="1" customHeight="1" x14ac:dyDescent="0.2">
      <c r="A321" s="51"/>
      <c r="B321" s="51"/>
      <c r="C321" s="63" t="s">
        <v>865</v>
      </c>
      <c r="D321" s="515" t="s">
        <v>571</v>
      </c>
      <c r="E321" s="46">
        <v>2</v>
      </c>
      <c r="F321" s="48">
        <v>152947</v>
      </c>
      <c r="G321" s="48"/>
      <c r="H321" s="48"/>
      <c r="I321" s="48"/>
      <c r="J321" s="48"/>
      <c r="K321" s="48"/>
      <c r="L321" s="48"/>
      <c r="M321" s="48"/>
      <c r="N321" s="48"/>
      <c r="O321" s="48"/>
      <c r="P321" s="48"/>
      <c r="Q321" s="560">
        <f t="shared" si="23"/>
        <v>0</v>
      </c>
      <c r="R321" s="648"/>
      <c r="S321" s="648"/>
    </row>
    <row r="322" spans="1:19" ht="17.25" hidden="1" customHeight="1" x14ac:dyDescent="0.2">
      <c r="A322" s="51"/>
      <c r="B322" s="51"/>
      <c r="C322" s="63" t="s">
        <v>866</v>
      </c>
      <c r="D322" s="314" t="s">
        <v>653</v>
      </c>
      <c r="E322" s="46">
        <v>2</v>
      </c>
      <c r="F322" s="48">
        <v>154908</v>
      </c>
      <c r="G322" s="48"/>
      <c r="H322" s="48"/>
      <c r="I322" s="48"/>
      <c r="J322" s="48"/>
      <c r="K322" s="48"/>
      <c r="L322" s="48"/>
      <c r="M322" s="48"/>
      <c r="N322" s="48"/>
      <c r="O322" s="48"/>
      <c r="P322" s="48"/>
      <c r="Q322" s="560">
        <f t="shared" si="23"/>
        <v>0</v>
      </c>
      <c r="R322" s="648"/>
      <c r="S322" s="648"/>
    </row>
    <row r="323" spans="1:19" ht="17.25" hidden="1" customHeight="1" x14ac:dyDescent="0.2">
      <c r="A323" s="51"/>
      <c r="B323" s="51"/>
      <c r="C323" s="63" t="s">
        <v>867</v>
      </c>
      <c r="D323" s="61" t="s">
        <v>720</v>
      </c>
      <c r="E323" s="315">
        <v>2</v>
      </c>
      <c r="F323" s="48">
        <v>152912</v>
      </c>
      <c r="G323" s="48"/>
      <c r="H323" s="48"/>
      <c r="I323" s="48"/>
      <c r="J323" s="48"/>
      <c r="K323" s="48"/>
      <c r="L323" s="48"/>
      <c r="M323" s="48"/>
      <c r="N323" s="48"/>
      <c r="O323" s="48"/>
      <c r="P323" s="48"/>
      <c r="Q323" s="560">
        <f t="shared" si="23"/>
        <v>0</v>
      </c>
      <c r="R323" s="648"/>
      <c r="S323" s="648"/>
    </row>
    <row r="324" spans="1:19" ht="27.75" hidden="1" customHeight="1" x14ac:dyDescent="0.2">
      <c r="A324" s="51"/>
      <c r="B324" s="51"/>
      <c r="C324" s="63" t="s">
        <v>868</v>
      </c>
      <c r="D324" s="516" t="s">
        <v>512</v>
      </c>
      <c r="E324" s="116">
        <v>2</v>
      </c>
      <c r="F324" s="48">
        <v>152937</v>
      </c>
      <c r="G324" s="48"/>
      <c r="H324" s="48"/>
      <c r="I324" s="48"/>
      <c r="J324" s="48"/>
      <c r="K324" s="48"/>
      <c r="L324" s="48"/>
      <c r="M324" s="48"/>
      <c r="N324" s="48"/>
      <c r="O324" s="48"/>
      <c r="P324" s="48"/>
      <c r="Q324" s="560">
        <f t="shared" si="23"/>
        <v>0</v>
      </c>
      <c r="R324" s="648"/>
      <c r="S324" s="648"/>
    </row>
    <row r="325" spans="1:19" ht="20.25" customHeight="1" x14ac:dyDescent="0.2">
      <c r="A325" s="136"/>
      <c r="B325" s="136"/>
      <c r="C325" s="215"/>
      <c r="D325" s="836" t="s">
        <v>398</v>
      </c>
      <c r="E325" s="837"/>
      <c r="F325" s="68"/>
      <c r="G325" s="68">
        <f t="shared" ref="G325:R325" si="24">SUM(G290:G324)</f>
        <v>0</v>
      </c>
      <c r="H325" s="68">
        <f t="shared" si="24"/>
        <v>0</v>
      </c>
      <c r="I325" s="68">
        <f t="shared" si="24"/>
        <v>-10223757</v>
      </c>
      <c r="J325" s="68">
        <f t="shared" si="24"/>
        <v>0</v>
      </c>
      <c r="K325" s="68">
        <f t="shared" si="24"/>
        <v>0</v>
      </c>
      <c r="L325" s="68">
        <f t="shared" si="24"/>
        <v>4263492</v>
      </c>
      <c r="M325" s="68">
        <f t="shared" si="24"/>
        <v>7297421</v>
      </c>
      <c r="N325" s="68">
        <f t="shared" si="24"/>
        <v>0</v>
      </c>
      <c r="O325" s="68">
        <f t="shared" si="24"/>
        <v>0</v>
      </c>
      <c r="P325" s="68">
        <f t="shared" si="24"/>
        <v>0</v>
      </c>
      <c r="Q325" s="650">
        <f t="shared" si="24"/>
        <v>1337156</v>
      </c>
      <c r="R325" s="650">
        <f t="shared" si="24"/>
        <v>0</v>
      </c>
      <c r="S325" s="674"/>
    </row>
    <row r="326" spans="1:19" ht="15" customHeight="1" x14ac:dyDescent="0.2">
      <c r="A326" s="45">
        <v>1</v>
      </c>
      <c r="B326" s="45">
        <v>16</v>
      </c>
      <c r="C326" s="56"/>
      <c r="D326" s="53" t="s">
        <v>399</v>
      </c>
      <c r="E326" s="46"/>
      <c r="F326" s="48"/>
      <c r="G326" s="48"/>
      <c r="H326" s="47"/>
      <c r="I326" s="47"/>
      <c r="J326" s="47"/>
      <c r="K326" s="47"/>
      <c r="L326" s="47"/>
      <c r="M326" s="48"/>
      <c r="N326" s="48"/>
      <c r="O326" s="48"/>
      <c r="P326" s="48"/>
      <c r="Q326" s="560"/>
      <c r="R326" s="648"/>
      <c r="S326" s="648"/>
    </row>
    <row r="327" spans="1:19" ht="15" hidden="1" customHeight="1" x14ac:dyDescent="0.2">
      <c r="A327" s="45"/>
      <c r="B327" s="45"/>
      <c r="C327" s="56"/>
      <c r="D327" s="87" t="s">
        <v>795</v>
      </c>
      <c r="E327" s="46"/>
      <c r="F327" s="48"/>
      <c r="G327" s="48"/>
      <c r="H327" s="47"/>
      <c r="I327" s="47"/>
      <c r="J327" s="47"/>
      <c r="K327" s="47"/>
      <c r="L327" s="47"/>
      <c r="M327" s="48"/>
      <c r="N327" s="48"/>
      <c r="O327" s="48"/>
      <c r="P327" s="48"/>
      <c r="Q327" s="560"/>
      <c r="R327" s="648"/>
      <c r="S327" s="648"/>
    </row>
    <row r="328" spans="1:19" ht="15" hidden="1" customHeight="1" x14ac:dyDescent="0.2">
      <c r="A328" s="45"/>
      <c r="B328" s="45"/>
      <c r="C328" s="56"/>
      <c r="D328" s="61" t="s">
        <v>400</v>
      </c>
      <c r="E328" s="48">
        <v>2</v>
      </c>
      <c r="F328" s="48">
        <v>161910</v>
      </c>
      <c r="G328" s="48"/>
      <c r="H328" s="48"/>
      <c r="I328" s="48"/>
      <c r="J328" s="48"/>
      <c r="K328" s="48"/>
      <c r="L328" s="48"/>
      <c r="M328" s="48"/>
      <c r="N328" s="48"/>
      <c r="O328" s="48"/>
      <c r="P328" s="48"/>
      <c r="Q328" s="560">
        <f t="shared" ref="Q328:Q331" si="25">SUM(G328:P328)</f>
        <v>0</v>
      </c>
      <c r="R328" s="648"/>
      <c r="S328" s="648"/>
    </row>
    <row r="329" spans="1:19" ht="15" customHeight="1" x14ac:dyDescent="0.2">
      <c r="A329" s="45"/>
      <c r="B329" s="45"/>
      <c r="C329" s="56"/>
      <c r="D329" s="61" t="s">
        <v>401</v>
      </c>
      <c r="E329" s="48">
        <v>1</v>
      </c>
      <c r="F329" s="48">
        <v>161908</v>
      </c>
      <c r="G329" s="48"/>
      <c r="H329" s="48"/>
      <c r="I329" s="48"/>
      <c r="J329" s="48"/>
      <c r="K329" s="48"/>
      <c r="L329" s="48"/>
      <c r="M329" s="48">
        <v>7602604</v>
      </c>
      <c r="N329" s="48"/>
      <c r="O329" s="48"/>
      <c r="P329" s="48"/>
      <c r="Q329" s="560">
        <f t="shared" si="25"/>
        <v>7602604</v>
      </c>
      <c r="R329" s="648"/>
      <c r="S329" s="648" t="s">
        <v>1066</v>
      </c>
    </row>
    <row r="330" spans="1:19" ht="21.75" hidden="1" customHeight="1" x14ac:dyDescent="0.2">
      <c r="A330" s="45"/>
      <c r="B330" s="45"/>
      <c r="C330" s="56"/>
      <c r="D330" s="59" t="s">
        <v>983</v>
      </c>
      <c r="E330" s="48">
        <v>1</v>
      </c>
      <c r="F330" s="48">
        <v>161911</v>
      </c>
      <c r="G330" s="48"/>
      <c r="H330" s="48"/>
      <c r="I330" s="48"/>
      <c r="J330" s="48"/>
      <c r="K330" s="48"/>
      <c r="L330" s="48"/>
      <c r="M330" s="48"/>
      <c r="N330" s="48"/>
      <c r="O330" s="48"/>
      <c r="P330" s="48"/>
      <c r="Q330" s="560">
        <f t="shared" si="25"/>
        <v>0</v>
      </c>
      <c r="R330" s="648"/>
      <c r="S330" s="648"/>
    </row>
    <row r="331" spans="1:19" ht="24" customHeight="1" x14ac:dyDescent="0.2">
      <c r="A331" s="45"/>
      <c r="B331" s="45"/>
      <c r="C331" s="56"/>
      <c r="D331" s="67" t="s">
        <v>402</v>
      </c>
      <c r="E331" s="48">
        <v>2</v>
      </c>
      <c r="F331" s="48">
        <v>161904</v>
      </c>
      <c r="G331" s="48"/>
      <c r="H331" s="48"/>
      <c r="I331" s="48">
        <v>-2252604</v>
      </c>
      <c r="J331" s="48"/>
      <c r="K331" s="48"/>
      <c r="L331" s="48"/>
      <c r="M331" s="48"/>
      <c r="N331" s="48"/>
      <c r="O331" s="48"/>
      <c r="P331" s="48"/>
      <c r="Q331" s="560">
        <f t="shared" si="25"/>
        <v>-2252604</v>
      </c>
      <c r="R331" s="648" t="s">
        <v>796</v>
      </c>
      <c r="S331" s="648" t="s">
        <v>1066</v>
      </c>
    </row>
    <row r="332" spans="1:19" ht="14.1" hidden="1" customHeight="1" x14ac:dyDescent="0.2">
      <c r="A332" s="45"/>
      <c r="B332" s="45"/>
      <c r="C332" s="56"/>
      <c r="D332" s="62" t="s">
        <v>180</v>
      </c>
      <c r="E332" s="216"/>
      <c r="F332" s="48"/>
      <c r="G332" s="48"/>
      <c r="H332" s="47"/>
      <c r="I332" s="48"/>
      <c r="J332" s="47"/>
      <c r="K332" s="47"/>
      <c r="L332" s="47"/>
      <c r="M332" s="48"/>
      <c r="N332" s="48"/>
      <c r="O332" s="48"/>
      <c r="P332" s="48"/>
      <c r="Q332" s="560"/>
      <c r="R332" s="648"/>
      <c r="S332" s="648"/>
    </row>
    <row r="333" spans="1:19" ht="26.25" hidden="1" customHeight="1" x14ac:dyDescent="0.2">
      <c r="A333" s="45"/>
      <c r="B333" s="45"/>
      <c r="C333" s="56"/>
      <c r="D333" s="217" t="s">
        <v>403</v>
      </c>
      <c r="E333" s="48">
        <v>2</v>
      </c>
      <c r="F333" s="48">
        <v>151606</v>
      </c>
      <c r="G333" s="48"/>
      <c r="H333" s="48"/>
      <c r="I333" s="48"/>
      <c r="J333" s="48"/>
      <c r="K333" s="48"/>
      <c r="L333" s="48"/>
      <c r="M333" s="48"/>
      <c r="N333" s="48"/>
      <c r="O333" s="48"/>
      <c r="P333" s="48"/>
      <c r="Q333" s="560">
        <f>SUM(G333:P333)</f>
        <v>0</v>
      </c>
      <c r="R333" s="648"/>
      <c r="S333" s="648"/>
    </row>
    <row r="334" spans="1:19" ht="16.5" hidden="1" customHeight="1" x14ac:dyDescent="0.2">
      <c r="A334" s="45"/>
      <c r="B334" s="45"/>
      <c r="C334" s="56"/>
      <c r="D334" s="62" t="s">
        <v>377</v>
      </c>
      <c r="E334" s="216"/>
      <c r="F334" s="48"/>
      <c r="G334" s="48"/>
      <c r="H334" s="47"/>
      <c r="I334" s="48"/>
      <c r="J334" s="47"/>
      <c r="K334" s="47"/>
      <c r="L334" s="47"/>
      <c r="M334" s="48"/>
      <c r="N334" s="48"/>
      <c r="O334" s="48"/>
      <c r="P334" s="48"/>
      <c r="Q334" s="560"/>
      <c r="R334" s="648"/>
      <c r="S334" s="648"/>
    </row>
    <row r="335" spans="1:19" ht="28.9" hidden="1" customHeight="1" x14ac:dyDescent="0.2">
      <c r="A335" s="45"/>
      <c r="B335" s="45"/>
      <c r="C335" s="56"/>
      <c r="D335" s="67" t="s">
        <v>547</v>
      </c>
      <c r="E335" s="48">
        <v>2</v>
      </c>
      <c r="F335" s="48">
        <v>151203</v>
      </c>
      <c r="G335" s="48"/>
      <c r="H335" s="48"/>
      <c r="I335" s="48"/>
      <c r="J335" s="48"/>
      <c r="K335" s="48"/>
      <c r="L335" s="48"/>
      <c r="M335" s="48"/>
      <c r="N335" s="48"/>
      <c r="O335" s="48"/>
      <c r="P335" s="48"/>
      <c r="Q335" s="560">
        <f>SUM(G335:P335)</f>
        <v>0</v>
      </c>
      <c r="R335" s="648"/>
      <c r="S335" s="648"/>
    </row>
    <row r="336" spans="1:19" ht="14.1" customHeight="1" x14ac:dyDescent="0.2">
      <c r="A336" s="218"/>
      <c r="B336" s="218"/>
      <c r="C336" s="219"/>
      <c r="D336" s="220" t="s">
        <v>404</v>
      </c>
      <c r="E336" s="221"/>
      <c r="F336" s="222"/>
      <c r="G336" s="192">
        <f t="shared" ref="G336:R336" si="26">SUM(G328:G335)</f>
        <v>0</v>
      </c>
      <c r="H336" s="192">
        <f t="shared" si="26"/>
        <v>0</v>
      </c>
      <c r="I336" s="192">
        <f t="shared" si="26"/>
        <v>-2252604</v>
      </c>
      <c r="J336" s="192">
        <f t="shared" si="26"/>
        <v>0</v>
      </c>
      <c r="K336" s="192">
        <f t="shared" si="26"/>
        <v>0</v>
      </c>
      <c r="L336" s="192">
        <f t="shared" si="26"/>
        <v>0</v>
      </c>
      <c r="M336" s="192">
        <f t="shared" si="26"/>
        <v>7602604</v>
      </c>
      <c r="N336" s="192">
        <f t="shared" si="26"/>
        <v>0</v>
      </c>
      <c r="O336" s="192">
        <f t="shared" si="26"/>
        <v>0</v>
      </c>
      <c r="P336" s="192">
        <f t="shared" si="26"/>
        <v>0</v>
      </c>
      <c r="Q336" s="659">
        <f t="shared" si="26"/>
        <v>5350000</v>
      </c>
      <c r="R336" s="659">
        <f t="shared" si="26"/>
        <v>0</v>
      </c>
      <c r="S336" s="674"/>
    </row>
    <row r="337" spans="1:19" ht="14.1" customHeight="1" x14ac:dyDescent="0.2">
      <c r="A337" s="45"/>
      <c r="B337" s="45"/>
      <c r="C337" s="56"/>
      <c r="D337" s="223" t="s">
        <v>405</v>
      </c>
      <c r="E337" s="46"/>
      <c r="F337" s="48"/>
      <c r="G337" s="47"/>
      <c r="H337" s="47"/>
      <c r="I337" s="47"/>
      <c r="J337" s="48"/>
      <c r="K337" s="48"/>
      <c r="L337" s="48"/>
      <c r="M337" s="48"/>
      <c r="N337" s="48"/>
      <c r="O337" s="48"/>
      <c r="P337" s="48"/>
      <c r="Q337" s="560"/>
      <c r="R337" s="648"/>
      <c r="S337" s="648"/>
    </row>
    <row r="338" spans="1:19" ht="15.4" hidden="1" customHeight="1" x14ac:dyDescent="0.2">
      <c r="A338" s="45"/>
      <c r="B338" s="45"/>
      <c r="C338" s="476" t="s">
        <v>83</v>
      </c>
      <c r="D338" s="271" t="s">
        <v>385</v>
      </c>
      <c r="E338" s="46"/>
      <c r="F338" s="48"/>
      <c r="G338" s="47"/>
      <c r="H338" s="47"/>
      <c r="I338" s="47"/>
      <c r="J338" s="48"/>
      <c r="K338" s="48"/>
      <c r="L338" s="48"/>
      <c r="M338" s="48"/>
      <c r="N338" s="48"/>
      <c r="O338" s="48"/>
      <c r="P338" s="48"/>
      <c r="Q338" s="560"/>
      <c r="R338" s="648"/>
      <c r="S338" s="648"/>
    </row>
    <row r="339" spans="1:19" ht="15.4" customHeight="1" x14ac:dyDescent="0.2">
      <c r="A339" s="45"/>
      <c r="B339" s="45"/>
      <c r="C339" s="224" t="s">
        <v>251</v>
      </c>
      <c r="D339" s="300" t="s">
        <v>406</v>
      </c>
      <c r="E339" s="46">
        <v>1</v>
      </c>
      <c r="F339" s="46">
        <v>164106</v>
      </c>
      <c r="G339" s="47"/>
      <c r="H339" s="47"/>
      <c r="I339" s="47"/>
      <c r="J339" s="47"/>
      <c r="K339" s="47"/>
      <c r="L339" s="47"/>
      <c r="M339" s="47">
        <v>-37400000</v>
      </c>
      <c r="N339" s="47"/>
      <c r="O339" s="47"/>
      <c r="P339" s="47"/>
      <c r="Q339" s="560">
        <f>SUM(G339:P339)</f>
        <v>-37400000</v>
      </c>
      <c r="R339" s="648"/>
      <c r="S339" s="648" t="s">
        <v>1068</v>
      </c>
    </row>
    <row r="340" spans="1:19" ht="15.4" hidden="1" customHeight="1" x14ac:dyDescent="0.2">
      <c r="A340" s="438"/>
      <c r="B340" s="438"/>
      <c r="C340" s="464"/>
      <c r="D340" s="411" t="s">
        <v>908</v>
      </c>
      <c r="E340" s="201">
        <v>1</v>
      </c>
      <c r="F340" s="201">
        <v>164112</v>
      </c>
      <c r="G340" s="448"/>
      <c r="H340" s="448"/>
      <c r="I340" s="448"/>
      <c r="J340" s="448"/>
      <c r="K340" s="448"/>
      <c r="L340" s="448"/>
      <c r="M340" s="448"/>
      <c r="N340" s="448"/>
      <c r="O340" s="448"/>
      <c r="P340" s="448"/>
      <c r="Q340" s="560">
        <f>SUM(G340:P340)</f>
        <v>0</v>
      </c>
      <c r="R340" s="648"/>
      <c r="S340" s="648"/>
    </row>
    <row r="341" spans="1:19" ht="15.4" hidden="1" customHeight="1" x14ac:dyDescent="0.2">
      <c r="A341" s="438"/>
      <c r="B341" s="438"/>
      <c r="C341" s="464"/>
      <c r="D341" s="208" t="s">
        <v>746</v>
      </c>
      <c r="E341" s="201"/>
      <c r="F341" s="201"/>
      <c r="G341" s="448"/>
      <c r="H341" s="448"/>
      <c r="I341" s="448"/>
      <c r="J341" s="448"/>
      <c r="K341" s="448"/>
      <c r="L341" s="448"/>
      <c r="M341" s="448"/>
      <c r="N341" s="448"/>
      <c r="O341" s="448"/>
      <c r="P341" s="448"/>
      <c r="Q341" s="560"/>
      <c r="R341" s="648"/>
      <c r="S341" s="648"/>
    </row>
    <row r="342" spans="1:19" ht="15.4" customHeight="1" x14ac:dyDescent="0.2">
      <c r="A342" s="45"/>
      <c r="B342" s="45"/>
      <c r="C342" s="224" t="s">
        <v>253</v>
      </c>
      <c r="D342" s="300" t="s">
        <v>513</v>
      </c>
      <c r="E342" s="46">
        <v>1</v>
      </c>
      <c r="F342" s="46">
        <v>161909</v>
      </c>
      <c r="G342" s="47"/>
      <c r="H342" s="47"/>
      <c r="I342" s="47"/>
      <c r="J342" s="47"/>
      <c r="K342" s="47"/>
      <c r="L342" s="47"/>
      <c r="M342" s="47">
        <v>18000000</v>
      </c>
      <c r="N342" s="47"/>
      <c r="O342" s="47"/>
      <c r="P342" s="47"/>
      <c r="Q342" s="560">
        <f t="shared" ref="Q342:Q346" si="27">SUM(G342:P342)</f>
        <v>18000000</v>
      </c>
      <c r="R342" s="648"/>
      <c r="S342" s="648" t="s">
        <v>1068</v>
      </c>
    </row>
    <row r="343" spans="1:19" ht="15.4" hidden="1" customHeight="1" x14ac:dyDescent="0.2">
      <c r="A343" s="45"/>
      <c r="B343" s="45"/>
      <c r="C343" s="75" t="s">
        <v>82</v>
      </c>
      <c r="D343" s="75" t="s">
        <v>386</v>
      </c>
      <c r="E343" s="46"/>
      <c r="F343" s="46"/>
      <c r="G343" s="47"/>
      <c r="H343" s="47"/>
      <c r="I343" s="47"/>
      <c r="J343" s="47"/>
      <c r="K343" s="47"/>
      <c r="L343" s="47"/>
      <c r="M343" s="47"/>
      <c r="N343" s="47"/>
      <c r="O343" s="47"/>
      <c r="P343" s="47"/>
      <c r="Q343" s="560"/>
      <c r="R343" s="648"/>
      <c r="S343" s="648"/>
    </row>
    <row r="344" spans="1:19" ht="15" customHeight="1" x14ac:dyDescent="0.2">
      <c r="A344" s="45"/>
      <c r="B344" s="45"/>
      <c r="C344" s="224" t="s">
        <v>336</v>
      </c>
      <c r="D344" s="299" t="s">
        <v>407</v>
      </c>
      <c r="E344" s="46">
        <v>1</v>
      </c>
      <c r="F344" s="46">
        <v>164204</v>
      </c>
      <c r="G344" s="47"/>
      <c r="H344" s="47"/>
      <c r="I344" s="47"/>
      <c r="J344" s="47"/>
      <c r="K344" s="47"/>
      <c r="L344" s="47"/>
      <c r="M344" s="47">
        <v>19400000</v>
      </c>
      <c r="N344" s="47"/>
      <c r="O344" s="47"/>
      <c r="P344" s="47"/>
      <c r="Q344" s="560">
        <f t="shared" si="27"/>
        <v>19400000</v>
      </c>
      <c r="R344" s="648"/>
      <c r="S344" s="648" t="s">
        <v>1068</v>
      </c>
    </row>
    <row r="345" spans="1:19" ht="15" hidden="1" customHeight="1" x14ac:dyDescent="0.2">
      <c r="A345" s="438"/>
      <c r="B345" s="438"/>
      <c r="C345" s="464"/>
      <c r="D345" s="208" t="s">
        <v>746</v>
      </c>
      <c r="E345" s="201"/>
      <c r="F345" s="201"/>
      <c r="G345" s="448"/>
      <c r="H345" s="448"/>
      <c r="I345" s="448"/>
      <c r="J345" s="448"/>
      <c r="K345" s="448"/>
      <c r="L345" s="448"/>
      <c r="M345" s="448"/>
      <c r="N345" s="448"/>
      <c r="O345" s="448"/>
      <c r="P345" s="448"/>
      <c r="Q345" s="560"/>
      <c r="R345" s="648"/>
      <c r="S345" s="648"/>
    </row>
    <row r="346" spans="1:19" ht="34.5" hidden="1" customHeight="1" x14ac:dyDescent="0.2">
      <c r="A346" s="45"/>
      <c r="B346" s="45"/>
      <c r="C346" s="56" t="s">
        <v>661</v>
      </c>
      <c r="D346" s="122" t="s">
        <v>802</v>
      </c>
      <c r="E346" s="46">
        <v>1</v>
      </c>
      <c r="F346" s="46">
        <v>164206</v>
      </c>
      <c r="G346" s="47"/>
      <c r="H346" s="47"/>
      <c r="I346" s="47"/>
      <c r="J346" s="47"/>
      <c r="K346" s="47"/>
      <c r="L346" s="47"/>
      <c r="M346" s="47"/>
      <c r="N346" s="47"/>
      <c r="O346" s="47"/>
      <c r="P346" s="47"/>
      <c r="Q346" s="560">
        <f t="shared" si="27"/>
        <v>0</v>
      </c>
      <c r="R346" s="648"/>
      <c r="S346" s="648"/>
    </row>
    <row r="347" spans="1:19" ht="15.6" hidden="1" customHeight="1" x14ac:dyDescent="0.2">
      <c r="A347" s="45"/>
      <c r="B347" s="45"/>
      <c r="C347" s="316" t="s">
        <v>84</v>
      </c>
      <c r="D347" s="75" t="s">
        <v>408</v>
      </c>
      <c r="E347" s="46"/>
      <c r="F347" s="46"/>
      <c r="G347" s="47"/>
      <c r="H347" s="47"/>
      <c r="I347" s="47"/>
      <c r="J347" s="47"/>
      <c r="K347" s="47"/>
      <c r="L347" s="47"/>
      <c r="M347" s="47"/>
      <c r="N347" s="47"/>
      <c r="O347" s="47"/>
      <c r="P347" s="47"/>
      <c r="Q347" s="560"/>
      <c r="R347" s="648"/>
      <c r="S347" s="648"/>
    </row>
    <row r="348" spans="1:19" ht="15.6" hidden="1" customHeight="1" x14ac:dyDescent="0.2">
      <c r="A348" s="438"/>
      <c r="B348" s="438"/>
      <c r="C348" s="465"/>
      <c r="D348" s="208" t="s">
        <v>746</v>
      </c>
      <c r="E348" s="201"/>
      <c r="F348" s="201"/>
      <c r="G348" s="448"/>
      <c r="H348" s="448"/>
      <c r="I348" s="448"/>
      <c r="J348" s="448"/>
      <c r="K348" s="448"/>
      <c r="L348" s="448"/>
      <c r="M348" s="448"/>
      <c r="N348" s="448"/>
      <c r="O348" s="448"/>
      <c r="P348" s="448"/>
      <c r="Q348" s="560"/>
      <c r="R348" s="648"/>
      <c r="S348" s="648"/>
    </row>
    <row r="349" spans="1:19" ht="15" hidden="1" customHeight="1" x14ac:dyDescent="0.2">
      <c r="A349" s="45"/>
      <c r="B349" s="45"/>
      <c r="C349" s="78" t="s">
        <v>85</v>
      </c>
      <c r="D349" s="75" t="s">
        <v>950</v>
      </c>
      <c r="E349" s="46"/>
      <c r="F349" s="46"/>
      <c r="G349" s="47"/>
      <c r="H349" s="47"/>
      <c r="I349" s="47"/>
      <c r="J349" s="47"/>
      <c r="K349" s="47"/>
      <c r="L349" s="47"/>
      <c r="M349" s="47"/>
      <c r="N349" s="47"/>
      <c r="O349" s="47"/>
      <c r="P349" s="47"/>
      <c r="Q349" s="560"/>
      <c r="R349" s="648"/>
      <c r="S349" s="648"/>
    </row>
    <row r="350" spans="1:19" ht="15" hidden="1" customHeight="1" x14ac:dyDescent="0.2">
      <c r="A350" s="438"/>
      <c r="B350" s="438"/>
      <c r="C350" s="469" t="s">
        <v>910</v>
      </c>
      <c r="D350" s="411" t="s">
        <v>842</v>
      </c>
      <c r="E350" s="116">
        <v>1</v>
      </c>
      <c r="F350" s="116">
        <v>162144</v>
      </c>
      <c r="G350" s="448"/>
      <c r="H350" s="448"/>
      <c r="I350" s="448"/>
      <c r="J350" s="448"/>
      <c r="K350" s="448"/>
      <c r="L350" s="448"/>
      <c r="M350" s="448"/>
      <c r="N350" s="448"/>
      <c r="O350" s="448"/>
      <c r="P350" s="448"/>
      <c r="Q350" s="560">
        <f t="shared" ref="Q350:Q356" si="28">SUM(G350:P350)</f>
        <v>0</v>
      </c>
      <c r="R350" s="648"/>
      <c r="S350" s="648"/>
    </row>
    <row r="351" spans="1:19" ht="15" hidden="1" customHeight="1" x14ac:dyDescent="0.2">
      <c r="A351" s="438"/>
      <c r="B351" s="438"/>
      <c r="C351" s="469" t="s">
        <v>911</v>
      </c>
      <c r="D351" s="411" t="s">
        <v>850</v>
      </c>
      <c r="E351" s="116">
        <v>1</v>
      </c>
      <c r="F351" s="116">
        <v>162445</v>
      </c>
      <c r="G351" s="448"/>
      <c r="H351" s="448"/>
      <c r="I351" s="448"/>
      <c r="J351" s="448"/>
      <c r="K351" s="448"/>
      <c r="L351" s="448"/>
      <c r="M351" s="448"/>
      <c r="N351" s="448"/>
      <c r="O351" s="448"/>
      <c r="P351" s="448"/>
      <c r="Q351" s="560">
        <f t="shared" si="28"/>
        <v>0</v>
      </c>
      <c r="R351" s="648"/>
      <c r="S351" s="648"/>
    </row>
    <row r="352" spans="1:19" ht="15" hidden="1" customHeight="1" x14ac:dyDescent="0.2">
      <c r="A352" s="438"/>
      <c r="B352" s="438"/>
      <c r="C352" s="469" t="s">
        <v>912</v>
      </c>
      <c r="D352" s="411" t="s">
        <v>845</v>
      </c>
      <c r="E352" s="116">
        <v>1</v>
      </c>
      <c r="F352" s="116">
        <v>162446</v>
      </c>
      <c r="G352" s="448"/>
      <c r="H352" s="448"/>
      <c r="I352" s="448"/>
      <c r="J352" s="448"/>
      <c r="K352" s="448"/>
      <c r="L352" s="448"/>
      <c r="M352" s="448"/>
      <c r="N352" s="448"/>
      <c r="O352" s="448"/>
      <c r="P352" s="448"/>
      <c r="Q352" s="560">
        <f t="shared" si="28"/>
        <v>0</v>
      </c>
      <c r="R352" s="648"/>
      <c r="S352" s="648"/>
    </row>
    <row r="353" spans="1:19" ht="15" hidden="1" customHeight="1" x14ac:dyDescent="0.2">
      <c r="A353" s="438"/>
      <c r="B353" s="438"/>
      <c r="C353" s="469" t="s">
        <v>913</v>
      </c>
      <c r="D353" s="411" t="s">
        <v>846</v>
      </c>
      <c r="E353" s="116">
        <v>1</v>
      </c>
      <c r="F353" s="116">
        <v>162448</v>
      </c>
      <c r="G353" s="448"/>
      <c r="H353" s="448"/>
      <c r="I353" s="448"/>
      <c r="J353" s="448"/>
      <c r="K353" s="448"/>
      <c r="L353" s="448"/>
      <c r="M353" s="448"/>
      <c r="N353" s="448"/>
      <c r="O353" s="448"/>
      <c r="P353" s="448"/>
      <c r="Q353" s="560">
        <f t="shared" si="28"/>
        <v>0</v>
      </c>
      <c r="R353" s="648"/>
      <c r="S353" s="648"/>
    </row>
    <row r="354" spans="1:19" ht="15" hidden="1" customHeight="1" x14ac:dyDescent="0.2">
      <c r="A354" s="438"/>
      <c r="B354" s="438"/>
      <c r="C354" s="469" t="s">
        <v>914</v>
      </c>
      <c r="D354" s="411" t="s">
        <v>852</v>
      </c>
      <c r="E354" s="116">
        <v>1</v>
      </c>
      <c r="F354" s="116">
        <v>162449</v>
      </c>
      <c r="G354" s="448"/>
      <c r="H354" s="448"/>
      <c r="I354" s="448"/>
      <c r="J354" s="448"/>
      <c r="K354" s="448"/>
      <c r="L354" s="448"/>
      <c r="M354" s="448"/>
      <c r="N354" s="448"/>
      <c r="O354" s="448"/>
      <c r="P354" s="448"/>
      <c r="Q354" s="560">
        <f t="shared" si="28"/>
        <v>0</v>
      </c>
      <c r="R354" s="648"/>
      <c r="S354" s="648"/>
    </row>
    <row r="355" spans="1:19" ht="15" hidden="1" customHeight="1" x14ac:dyDescent="0.2">
      <c r="A355" s="438"/>
      <c r="B355" s="438"/>
      <c r="C355" s="469" t="s">
        <v>915</v>
      </c>
      <c r="D355" s="411" t="s">
        <v>847</v>
      </c>
      <c r="E355" s="116">
        <v>1</v>
      </c>
      <c r="F355" s="116">
        <v>164446</v>
      </c>
      <c r="G355" s="448"/>
      <c r="H355" s="448"/>
      <c r="I355" s="448"/>
      <c r="J355" s="448"/>
      <c r="K355" s="448"/>
      <c r="L355" s="448"/>
      <c r="M355" s="448"/>
      <c r="N355" s="448"/>
      <c r="O355" s="448"/>
      <c r="P355" s="448"/>
      <c r="Q355" s="560">
        <f t="shared" si="28"/>
        <v>0</v>
      </c>
      <c r="R355" s="648"/>
      <c r="S355" s="648"/>
    </row>
    <row r="356" spans="1:19" ht="15" customHeight="1" x14ac:dyDescent="0.2">
      <c r="A356" s="438"/>
      <c r="B356" s="438"/>
      <c r="C356" s="469" t="s">
        <v>919</v>
      </c>
      <c r="D356" s="527" t="s">
        <v>920</v>
      </c>
      <c r="E356" s="201">
        <v>1</v>
      </c>
      <c r="F356" s="201">
        <v>162450</v>
      </c>
      <c r="G356" s="448"/>
      <c r="H356" s="448"/>
      <c r="I356" s="448"/>
      <c r="J356" s="448"/>
      <c r="K356" s="448"/>
      <c r="L356" s="448">
        <v>-700000</v>
      </c>
      <c r="M356" s="448"/>
      <c r="N356" s="448"/>
      <c r="O356" s="448"/>
      <c r="P356" s="448"/>
      <c r="Q356" s="560">
        <f t="shared" si="28"/>
        <v>-700000</v>
      </c>
      <c r="R356" s="648"/>
      <c r="S356" s="648" t="s">
        <v>1066</v>
      </c>
    </row>
    <row r="357" spans="1:19" ht="15" hidden="1" customHeight="1" x14ac:dyDescent="0.2">
      <c r="A357" s="207"/>
      <c r="B357" s="207"/>
      <c r="C357" s="273"/>
      <c r="D357" s="208" t="s">
        <v>746</v>
      </c>
      <c r="E357" s="201"/>
      <c r="F357" s="201"/>
      <c r="G357" s="272"/>
      <c r="H357" s="272"/>
      <c r="I357" s="272"/>
      <c r="J357" s="272"/>
      <c r="K357" s="272"/>
      <c r="L357" s="272"/>
      <c r="M357" s="272"/>
      <c r="N357" s="272"/>
      <c r="O357" s="272"/>
      <c r="P357" s="272"/>
      <c r="Q357" s="560"/>
      <c r="R357" s="648"/>
      <c r="S357" s="648"/>
    </row>
    <row r="358" spans="1:19" ht="15.4" hidden="1" customHeight="1" x14ac:dyDescent="0.2">
      <c r="A358" s="45"/>
      <c r="B358" s="45"/>
      <c r="C358" s="529" t="s">
        <v>854</v>
      </c>
      <c r="D358" s="314" t="s">
        <v>651</v>
      </c>
      <c r="E358" s="46">
        <v>1</v>
      </c>
      <c r="F358" s="48">
        <v>162419</v>
      </c>
      <c r="G358" s="47"/>
      <c r="H358" s="47"/>
      <c r="I358" s="47"/>
      <c r="J358" s="47"/>
      <c r="K358" s="47"/>
      <c r="L358" s="47"/>
      <c r="M358" s="47"/>
      <c r="N358" s="47"/>
      <c r="O358" s="47"/>
      <c r="P358" s="47"/>
      <c r="Q358" s="560">
        <f t="shared" ref="Q358:Q370" si="29">SUM(G358:P358)</f>
        <v>0</v>
      </c>
      <c r="R358" s="648"/>
      <c r="S358" s="648"/>
    </row>
    <row r="359" spans="1:19" ht="39" hidden="1" customHeight="1" x14ac:dyDescent="0.2">
      <c r="A359" s="45"/>
      <c r="B359" s="76"/>
      <c r="C359" s="529" t="s">
        <v>856</v>
      </c>
      <c r="D359" s="505" t="s">
        <v>652</v>
      </c>
      <c r="E359" s="46">
        <v>1</v>
      </c>
      <c r="F359" s="48">
        <v>162441</v>
      </c>
      <c r="G359" s="47"/>
      <c r="H359" s="47"/>
      <c r="I359" s="47"/>
      <c r="J359" s="47"/>
      <c r="K359" s="47"/>
      <c r="L359" s="47"/>
      <c r="M359" s="47"/>
      <c r="N359" s="47"/>
      <c r="O359" s="47"/>
      <c r="P359" s="47"/>
      <c r="Q359" s="560">
        <f t="shared" si="29"/>
        <v>0</v>
      </c>
      <c r="R359" s="648"/>
      <c r="S359" s="648"/>
    </row>
    <row r="360" spans="1:19" ht="16.899999999999999" hidden="1" customHeight="1" x14ac:dyDescent="0.2">
      <c r="A360" s="45"/>
      <c r="B360" s="76"/>
      <c r="C360" s="529" t="s">
        <v>857</v>
      </c>
      <c r="D360" s="517" t="s">
        <v>721</v>
      </c>
      <c r="E360" s="315">
        <v>1</v>
      </c>
      <c r="F360" s="46">
        <v>154474</v>
      </c>
      <c r="G360" s="47"/>
      <c r="H360" s="47"/>
      <c r="I360" s="47"/>
      <c r="J360" s="47"/>
      <c r="K360" s="47"/>
      <c r="L360" s="47"/>
      <c r="M360" s="47"/>
      <c r="N360" s="47"/>
      <c r="O360" s="47"/>
      <c r="P360" s="47"/>
      <c r="Q360" s="560">
        <f t="shared" si="29"/>
        <v>0</v>
      </c>
      <c r="R360" s="648"/>
      <c r="S360" s="648"/>
    </row>
    <row r="361" spans="1:19" ht="15.4" customHeight="1" x14ac:dyDescent="0.2">
      <c r="A361" s="45"/>
      <c r="B361" s="76"/>
      <c r="C361" s="529" t="s">
        <v>858</v>
      </c>
      <c r="D361" s="62" t="s">
        <v>546</v>
      </c>
      <c r="E361" s="46">
        <v>1</v>
      </c>
      <c r="F361" s="46">
        <v>162402</v>
      </c>
      <c r="G361" s="47"/>
      <c r="H361" s="47"/>
      <c r="I361" s="47"/>
      <c r="J361" s="47"/>
      <c r="K361" s="47"/>
      <c r="L361" s="47"/>
      <c r="M361" s="47">
        <v>700000</v>
      </c>
      <c r="N361" s="47"/>
      <c r="O361" s="47"/>
      <c r="P361" s="47"/>
      <c r="Q361" s="560">
        <f t="shared" si="29"/>
        <v>700000</v>
      </c>
      <c r="R361" s="648"/>
      <c r="S361" s="648" t="s">
        <v>1066</v>
      </c>
    </row>
    <row r="362" spans="1:19" ht="17.25" hidden="1" customHeight="1" x14ac:dyDescent="0.2">
      <c r="A362" s="45"/>
      <c r="B362" s="76"/>
      <c r="C362" s="529" t="s">
        <v>859</v>
      </c>
      <c r="D362" s="518" t="s">
        <v>623</v>
      </c>
      <c r="E362" s="46">
        <v>1</v>
      </c>
      <c r="F362" s="46">
        <v>152467</v>
      </c>
      <c r="G362" s="47"/>
      <c r="H362" s="47"/>
      <c r="I362" s="47"/>
      <c r="J362" s="47"/>
      <c r="K362" s="47"/>
      <c r="L362" s="47"/>
      <c r="M362" s="47"/>
      <c r="N362" s="47"/>
      <c r="O362" s="47"/>
      <c r="P362" s="47"/>
      <c r="Q362" s="560">
        <f t="shared" si="29"/>
        <v>0</v>
      </c>
      <c r="R362" s="648"/>
      <c r="S362" s="648"/>
    </row>
    <row r="363" spans="1:19" ht="15.4" hidden="1" customHeight="1" x14ac:dyDescent="0.2">
      <c r="A363" s="45"/>
      <c r="B363" s="76"/>
      <c r="C363" s="529" t="s">
        <v>860</v>
      </c>
      <c r="D363" s="42" t="s">
        <v>624</v>
      </c>
      <c r="E363" s="46">
        <v>1</v>
      </c>
      <c r="F363" s="46">
        <v>154456</v>
      </c>
      <c r="G363" s="47"/>
      <c r="H363" s="47"/>
      <c r="I363" s="47"/>
      <c r="J363" s="47"/>
      <c r="K363" s="47"/>
      <c r="L363" s="47"/>
      <c r="M363" s="47"/>
      <c r="N363" s="47"/>
      <c r="O363" s="47"/>
      <c r="P363" s="47"/>
      <c r="Q363" s="560">
        <f t="shared" si="29"/>
        <v>0</v>
      </c>
      <c r="R363" s="648"/>
      <c r="S363" s="648"/>
    </row>
    <row r="364" spans="1:19" ht="15.4" hidden="1" customHeight="1" x14ac:dyDescent="0.2">
      <c r="A364" s="45"/>
      <c r="B364" s="76"/>
      <c r="C364" s="529" t="s">
        <v>73</v>
      </c>
      <c r="D364" s="77" t="s">
        <v>392</v>
      </c>
      <c r="E364" s="46"/>
      <c r="F364" s="46"/>
      <c r="G364" s="47"/>
      <c r="H364" s="47"/>
      <c r="I364" s="47"/>
      <c r="J364" s="47"/>
      <c r="K364" s="47"/>
      <c r="L364" s="47"/>
      <c r="M364" s="47"/>
      <c r="N364" s="47"/>
      <c r="O364" s="47"/>
      <c r="P364" s="47"/>
      <c r="Q364" s="560"/>
      <c r="R364" s="648"/>
      <c r="S364" s="648"/>
    </row>
    <row r="365" spans="1:19" ht="15.4" hidden="1" customHeight="1" x14ac:dyDescent="0.2">
      <c r="A365" s="45"/>
      <c r="B365" s="76"/>
      <c r="C365" s="530" t="s">
        <v>72</v>
      </c>
      <c r="D365" s="75" t="s">
        <v>409</v>
      </c>
      <c r="E365" s="46"/>
      <c r="F365" s="46"/>
      <c r="G365" s="48"/>
      <c r="H365" s="48"/>
      <c r="I365" s="48"/>
      <c r="J365" s="48"/>
      <c r="K365" s="48"/>
      <c r="L365" s="47"/>
      <c r="M365" s="48"/>
      <c r="N365" s="48"/>
      <c r="O365" s="48"/>
      <c r="P365" s="48"/>
      <c r="Q365" s="560"/>
      <c r="R365" s="648"/>
      <c r="S365" s="648"/>
    </row>
    <row r="366" spans="1:19" ht="15.4" hidden="1" customHeight="1" x14ac:dyDescent="0.2">
      <c r="A366" s="207"/>
      <c r="B366" s="199"/>
      <c r="C366" s="531"/>
      <c r="D366" s="208" t="s">
        <v>746</v>
      </c>
      <c r="E366" s="201"/>
      <c r="F366" s="201"/>
      <c r="G366" s="202"/>
      <c r="H366" s="202"/>
      <c r="I366" s="202"/>
      <c r="J366" s="202"/>
      <c r="K366" s="202"/>
      <c r="L366" s="272"/>
      <c r="M366" s="202"/>
      <c r="N366" s="202"/>
      <c r="O366" s="202"/>
      <c r="P366" s="202"/>
      <c r="Q366" s="560"/>
      <c r="R366" s="648"/>
      <c r="S366" s="648"/>
    </row>
    <row r="367" spans="1:19" ht="15.4" hidden="1" customHeight="1" x14ac:dyDescent="0.2">
      <c r="A367" s="45"/>
      <c r="B367" s="45"/>
      <c r="C367" s="532" t="s">
        <v>869</v>
      </c>
      <c r="D367" s="519" t="s">
        <v>625</v>
      </c>
      <c r="E367" s="439">
        <v>1</v>
      </c>
      <c r="F367" s="46">
        <v>162637</v>
      </c>
      <c r="G367" s="47"/>
      <c r="H367" s="47"/>
      <c r="I367" s="47"/>
      <c r="J367" s="47"/>
      <c r="K367" s="47"/>
      <c r="L367" s="47"/>
      <c r="M367" s="47"/>
      <c r="N367" s="47"/>
      <c r="O367" s="47"/>
      <c r="P367" s="47"/>
      <c r="Q367" s="560">
        <f t="shared" si="29"/>
        <v>0</v>
      </c>
      <c r="R367" s="648"/>
      <c r="S367" s="648"/>
    </row>
    <row r="368" spans="1:19" ht="15.4" hidden="1" customHeight="1" x14ac:dyDescent="0.2">
      <c r="A368" s="45"/>
      <c r="B368" s="45"/>
      <c r="C368" s="532" t="s">
        <v>870</v>
      </c>
      <c r="D368" s="477" t="s">
        <v>656</v>
      </c>
      <c r="E368" s="439">
        <v>1</v>
      </c>
      <c r="F368" s="46">
        <v>162621</v>
      </c>
      <c r="G368" s="47"/>
      <c r="H368" s="47"/>
      <c r="I368" s="47"/>
      <c r="J368" s="47"/>
      <c r="K368" s="47"/>
      <c r="L368" s="47"/>
      <c r="M368" s="47"/>
      <c r="N368" s="47"/>
      <c r="O368" s="47"/>
      <c r="P368" s="47"/>
      <c r="Q368" s="560">
        <f t="shared" si="29"/>
        <v>0</v>
      </c>
      <c r="R368" s="648"/>
      <c r="S368" s="648"/>
    </row>
    <row r="369" spans="1:19" ht="15.4" hidden="1" customHeight="1" x14ac:dyDescent="0.2">
      <c r="A369" s="45"/>
      <c r="B369" s="45"/>
      <c r="C369" s="532" t="s">
        <v>871</v>
      </c>
      <c r="D369" s="519" t="s">
        <v>410</v>
      </c>
      <c r="E369" s="439">
        <v>1</v>
      </c>
      <c r="F369" s="46">
        <v>162601</v>
      </c>
      <c r="G369" s="47"/>
      <c r="H369" s="47"/>
      <c r="I369" s="47"/>
      <c r="J369" s="47"/>
      <c r="K369" s="47"/>
      <c r="L369" s="47"/>
      <c r="M369" s="47"/>
      <c r="N369" s="47"/>
      <c r="O369" s="47"/>
      <c r="P369" s="47"/>
      <c r="Q369" s="560">
        <f t="shared" si="29"/>
        <v>0</v>
      </c>
      <c r="R369" s="648"/>
      <c r="S369" s="648"/>
    </row>
    <row r="370" spans="1:19" ht="20.25" hidden="1" customHeight="1" x14ac:dyDescent="0.2">
      <c r="A370" s="45"/>
      <c r="B370" s="45"/>
      <c r="C370" s="532" t="s">
        <v>872</v>
      </c>
      <c r="D370" s="479" t="s">
        <v>654</v>
      </c>
      <c r="E370" s="439">
        <v>1</v>
      </c>
      <c r="F370" s="46">
        <v>162636</v>
      </c>
      <c r="G370" s="47"/>
      <c r="H370" s="47"/>
      <c r="I370" s="47"/>
      <c r="J370" s="47"/>
      <c r="K370" s="47"/>
      <c r="L370" s="47"/>
      <c r="M370" s="47"/>
      <c r="N370" s="47"/>
      <c r="O370" s="47"/>
      <c r="P370" s="47"/>
      <c r="Q370" s="560">
        <f t="shared" si="29"/>
        <v>0</v>
      </c>
      <c r="R370" s="648"/>
      <c r="S370" s="648"/>
    </row>
    <row r="371" spans="1:19" ht="15.6" hidden="1" customHeight="1" x14ac:dyDescent="0.2">
      <c r="A371" s="45"/>
      <c r="B371" s="45"/>
      <c r="C371" s="529" t="s">
        <v>74</v>
      </c>
      <c r="D371" s="75" t="s">
        <v>394</v>
      </c>
      <c r="E371" s="46"/>
      <c r="F371" s="46"/>
      <c r="G371" s="47"/>
      <c r="H371" s="47"/>
      <c r="I371" s="47"/>
      <c r="J371" s="47"/>
      <c r="K371" s="47"/>
      <c r="L371" s="47"/>
      <c r="M371" s="47"/>
      <c r="N371" s="47"/>
      <c r="O371" s="47"/>
      <c r="P371" s="47"/>
      <c r="Q371" s="560"/>
      <c r="R371" s="648"/>
      <c r="S371" s="648"/>
    </row>
    <row r="372" spans="1:19" ht="14.45" hidden="1" customHeight="1" x14ac:dyDescent="0.2">
      <c r="A372" s="45"/>
      <c r="B372" s="45"/>
      <c r="C372" s="533" t="s">
        <v>75</v>
      </c>
      <c r="D372" s="274" t="s">
        <v>395</v>
      </c>
      <c r="E372" s="46"/>
      <c r="F372" s="46"/>
      <c r="G372" s="47"/>
      <c r="H372" s="47"/>
      <c r="I372" s="47"/>
      <c r="J372" s="47"/>
      <c r="K372" s="47"/>
      <c r="L372" s="47"/>
      <c r="M372" s="47"/>
      <c r="N372" s="47"/>
      <c r="O372" s="47"/>
      <c r="P372" s="47"/>
      <c r="Q372" s="560"/>
      <c r="R372" s="648"/>
      <c r="S372" s="648"/>
    </row>
    <row r="373" spans="1:19" ht="15" hidden="1" customHeight="1" x14ac:dyDescent="0.2">
      <c r="A373" s="45"/>
      <c r="B373" s="45"/>
      <c r="C373" s="476" t="s">
        <v>76</v>
      </c>
      <c r="D373" s="274" t="s">
        <v>948</v>
      </c>
      <c r="E373" s="46"/>
      <c r="F373" s="46"/>
      <c r="G373" s="47"/>
      <c r="H373" s="47"/>
      <c r="I373" s="47"/>
      <c r="J373" s="47"/>
      <c r="K373" s="47"/>
      <c r="L373" s="47"/>
      <c r="M373" s="47"/>
      <c r="N373" s="47"/>
      <c r="O373" s="47"/>
      <c r="P373" s="47"/>
      <c r="Q373" s="560"/>
      <c r="R373" s="648"/>
      <c r="S373" s="648"/>
    </row>
    <row r="374" spans="1:19" ht="15" customHeight="1" x14ac:dyDescent="0.2">
      <c r="A374" s="438"/>
      <c r="B374" s="438"/>
      <c r="C374" s="528" t="s">
        <v>916</v>
      </c>
      <c r="D374" s="411" t="s">
        <v>843</v>
      </c>
      <c r="E374" s="201">
        <v>2</v>
      </c>
      <c r="F374" s="201">
        <v>161914</v>
      </c>
      <c r="G374" s="448"/>
      <c r="H374" s="448"/>
      <c r="I374" s="448">
        <v>-5350000</v>
      </c>
      <c r="J374" s="448"/>
      <c r="K374" s="448"/>
      <c r="L374" s="448"/>
      <c r="M374" s="448"/>
      <c r="N374" s="448"/>
      <c r="O374" s="448"/>
      <c r="P374" s="448"/>
      <c r="Q374" s="560">
        <f t="shared" ref="Q374:Q379" si="30">SUM(G374:P374)</f>
        <v>-5350000</v>
      </c>
      <c r="R374" s="648"/>
      <c r="S374" s="648" t="s">
        <v>1066</v>
      </c>
    </row>
    <row r="375" spans="1:19" ht="15" hidden="1" customHeight="1" x14ac:dyDescent="0.2">
      <c r="A375" s="438"/>
      <c r="B375" s="438"/>
      <c r="C375" s="528" t="s">
        <v>917</v>
      </c>
      <c r="D375" s="411" t="s">
        <v>844</v>
      </c>
      <c r="E375" s="201">
        <v>2</v>
      </c>
      <c r="F375" s="201">
        <v>161915</v>
      </c>
      <c r="G375" s="448"/>
      <c r="H375" s="448"/>
      <c r="I375" s="448"/>
      <c r="J375" s="448"/>
      <c r="K375" s="448"/>
      <c r="L375" s="448"/>
      <c r="M375" s="448"/>
      <c r="N375" s="448"/>
      <c r="O375" s="448"/>
      <c r="P375" s="448"/>
      <c r="Q375" s="560">
        <f t="shared" si="30"/>
        <v>0</v>
      </c>
      <c r="R375" s="648"/>
      <c r="S375" s="648"/>
    </row>
    <row r="376" spans="1:19" ht="15" hidden="1" customHeight="1" x14ac:dyDescent="0.2">
      <c r="A376" s="438"/>
      <c r="B376" s="438"/>
      <c r="C376" s="528" t="s">
        <v>918</v>
      </c>
      <c r="D376" s="411" t="s">
        <v>909</v>
      </c>
      <c r="E376" s="201">
        <v>1</v>
      </c>
      <c r="F376" s="201">
        <v>164447</v>
      </c>
      <c r="G376" s="448"/>
      <c r="H376" s="448"/>
      <c r="I376" s="448"/>
      <c r="J376" s="448"/>
      <c r="K376" s="448"/>
      <c r="L376" s="448"/>
      <c r="M376" s="448"/>
      <c r="N376" s="448"/>
      <c r="O376" s="448"/>
      <c r="P376" s="448"/>
      <c r="Q376" s="560">
        <f t="shared" si="30"/>
        <v>0</v>
      </c>
      <c r="R376" s="648"/>
      <c r="S376" s="648"/>
    </row>
    <row r="377" spans="1:19" ht="15" hidden="1" customHeight="1" x14ac:dyDescent="0.2">
      <c r="A377" s="634"/>
      <c r="B377" s="634"/>
      <c r="C377" s="528" t="s">
        <v>1017</v>
      </c>
      <c r="D377" s="692" t="s">
        <v>1019</v>
      </c>
      <c r="E377" s="687">
        <v>2</v>
      </c>
      <c r="F377" s="687">
        <v>164960</v>
      </c>
      <c r="G377" s="635"/>
      <c r="H377" s="635"/>
      <c r="I377" s="635"/>
      <c r="J377" s="635"/>
      <c r="K377" s="635"/>
      <c r="L377" s="635"/>
      <c r="M377" s="635"/>
      <c r="N377" s="635"/>
      <c r="O377" s="635"/>
      <c r="P377" s="635"/>
      <c r="Q377" s="560">
        <f t="shared" si="30"/>
        <v>0</v>
      </c>
      <c r="R377" s="648"/>
      <c r="S377" s="648"/>
    </row>
    <row r="378" spans="1:19" ht="15" hidden="1" customHeight="1" x14ac:dyDescent="0.2">
      <c r="A378" s="634"/>
      <c r="B378" s="634"/>
      <c r="C378" s="528" t="s">
        <v>1018</v>
      </c>
      <c r="D378" s="692" t="s">
        <v>1020</v>
      </c>
      <c r="E378" s="687">
        <v>2</v>
      </c>
      <c r="F378" s="687">
        <v>164961</v>
      </c>
      <c r="G378" s="635"/>
      <c r="H378" s="635"/>
      <c r="I378" s="635"/>
      <c r="J378" s="635"/>
      <c r="K378" s="635"/>
      <c r="L378" s="635"/>
      <c r="M378" s="635"/>
      <c r="N378" s="635"/>
      <c r="O378" s="635"/>
      <c r="P378" s="635"/>
      <c r="Q378" s="560">
        <f t="shared" si="30"/>
        <v>0</v>
      </c>
      <c r="R378" s="648"/>
      <c r="S378" s="648"/>
    </row>
    <row r="379" spans="1:19" ht="15" customHeight="1" x14ac:dyDescent="0.2">
      <c r="A379" s="634"/>
      <c r="B379" s="634"/>
      <c r="C379" s="528" t="s">
        <v>1028</v>
      </c>
      <c r="D379" s="692" t="s">
        <v>1029</v>
      </c>
      <c r="E379" s="687">
        <v>2</v>
      </c>
      <c r="F379" s="687">
        <v>162919</v>
      </c>
      <c r="G379" s="635"/>
      <c r="H379" s="635"/>
      <c r="I379" s="635"/>
      <c r="J379" s="635"/>
      <c r="K379" s="635"/>
      <c r="L379" s="635">
        <v>2758229</v>
      </c>
      <c r="M379" s="635"/>
      <c r="N379" s="635"/>
      <c r="O379" s="635"/>
      <c r="P379" s="635"/>
      <c r="Q379" s="560">
        <f t="shared" si="30"/>
        <v>2758229</v>
      </c>
      <c r="R379" s="648"/>
      <c r="S379" s="648" t="s">
        <v>1068</v>
      </c>
    </row>
    <row r="380" spans="1:19" ht="15" hidden="1" customHeight="1" x14ac:dyDescent="0.2">
      <c r="A380" s="207"/>
      <c r="B380" s="207"/>
      <c r="C380" s="534"/>
      <c r="D380" s="439" t="s">
        <v>746</v>
      </c>
      <c r="E380" s="201"/>
      <c r="F380" s="201"/>
      <c r="G380" s="272"/>
      <c r="H380" s="272"/>
      <c r="I380" s="272"/>
      <c r="J380" s="272"/>
      <c r="K380" s="272"/>
      <c r="L380" s="272"/>
      <c r="M380" s="272"/>
      <c r="N380" s="272"/>
      <c r="O380" s="272"/>
      <c r="P380" s="272"/>
      <c r="Q380" s="560"/>
      <c r="R380" s="648"/>
      <c r="S380" s="648"/>
    </row>
    <row r="381" spans="1:19" ht="15" hidden="1" customHeight="1" x14ac:dyDescent="0.2">
      <c r="A381" s="438"/>
      <c r="B381" s="438"/>
      <c r="C381" s="535" t="s">
        <v>921</v>
      </c>
      <c r="D381" s="520" t="s">
        <v>335</v>
      </c>
      <c r="E381" s="201">
        <v>1</v>
      </c>
      <c r="F381" s="106">
        <v>134908</v>
      </c>
      <c r="G381" s="178"/>
      <c r="H381" s="178"/>
      <c r="I381" s="178"/>
      <c r="J381" s="178"/>
      <c r="K381" s="178"/>
      <c r="L381" s="178"/>
      <c r="M381" s="180"/>
      <c r="N381" s="448"/>
      <c r="O381" s="448"/>
      <c r="P381" s="448"/>
      <c r="Q381" s="560">
        <f t="shared" ref="Q381:Q393" si="31">SUM(G381:P381)</f>
        <v>0</v>
      </c>
      <c r="R381" s="648"/>
      <c r="S381" s="648"/>
    </row>
    <row r="382" spans="1:19" ht="15" hidden="1" customHeight="1" x14ac:dyDescent="0.2">
      <c r="A382" s="438"/>
      <c r="B382" s="438"/>
      <c r="C382" s="528" t="s">
        <v>922</v>
      </c>
      <c r="D382" s="520" t="s">
        <v>851</v>
      </c>
      <c r="E382" s="201">
        <v>1</v>
      </c>
      <c r="F382" s="439">
        <v>131902</v>
      </c>
      <c r="G382" s="301"/>
      <c r="H382" s="301"/>
      <c r="I382" s="301"/>
      <c r="J382" s="301"/>
      <c r="K382" s="301"/>
      <c r="L382" s="301"/>
      <c r="M382" s="302"/>
      <c r="N382" s="448"/>
      <c r="O382" s="448"/>
      <c r="P382" s="448"/>
      <c r="Q382" s="560">
        <f t="shared" si="31"/>
        <v>0</v>
      </c>
      <c r="R382" s="648"/>
      <c r="S382" s="648"/>
    </row>
    <row r="383" spans="1:19" ht="15" hidden="1" customHeight="1" x14ac:dyDescent="0.2">
      <c r="A383" s="438"/>
      <c r="B383" s="438"/>
      <c r="C383" s="535" t="s">
        <v>923</v>
      </c>
      <c r="D383" s="477" t="s">
        <v>622</v>
      </c>
      <c r="E383" s="201">
        <v>2</v>
      </c>
      <c r="F383" s="439">
        <v>132947</v>
      </c>
      <c r="G383" s="301"/>
      <c r="H383" s="301"/>
      <c r="I383" s="301"/>
      <c r="J383" s="301"/>
      <c r="K383" s="301"/>
      <c r="L383" s="302"/>
      <c r="M383" s="302"/>
      <c r="N383" s="301"/>
      <c r="O383" s="301"/>
      <c r="P383" s="301"/>
      <c r="Q383" s="560">
        <f t="shared" si="31"/>
        <v>0</v>
      </c>
      <c r="R383" s="648"/>
      <c r="S383" s="648"/>
    </row>
    <row r="384" spans="1:19" ht="15" hidden="1" customHeight="1" x14ac:dyDescent="0.2">
      <c r="A384" s="438"/>
      <c r="B384" s="438"/>
      <c r="C384" s="528" t="s">
        <v>924</v>
      </c>
      <c r="D384" s="411" t="s">
        <v>1021</v>
      </c>
      <c r="E384" s="201">
        <v>2</v>
      </c>
      <c r="F384" s="439">
        <v>134957</v>
      </c>
      <c r="G384" s="301"/>
      <c r="H384" s="301"/>
      <c r="I384" s="301"/>
      <c r="J384" s="301"/>
      <c r="K384" s="301"/>
      <c r="L384" s="302"/>
      <c r="M384" s="302"/>
      <c r="N384" s="301"/>
      <c r="O384" s="301"/>
      <c r="P384" s="301"/>
      <c r="Q384" s="560">
        <f t="shared" si="31"/>
        <v>0</v>
      </c>
      <c r="R384" s="648"/>
      <c r="S384" s="648"/>
    </row>
    <row r="385" spans="1:19" ht="15" hidden="1" customHeight="1" x14ac:dyDescent="0.2">
      <c r="A385" s="438"/>
      <c r="B385" s="438"/>
      <c r="C385" s="535" t="s">
        <v>925</v>
      </c>
      <c r="D385" s="411" t="s">
        <v>705</v>
      </c>
      <c r="E385" s="201">
        <v>2</v>
      </c>
      <c r="F385" s="439">
        <v>134958</v>
      </c>
      <c r="G385" s="301"/>
      <c r="H385" s="301"/>
      <c r="I385" s="302"/>
      <c r="J385" s="301"/>
      <c r="K385" s="301"/>
      <c r="L385" s="302"/>
      <c r="M385" s="302"/>
      <c r="N385" s="301"/>
      <c r="O385" s="301"/>
      <c r="P385" s="301"/>
      <c r="Q385" s="560">
        <f t="shared" si="31"/>
        <v>0</v>
      </c>
      <c r="R385" s="648"/>
      <c r="S385" s="648"/>
    </row>
    <row r="386" spans="1:19" ht="15" hidden="1" customHeight="1" x14ac:dyDescent="0.2">
      <c r="A386" s="438"/>
      <c r="B386" s="438"/>
      <c r="C386" s="528" t="s">
        <v>926</v>
      </c>
      <c r="D386" s="521" t="s">
        <v>805</v>
      </c>
      <c r="E386" s="201">
        <v>2</v>
      </c>
      <c r="F386" s="439">
        <v>132931</v>
      </c>
      <c r="G386" s="301"/>
      <c r="H386" s="301"/>
      <c r="I386" s="301"/>
      <c r="J386" s="301"/>
      <c r="K386" s="301"/>
      <c r="L386" s="302"/>
      <c r="M386" s="302"/>
      <c r="N386" s="301"/>
      <c r="O386" s="301"/>
      <c r="P386" s="301"/>
      <c r="Q386" s="560">
        <f t="shared" si="31"/>
        <v>0</v>
      </c>
      <c r="R386" s="648"/>
      <c r="S386" s="648"/>
    </row>
    <row r="387" spans="1:19" ht="15" hidden="1" customHeight="1" x14ac:dyDescent="0.2">
      <c r="A387" s="45"/>
      <c r="B387" s="45"/>
      <c r="C387" s="535" t="s">
        <v>927</v>
      </c>
      <c r="D387" s="522" t="s">
        <v>722</v>
      </c>
      <c r="E387" s="201">
        <v>1</v>
      </c>
      <c r="F387" s="46">
        <v>164952</v>
      </c>
      <c r="G387" s="47"/>
      <c r="H387" s="47"/>
      <c r="I387" s="47"/>
      <c r="J387" s="47"/>
      <c r="K387" s="47"/>
      <c r="L387" s="47"/>
      <c r="M387" s="47"/>
      <c r="N387" s="47"/>
      <c r="O387" s="47"/>
      <c r="P387" s="47"/>
      <c r="Q387" s="560">
        <f t="shared" si="31"/>
        <v>0</v>
      </c>
      <c r="R387" s="648"/>
      <c r="S387" s="648"/>
    </row>
    <row r="388" spans="1:19" ht="15" hidden="1" customHeight="1" x14ac:dyDescent="0.2">
      <c r="A388" s="438"/>
      <c r="B388" s="438"/>
      <c r="C388" s="528" t="s">
        <v>928</v>
      </c>
      <c r="D388" s="477" t="s">
        <v>848</v>
      </c>
      <c r="E388" s="201">
        <v>2</v>
      </c>
      <c r="F388" s="439">
        <v>162986</v>
      </c>
      <c r="G388" s="448"/>
      <c r="H388" s="448"/>
      <c r="I388" s="448"/>
      <c r="J388" s="448"/>
      <c r="K388" s="448"/>
      <c r="L388" s="448"/>
      <c r="M388" s="448"/>
      <c r="N388" s="448"/>
      <c r="O388" s="448"/>
      <c r="P388" s="448"/>
      <c r="Q388" s="560">
        <f t="shared" si="31"/>
        <v>0</v>
      </c>
      <c r="R388" s="648"/>
      <c r="S388" s="648"/>
    </row>
    <row r="389" spans="1:19" ht="51.75" hidden="1" customHeight="1" x14ac:dyDescent="0.2">
      <c r="A389" s="45"/>
      <c r="B389" s="45"/>
      <c r="C389" s="535" t="s">
        <v>929</v>
      </c>
      <c r="D389" s="460" t="s">
        <v>723</v>
      </c>
      <c r="E389" s="201">
        <v>2</v>
      </c>
      <c r="F389" s="46">
        <v>164955</v>
      </c>
      <c r="G389" s="47"/>
      <c r="H389" s="47"/>
      <c r="I389" s="47"/>
      <c r="J389" s="47"/>
      <c r="K389" s="47"/>
      <c r="L389" s="47"/>
      <c r="M389" s="47"/>
      <c r="N389" s="47"/>
      <c r="O389" s="47"/>
      <c r="P389" s="47"/>
      <c r="Q389" s="560">
        <f t="shared" si="31"/>
        <v>0</v>
      </c>
      <c r="R389" s="648"/>
      <c r="S389" s="648"/>
    </row>
    <row r="390" spans="1:19" ht="18.600000000000001" hidden="1" customHeight="1" x14ac:dyDescent="0.2">
      <c r="A390" s="45"/>
      <c r="B390" s="45"/>
      <c r="C390" s="528" t="s">
        <v>930</v>
      </c>
      <c r="D390" s="460" t="s">
        <v>724</v>
      </c>
      <c r="E390" s="201">
        <v>2</v>
      </c>
      <c r="F390" s="46">
        <v>164956</v>
      </c>
      <c r="G390" s="47"/>
      <c r="H390" s="47"/>
      <c r="I390" s="47"/>
      <c r="J390" s="47"/>
      <c r="K390" s="47"/>
      <c r="L390" s="47"/>
      <c r="M390" s="47"/>
      <c r="N390" s="47"/>
      <c r="O390" s="47"/>
      <c r="P390" s="47"/>
      <c r="Q390" s="560">
        <f t="shared" si="31"/>
        <v>0</v>
      </c>
      <c r="R390" s="648"/>
      <c r="S390" s="648"/>
    </row>
    <row r="391" spans="1:19" ht="24" hidden="1" customHeight="1" x14ac:dyDescent="0.2">
      <c r="A391" s="45"/>
      <c r="B391" s="45"/>
      <c r="C391" s="535" t="s">
        <v>931</v>
      </c>
      <c r="D391" s="460" t="s">
        <v>725</v>
      </c>
      <c r="E391" s="201">
        <v>2</v>
      </c>
      <c r="F391" s="46">
        <v>152516</v>
      </c>
      <c r="G391" s="47"/>
      <c r="H391" s="47"/>
      <c r="I391" s="47"/>
      <c r="J391" s="47"/>
      <c r="K391" s="47"/>
      <c r="L391" s="47"/>
      <c r="M391" s="47"/>
      <c r="N391" s="47"/>
      <c r="O391" s="47"/>
      <c r="P391" s="47"/>
      <c r="Q391" s="560">
        <f t="shared" si="31"/>
        <v>0</v>
      </c>
      <c r="R391" s="648"/>
      <c r="S391" s="648"/>
    </row>
    <row r="392" spans="1:19" ht="24" hidden="1" customHeight="1" x14ac:dyDescent="0.2">
      <c r="A392" s="45"/>
      <c r="B392" s="45"/>
      <c r="C392" s="528" t="s">
        <v>932</v>
      </c>
      <c r="D392" s="460" t="s">
        <v>726</v>
      </c>
      <c r="E392" s="201">
        <v>2</v>
      </c>
      <c r="F392" s="46">
        <v>162624</v>
      </c>
      <c r="G392" s="47"/>
      <c r="H392" s="47"/>
      <c r="I392" s="47"/>
      <c r="J392" s="47"/>
      <c r="K392" s="47"/>
      <c r="L392" s="47"/>
      <c r="M392" s="47"/>
      <c r="N392" s="47"/>
      <c r="O392" s="47"/>
      <c r="P392" s="47"/>
      <c r="Q392" s="560">
        <f t="shared" si="31"/>
        <v>0</v>
      </c>
      <c r="R392" s="648"/>
      <c r="S392" s="648"/>
    </row>
    <row r="393" spans="1:19" ht="24" hidden="1" customHeight="1" x14ac:dyDescent="0.2">
      <c r="A393" s="45"/>
      <c r="B393" s="45"/>
      <c r="C393" s="535" t="s">
        <v>933</v>
      </c>
      <c r="D393" s="460" t="s">
        <v>727</v>
      </c>
      <c r="E393" s="201">
        <v>2</v>
      </c>
      <c r="F393" s="46">
        <v>162989</v>
      </c>
      <c r="G393" s="47"/>
      <c r="H393" s="47"/>
      <c r="I393" s="47"/>
      <c r="J393" s="47"/>
      <c r="K393" s="47"/>
      <c r="L393" s="47"/>
      <c r="M393" s="47"/>
      <c r="N393" s="47"/>
      <c r="O393" s="47"/>
      <c r="P393" s="47"/>
      <c r="Q393" s="560">
        <f t="shared" si="31"/>
        <v>0</v>
      </c>
      <c r="R393" s="648"/>
      <c r="S393" s="648"/>
    </row>
    <row r="394" spans="1:19" ht="42" hidden="1" customHeight="1" x14ac:dyDescent="0.2">
      <c r="A394" s="45"/>
      <c r="B394" s="45"/>
      <c r="C394" s="528" t="s">
        <v>934</v>
      </c>
      <c r="D394" s="523" t="s">
        <v>662</v>
      </c>
      <c r="E394" s="201">
        <v>1</v>
      </c>
      <c r="F394" s="46">
        <v>174902</v>
      </c>
      <c r="G394" s="47"/>
      <c r="H394" s="47"/>
      <c r="I394" s="47"/>
      <c r="J394" s="47"/>
      <c r="K394" s="47"/>
      <c r="L394" s="47"/>
      <c r="M394" s="47"/>
      <c r="N394" s="47"/>
      <c r="O394" s="47"/>
      <c r="P394" s="47"/>
      <c r="Q394" s="560">
        <f>SUM(G394:P394)</f>
        <v>0</v>
      </c>
      <c r="R394" s="648"/>
      <c r="S394" s="648"/>
    </row>
    <row r="395" spans="1:19" ht="16.149999999999999" hidden="1" customHeight="1" x14ac:dyDescent="0.2">
      <c r="A395" s="45"/>
      <c r="B395" s="45"/>
      <c r="C395" s="535" t="s">
        <v>935</v>
      </c>
      <c r="D395" s="439" t="s">
        <v>638</v>
      </c>
      <c r="E395" s="201">
        <v>1</v>
      </c>
      <c r="F395" s="46">
        <v>162942</v>
      </c>
      <c r="G395" s="47"/>
      <c r="H395" s="47"/>
      <c r="I395" s="47"/>
      <c r="J395" s="47"/>
      <c r="K395" s="47"/>
      <c r="L395" s="47"/>
      <c r="M395" s="47"/>
      <c r="N395" s="47"/>
      <c r="O395" s="47"/>
      <c r="P395" s="47"/>
      <c r="Q395" s="560">
        <f t="shared" ref="Q395:Q450" si="32">SUM(G395:P395)</f>
        <v>0</v>
      </c>
      <c r="R395" s="648"/>
      <c r="S395" s="648"/>
    </row>
    <row r="396" spans="1:19" ht="21" hidden="1" customHeight="1" x14ac:dyDescent="0.2">
      <c r="A396" s="45"/>
      <c r="B396" s="45"/>
      <c r="C396" s="528" t="s">
        <v>936</v>
      </c>
      <c r="D396" s="520" t="s">
        <v>581</v>
      </c>
      <c r="E396" s="201">
        <v>2</v>
      </c>
      <c r="F396" s="46">
        <v>162903</v>
      </c>
      <c r="G396" s="47"/>
      <c r="H396" s="47"/>
      <c r="I396" s="47"/>
      <c r="J396" s="47"/>
      <c r="K396" s="47"/>
      <c r="L396" s="47"/>
      <c r="M396" s="47"/>
      <c r="N396" s="47"/>
      <c r="O396" s="47"/>
      <c r="P396" s="47"/>
      <c r="Q396" s="560">
        <f t="shared" si="32"/>
        <v>0</v>
      </c>
      <c r="R396" s="648"/>
      <c r="S396" s="648"/>
    </row>
    <row r="397" spans="1:19" ht="15.4" hidden="1" customHeight="1" x14ac:dyDescent="0.2">
      <c r="A397" s="45"/>
      <c r="B397" s="45"/>
      <c r="C397" s="535" t="s">
        <v>937</v>
      </c>
      <c r="D397" s="478" t="s">
        <v>806</v>
      </c>
      <c r="E397" s="201">
        <v>1</v>
      </c>
      <c r="F397" s="46">
        <v>162976</v>
      </c>
      <c r="G397" s="47"/>
      <c r="H397" s="47"/>
      <c r="I397" s="47"/>
      <c r="J397" s="47"/>
      <c r="K397" s="47"/>
      <c r="L397" s="47"/>
      <c r="M397" s="47"/>
      <c r="N397" s="47"/>
      <c r="O397" s="47"/>
      <c r="P397" s="47"/>
      <c r="Q397" s="560">
        <f t="shared" si="32"/>
        <v>0</v>
      </c>
      <c r="R397" s="648"/>
      <c r="S397" s="648"/>
    </row>
    <row r="398" spans="1:19" ht="17.45" customHeight="1" x14ac:dyDescent="0.2">
      <c r="A398" s="45"/>
      <c r="B398" s="45"/>
      <c r="C398" s="528" t="s">
        <v>938</v>
      </c>
      <c r="D398" s="478" t="s">
        <v>799</v>
      </c>
      <c r="E398" s="201">
        <v>2</v>
      </c>
      <c r="F398" s="46">
        <v>162981</v>
      </c>
      <c r="G398" s="47"/>
      <c r="H398" s="47"/>
      <c r="I398" s="47">
        <v>2540000</v>
      </c>
      <c r="J398" s="47"/>
      <c r="K398" s="47"/>
      <c r="L398" s="47"/>
      <c r="M398" s="47"/>
      <c r="N398" s="47"/>
      <c r="O398" s="47"/>
      <c r="P398" s="47"/>
      <c r="Q398" s="560">
        <f t="shared" si="32"/>
        <v>2540000</v>
      </c>
      <c r="R398" s="648"/>
      <c r="S398" s="648" t="s">
        <v>1066</v>
      </c>
    </row>
    <row r="399" spans="1:19" ht="15.6" hidden="1" customHeight="1" x14ac:dyDescent="0.2">
      <c r="A399" s="45"/>
      <c r="B399" s="45"/>
      <c r="C399" s="535" t="s">
        <v>939</v>
      </c>
      <c r="D399" s="519" t="s">
        <v>599</v>
      </c>
      <c r="E399" s="201">
        <v>2</v>
      </c>
      <c r="F399" s="46">
        <v>164945</v>
      </c>
      <c r="G399" s="47"/>
      <c r="H399" s="47"/>
      <c r="I399" s="47"/>
      <c r="J399" s="47"/>
      <c r="K399" s="47"/>
      <c r="L399" s="47"/>
      <c r="M399" s="47"/>
      <c r="N399" s="47"/>
      <c r="O399" s="47"/>
      <c r="P399" s="47"/>
      <c r="Q399" s="560">
        <f t="shared" si="32"/>
        <v>0</v>
      </c>
      <c r="R399" s="648"/>
      <c r="S399" s="648"/>
    </row>
    <row r="400" spans="1:19" ht="17.45" hidden="1" customHeight="1" x14ac:dyDescent="0.2">
      <c r="A400" s="45"/>
      <c r="B400" s="45"/>
      <c r="C400" s="56" t="s">
        <v>20</v>
      </c>
      <c r="D400" s="77" t="s">
        <v>411</v>
      </c>
      <c r="E400" s="46"/>
      <c r="F400" s="46"/>
      <c r="G400" s="47"/>
      <c r="H400" s="47"/>
      <c r="I400" s="47"/>
      <c r="J400" s="47"/>
      <c r="K400" s="47"/>
      <c r="L400" s="47"/>
      <c r="M400" s="47"/>
      <c r="N400" s="47"/>
      <c r="O400" s="47"/>
      <c r="P400" s="47"/>
      <c r="Q400" s="560"/>
      <c r="R400" s="648"/>
      <c r="S400" s="648"/>
    </row>
    <row r="401" spans="1:19" ht="15.6" hidden="1" customHeight="1" x14ac:dyDescent="0.2">
      <c r="A401" s="45"/>
      <c r="B401" s="45"/>
      <c r="C401" s="45" t="s">
        <v>412</v>
      </c>
      <c r="D401" s="275" t="s">
        <v>603</v>
      </c>
      <c r="E401" s="46"/>
      <c r="F401" s="46"/>
      <c r="G401" s="47"/>
      <c r="H401" s="47"/>
      <c r="I401" s="47"/>
      <c r="J401" s="47"/>
      <c r="K401" s="47"/>
      <c r="L401" s="47"/>
      <c r="M401" s="47"/>
      <c r="N401" s="47"/>
      <c r="O401" s="47"/>
      <c r="P401" s="47"/>
      <c r="Q401" s="560"/>
      <c r="R401" s="648"/>
      <c r="S401" s="648"/>
    </row>
    <row r="402" spans="1:19" ht="15.6" hidden="1" customHeight="1" x14ac:dyDescent="0.2">
      <c r="A402" s="634"/>
      <c r="B402" s="634"/>
      <c r="C402" s="634" t="s">
        <v>984</v>
      </c>
      <c r="D402" s="467" t="s">
        <v>979</v>
      </c>
      <c r="E402" s="116"/>
      <c r="F402" s="116">
        <v>163690</v>
      </c>
      <c r="G402" s="635"/>
      <c r="H402" s="635"/>
      <c r="I402" s="635"/>
      <c r="J402" s="635"/>
      <c r="K402" s="635"/>
      <c r="L402" s="635"/>
      <c r="M402" s="635"/>
      <c r="N402" s="635"/>
      <c r="O402" s="635"/>
      <c r="P402" s="635"/>
      <c r="Q402" s="560">
        <f>SUM(G402:P402)</f>
        <v>0</v>
      </c>
      <c r="R402" s="648"/>
      <c r="S402" s="648"/>
    </row>
    <row r="403" spans="1:19" ht="15.6" hidden="1" customHeight="1" x14ac:dyDescent="0.2">
      <c r="A403" s="207"/>
      <c r="B403" s="207"/>
      <c r="C403" s="276"/>
      <c r="D403" s="208" t="s">
        <v>746</v>
      </c>
      <c r="E403" s="201"/>
      <c r="F403" s="201"/>
      <c r="G403" s="272"/>
      <c r="H403" s="272"/>
      <c r="I403" s="272"/>
      <c r="J403" s="272"/>
      <c r="K403" s="272"/>
      <c r="L403" s="272"/>
      <c r="M403" s="272"/>
      <c r="N403" s="272"/>
      <c r="O403" s="272"/>
      <c r="P403" s="272"/>
      <c r="Q403" s="560"/>
      <c r="R403" s="648"/>
      <c r="S403" s="648"/>
    </row>
    <row r="404" spans="1:19" ht="22.5" hidden="1" customHeight="1" x14ac:dyDescent="0.2">
      <c r="A404" s="45"/>
      <c r="B404" s="45"/>
      <c r="C404" s="45" t="s">
        <v>873</v>
      </c>
      <c r="D404" s="460" t="s">
        <v>132</v>
      </c>
      <c r="E404" s="439">
        <v>2</v>
      </c>
      <c r="F404" s="46">
        <v>163625</v>
      </c>
      <c r="G404" s="47"/>
      <c r="H404" s="47"/>
      <c r="I404" s="47"/>
      <c r="J404" s="47"/>
      <c r="K404" s="47"/>
      <c r="L404" s="47"/>
      <c r="M404" s="47"/>
      <c r="N404" s="47"/>
      <c r="O404" s="47"/>
      <c r="P404" s="47"/>
      <c r="Q404" s="560">
        <f t="shared" si="32"/>
        <v>0</v>
      </c>
      <c r="R404" s="648"/>
      <c r="S404" s="648"/>
    </row>
    <row r="405" spans="1:19" ht="15.6" hidden="1" customHeight="1" x14ac:dyDescent="0.2">
      <c r="A405" s="45"/>
      <c r="B405" s="45"/>
      <c r="C405" s="45" t="s">
        <v>874</v>
      </c>
      <c r="D405" s="461" t="s">
        <v>607</v>
      </c>
      <c r="E405" s="439">
        <v>2</v>
      </c>
      <c r="F405" s="46">
        <v>163658</v>
      </c>
      <c r="G405" s="47"/>
      <c r="H405" s="47"/>
      <c r="I405" s="47"/>
      <c r="J405" s="47"/>
      <c r="K405" s="47"/>
      <c r="L405" s="47"/>
      <c r="M405" s="47"/>
      <c r="N405" s="47"/>
      <c r="O405" s="47"/>
      <c r="P405" s="47"/>
      <c r="Q405" s="560">
        <f t="shared" si="32"/>
        <v>0</v>
      </c>
      <c r="R405" s="648"/>
      <c r="S405" s="648"/>
    </row>
    <row r="406" spans="1:19" ht="29.45" hidden="1" customHeight="1" x14ac:dyDescent="0.2">
      <c r="A406" s="45"/>
      <c r="B406" s="45"/>
      <c r="C406" s="45" t="s">
        <v>875</v>
      </c>
      <c r="D406" s="461" t="s">
        <v>558</v>
      </c>
      <c r="E406" s="439">
        <v>1</v>
      </c>
      <c r="F406" s="46">
        <v>163662</v>
      </c>
      <c r="G406" s="47"/>
      <c r="H406" s="47"/>
      <c r="I406" s="47"/>
      <c r="J406" s="47"/>
      <c r="K406" s="47"/>
      <c r="L406" s="47"/>
      <c r="M406" s="47"/>
      <c r="N406" s="47"/>
      <c r="O406" s="47"/>
      <c r="P406" s="47"/>
      <c r="Q406" s="560">
        <f t="shared" si="32"/>
        <v>0</v>
      </c>
      <c r="R406" s="648"/>
      <c r="S406" s="648"/>
    </row>
    <row r="407" spans="1:19" ht="15.6" hidden="1" customHeight="1" x14ac:dyDescent="0.2">
      <c r="A407" s="45"/>
      <c r="B407" s="45"/>
      <c r="C407" s="45" t="s">
        <v>876</v>
      </c>
      <c r="D407" s="439" t="s">
        <v>696</v>
      </c>
      <c r="E407" s="439">
        <v>1</v>
      </c>
      <c r="F407" s="46">
        <v>163679</v>
      </c>
      <c r="G407" s="47"/>
      <c r="H407" s="47"/>
      <c r="I407" s="47"/>
      <c r="J407" s="47"/>
      <c r="K407" s="47"/>
      <c r="L407" s="47"/>
      <c r="M407" s="47"/>
      <c r="N407" s="47"/>
      <c r="O407" s="47"/>
      <c r="P407" s="47"/>
      <c r="Q407" s="560">
        <f t="shared" si="32"/>
        <v>0</v>
      </c>
      <c r="R407" s="648"/>
      <c r="S407" s="648"/>
    </row>
    <row r="408" spans="1:19" ht="22.5" hidden="1" customHeight="1" x14ac:dyDescent="0.2">
      <c r="A408" s="45"/>
      <c r="B408" s="45"/>
      <c r="C408" s="45" t="s">
        <v>877</v>
      </c>
      <c r="D408" s="460" t="s">
        <v>626</v>
      </c>
      <c r="E408" s="439">
        <v>1</v>
      </c>
      <c r="F408" s="46">
        <v>163680</v>
      </c>
      <c r="G408" s="47"/>
      <c r="H408" s="47"/>
      <c r="I408" s="47"/>
      <c r="J408" s="47"/>
      <c r="K408" s="47"/>
      <c r="L408" s="47"/>
      <c r="M408" s="47"/>
      <c r="N408" s="47"/>
      <c r="O408" s="47"/>
      <c r="P408" s="47"/>
      <c r="Q408" s="560">
        <f t="shared" si="32"/>
        <v>0</v>
      </c>
      <c r="R408" s="648"/>
      <c r="S408" s="648"/>
    </row>
    <row r="409" spans="1:19" ht="22.5" hidden="1" customHeight="1" x14ac:dyDescent="0.2">
      <c r="A409" s="45"/>
      <c r="B409" s="45"/>
      <c r="C409" s="45" t="s">
        <v>878</v>
      </c>
      <c r="D409" s="460" t="s">
        <v>627</v>
      </c>
      <c r="E409" s="439">
        <v>1</v>
      </c>
      <c r="F409" s="46">
        <v>163681</v>
      </c>
      <c r="G409" s="47"/>
      <c r="H409" s="47"/>
      <c r="I409" s="47"/>
      <c r="J409" s="86"/>
      <c r="K409" s="86"/>
      <c r="L409" s="47"/>
      <c r="M409" s="47"/>
      <c r="N409" s="47"/>
      <c r="O409" s="47"/>
      <c r="P409" s="47"/>
      <c r="Q409" s="560">
        <f t="shared" si="32"/>
        <v>0</v>
      </c>
      <c r="R409" s="648"/>
      <c r="S409" s="648"/>
    </row>
    <row r="410" spans="1:19" ht="36" customHeight="1" x14ac:dyDescent="0.2">
      <c r="A410" s="45"/>
      <c r="B410" s="45"/>
      <c r="C410" s="45" t="s">
        <v>879</v>
      </c>
      <c r="D410" s="460" t="s">
        <v>628</v>
      </c>
      <c r="E410" s="439">
        <v>1</v>
      </c>
      <c r="F410" s="46">
        <v>163682</v>
      </c>
      <c r="G410" s="47"/>
      <c r="H410" s="47"/>
      <c r="I410" s="47">
        <v>-2857500</v>
      </c>
      <c r="J410" s="47"/>
      <c r="K410" s="47"/>
      <c r="L410" s="47"/>
      <c r="M410" s="47"/>
      <c r="N410" s="47"/>
      <c r="O410" s="47"/>
      <c r="P410" s="47"/>
      <c r="Q410" s="560">
        <f t="shared" si="32"/>
        <v>-2857500</v>
      </c>
      <c r="R410" s="648"/>
      <c r="S410" s="648" t="s">
        <v>1066</v>
      </c>
    </row>
    <row r="411" spans="1:19" ht="33" hidden="1" customHeight="1" x14ac:dyDescent="0.2">
      <c r="A411" s="45"/>
      <c r="B411" s="45"/>
      <c r="C411" s="45" t="s">
        <v>880</v>
      </c>
      <c r="D411" s="481" t="s">
        <v>728</v>
      </c>
      <c r="E411" s="439">
        <v>1</v>
      </c>
      <c r="F411" s="46">
        <v>163666</v>
      </c>
      <c r="G411" s="47"/>
      <c r="H411" s="47"/>
      <c r="I411" s="47"/>
      <c r="J411" s="47"/>
      <c r="K411" s="47"/>
      <c r="L411" s="47"/>
      <c r="M411" s="47"/>
      <c r="N411" s="47"/>
      <c r="O411" s="47"/>
      <c r="P411" s="47"/>
      <c r="Q411" s="560">
        <f t="shared" si="32"/>
        <v>0</v>
      </c>
      <c r="R411" s="648"/>
      <c r="S411" s="648"/>
    </row>
    <row r="412" spans="1:19" ht="29.25" hidden="1" customHeight="1" x14ac:dyDescent="0.2">
      <c r="A412" s="45"/>
      <c r="B412" s="45"/>
      <c r="C412" s="45" t="s">
        <v>881</v>
      </c>
      <c r="D412" s="481" t="s">
        <v>683</v>
      </c>
      <c r="E412" s="439">
        <v>2</v>
      </c>
      <c r="F412" s="46">
        <v>163671</v>
      </c>
      <c r="G412" s="47"/>
      <c r="H412" s="47"/>
      <c r="I412" s="47"/>
      <c r="J412" s="47"/>
      <c r="K412" s="47"/>
      <c r="L412" s="47"/>
      <c r="M412" s="47"/>
      <c r="N412" s="47"/>
      <c r="O412" s="47"/>
      <c r="P412" s="47"/>
      <c r="Q412" s="560">
        <f t="shared" si="32"/>
        <v>0</v>
      </c>
      <c r="R412" s="648"/>
      <c r="S412" s="648"/>
    </row>
    <row r="413" spans="1:19" ht="27.75" hidden="1" customHeight="1" x14ac:dyDescent="0.2">
      <c r="A413" s="45"/>
      <c r="B413" s="45"/>
      <c r="C413" s="45" t="s">
        <v>882</v>
      </c>
      <c r="D413" s="481" t="s">
        <v>729</v>
      </c>
      <c r="E413" s="439">
        <v>1</v>
      </c>
      <c r="F413" s="46">
        <v>163672</v>
      </c>
      <c r="G413" s="47"/>
      <c r="H413" s="47"/>
      <c r="I413" s="47"/>
      <c r="J413" s="47"/>
      <c r="K413" s="47"/>
      <c r="L413" s="47"/>
      <c r="M413" s="47"/>
      <c r="N413" s="47"/>
      <c r="O413" s="47"/>
      <c r="P413" s="47"/>
      <c r="Q413" s="560">
        <f t="shared" si="32"/>
        <v>0</v>
      </c>
      <c r="R413" s="648"/>
      <c r="S413" s="648"/>
    </row>
    <row r="414" spans="1:19" ht="27.75" hidden="1" customHeight="1" x14ac:dyDescent="0.2">
      <c r="A414" s="45"/>
      <c r="B414" s="45"/>
      <c r="C414" s="45" t="s">
        <v>883</v>
      </c>
      <c r="D414" s="481" t="s">
        <v>730</v>
      </c>
      <c r="E414" s="439">
        <v>2</v>
      </c>
      <c r="F414" s="46">
        <v>163665</v>
      </c>
      <c r="G414" s="47"/>
      <c r="H414" s="47"/>
      <c r="I414" s="47"/>
      <c r="J414" s="47"/>
      <c r="K414" s="47"/>
      <c r="L414" s="47"/>
      <c r="M414" s="47"/>
      <c r="N414" s="47"/>
      <c r="O414" s="47"/>
      <c r="P414" s="47"/>
      <c r="Q414" s="560">
        <f t="shared" si="32"/>
        <v>0</v>
      </c>
      <c r="R414" s="648"/>
      <c r="S414" s="648"/>
    </row>
    <row r="415" spans="1:19" ht="27" hidden="1" customHeight="1" x14ac:dyDescent="0.2">
      <c r="A415" s="45"/>
      <c r="B415" s="45"/>
      <c r="C415" s="45" t="s">
        <v>884</v>
      </c>
      <c r="D415" s="481" t="s">
        <v>731</v>
      </c>
      <c r="E415" s="439">
        <v>1</v>
      </c>
      <c r="F415" s="46">
        <v>163685</v>
      </c>
      <c r="G415" s="47"/>
      <c r="H415" s="47"/>
      <c r="I415" s="47"/>
      <c r="J415" s="47"/>
      <c r="K415" s="47"/>
      <c r="L415" s="47"/>
      <c r="M415" s="47"/>
      <c r="N415" s="47"/>
      <c r="O415" s="47"/>
      <c r="P415" s="47"/>
      <c r="Q415" s="560">
        <f t="shared" si="32"/>
        <v>0</v>
      </c>
      <c r="R415" s="648"/>
      <c r="S415" s="648"/>
    </row>
    <row r="416" spans="1:19" ht="28.5" hidden="1" customHeight="1" x14ac:dyDescent="0.2">
      <c r="A416" s="45"/>
      <c r="B416" s="45"/>
      <c r="C416" s="45" t="s">
        <v>885</v>
      </c>
      <c r="D416" s="481" t="s">
        <v>732</v>
      </c>
      <c r="E416" s="439">
        <v>1</v>
      </c>
      <c r="F416" s="46">
        <v>163684</v>
      </c>
      <c r="G416" s="47"/>
      <c r="H416" s="47"/>
      <c r="I416" s="47"/>
      <c r="J416" s="47"/>
      <c r="K416" s="47"/>
      <c r="L416" s="47"/>
      <c r="M416" s="47"/>
      <c r="N416" s="47"/>
      <c r="O416" s="47"/>
      <c r="P416" s="47"/>
      <c r="Q416" s="560">
        <f t="shared" si="32"/>
        <v>0</v>
      </c>
      <c r="R416" s="648"/>
      <c r="S416" s="648"/>
    </row>
    <row r="417" spans="1:19" ht="27.75" hidden="1" customHeight="1" x14ac:dyDescent="0.2">
      <c r="A417" s="45"/>
      <c r="B417" s="45"/>
      <c r="C417" s="45" t="s">
        <v>886</v>
      </c>
      <c r="D417" s="482" t="s">
        <v>689</v>
      </c>
      <c r="E417" s="439">
        <v>1</v>
      </c>
      <c r="F417" s="46">
        <v>163673</v>
      </c>
      <c r="G417" s="47"/>
      <c r="H417" s="47"/>
      <c r="I417" s="47"/>
      <c r="J417" s="47"/>
      <c r="K417" s="47"/>
      <c r="L417" s="47"/>
      <c r="M417" s="47"/>
      <c r="N417" s="47"/>
      <c r="O417" s="47"/>
      <c r="P417" s="47"/>
      <c r="Q417" s="560">
        <f t="shared" si="32"/>
        <v>0</v>
      </c>
      <c r="R417" s="648"/>
      <c r="S417" s="648"/>
    </row>
    <row r="418" spans="1:19" ht="26.25" hidden="1" customHeight="1" x14ac:dyDescent="0.2">
      <c r="A418" s="45"/>
      <c r="B418" s="45"/>
      <c r="C418" s="45" t="s">
        <v>887</v>
      </c>
      <c r="D418" s="482" t="s">
        <v>690</v>
      </c>
      <c r="E418" s="439">
        <v>2</v>
      </c>
      <c r="F418" s="46">
        <v>163687</v>
      </c>
      <c r="G418" s="47"/>
      <c r="H418" s="47"/>
      <c r="I418" s="47"/>
      <c r="J418" s="47"/>
      <c r="K418" s="47"/>
      <c r="L418" s="47"/>
      <c r="M418" s="47"/>
      <c r="N418" s="47"/>
      <c r="O418" s="47"/>
      <c r="P418" s="47"/>
      <c r="Q418" s="560">
        <f t="shared" si="32"/>
        <v>0</v>
      </c>
      <c r="R418" s="648"/>
      <c r="S418" s="648"/>
    </row>
    <row r="419" spans="1:19" ht="36" hidden="1" customHeight="1" x14ac:dyDescent="0.2">
      <c r="A419" s="45"/>
      <c r="B419" s="45"/>
      <c r="C419" s="45" t="s">
        <v>888</v>
      </c>
      <c r="D419" s="482" t="s">
        <v>691</v>
      </c>
      <c r="E419" s="439">
        <v>2</v>
      </c>
      <c r="F419" s="46">
        <v>163678</v>
      </c>
      <c r="G419" s="47"/>
      <c r="H419" s="47"/>
      <c r="I419" s="47"/>
      <c r="J419" s="47"/>
      <c r="K419" s="47"/>
      <c r="L419" s="47"/>
      <c r="M419" s="47"/>
      <c r="N419" s="47"/>
      <c r="O419" s="47"/>
      <c r="P419" s="47"/>
      <c r="Q419" s="560">
        <f t="shared" si="32"/>
        <v>0</v>
      </c>
      <c r="R419" s="648"/>
      <c r="S419" s="648"/>
    </row>
    <row r="420" spans="1:19" ht="24.75" hidden="1" customHeight="1" x14ac:dyDescent="0.2">
      <c r="A420" s="45"/>
      <c r="B420" s="45"/>
      <c r="C420" s="45" t="s">
        <v>889</v>
      </c>
      <c r="D420" s="482" t="s">
        <v>688</v>
      </c>
      <c r="E420" s="439">
        <v>1</v>
      </c>
      <c r="F420" s="46">
        <v>163686</v>
      </c>
      <c r="G420" s="47"/>
      <c r="H420" s="47"/>
      <c r="I420" s="47"/>
      <c r="J420" s="47"/>
      <c r="K420" s="47"/>
      <c r="L420" s="47"/>
      <c r="M420" s="47"/>
      <c r="N420" s="47"/>
      <c r="O420" s="47"/>
      <c r="P420" s="47"/>
      <c r="Q420" s="560">
        <f t="shared" si="32"/>
        <v>0</v>
      </c>
      <c r="R420" s="648"/>
      <c r="S420" s="648"/>
    </row>
    <row r="421" spans="1:19" ht="27" customHeight="1" x14ac:dyDescent="0.2">
      <c r="A421" s="45"/>
      <c r="B421" s="45"/>
      <c r="C421" s="45" t="s">
        <v>890</v>
      </c>
      <c r="D421" s="482" t="s">
        <v>693</v>
      </c>
      <c r="E421" s="439">
        <v>2</v>
      </c>
      <c r="F421" s="46">
        <v>163688</v>
      </c>
      <c r="G421" s="47"/>
      <c r="H421" s="47"/>
      <c r="I421" s="47">
        <v>897480</v>
      </c>
      <c r="J421" s="47"/>
      <c r="K421" s="47"/>
      <c r="L421" s="47">
        <v>30160554</v>
      </c>
      <c r="M421" s="47"/>
      <c r="N421" s="47"/>
      <c r="O421" s="47"/>
      <c r="P421" s="47"/>
      <c r="Q421" s="560">
        <f t="shared" si="32"/>
        <v>31058034</v>
      </c>
      <c r="R421" s="648"/>
      <c r="S421" s="648" t="s">
        <v>1066</v>
      </c>
    </row>
    <row r="422" spans="1:19" ht="26.25" hidden="1" customHeight="1" x14ac:dyDescent="0.2">
      <c r="A422" s="45"/>
      <c r="B422" s="45"/>
      <c r="C422" s="45" t="s">
        <v>891</v>
      </c>
      <c r="D422" s="482" t="s">
        <v>694</v>
      </c>
      <c r="E422" s="439">
        <v>2</v>
      </c>
      <c r="F422" s="46">
        <v>163689</v>
      </c>
      <c r="G422" s="47"/>
      <c r="H422" s="47"/>
      <c r="I422" s="47"/>
      <c r="J422" s="47"/>
      <c r="K422" s="47"/>
      <c r="L422" s="47"/>
      <c r="M422" s="47"/>
      <c r="N422" s="47"/>
      <c r="O422" s="47"/>
      <c r="P422" s="47"/>
      <c r="Q422" s="560">
        <f t="shared" si="32"/>
        <v>0</v>
      </c>
      <c r="R422" s="648"/>
      <c r="S422" s="648"/>
    </row>
    <row r="423" spans="1:19" ht="16.899999999999999" hidden="1" customHeight="1" x14ac:dyDescent="0.2">
      <c r="A423" s="45"/>
      <c r="B423" s="45"/>
      <c r="C423" s="480" t="s">
        <v>562</v>
      </c>
      <c r="D423" s="277" t="s">
        <v>414</v>
      </c>
      <c r="E423" s="46"/>
      <c r="F423" s="46"/>
      <c r="G423" s="47"/>
      <c r="H423" s="47"/>
      <c r="I423" s="47"/>
      <c r="J423" s="47"/>
      <c r="K423" s="47"/>
      <c r="L423" s="47"/>
      <c r="M423" s="47"/>
      <c r="N423" s="47"/>
      <c r="O423" s="47"/>
      <c r="P423" s="47"/>
      <c r="Q423" s="560"/>
      <c r="R423" s="648"/>
      <c r="S423" s="648"/>
    </row>
    <row r="424" spans="1:19" ht="15" hidden="1" customHeight="1" x14ac:dyDescent="0.2">
      <c r="A424" s="45"/>
      <c r="B424" s="45"/>
      <c r="C424" s="225"/>
      <c r="D424" s="61" t="s">
        <v>746</v>
      </c>
      <c r="E424" s="46"/>
      <c r="F424" s="46"/>
      <c r="G424" s="47"/>
      <c r="H424" s="47"/>
      <c r="I424" s="47"/>
      <c r="J424" s="47"/>
      <c r="K424" s="47"/>
      <c r="L424" s="47"/>
      <c r="M424" s="47"/>
      <c r="N424" s="47"/>
      <c r="O424" s="47"/>
      <c r="P424" s="47"/>
      <c r="Q424" s="560"/>
      <c r="R424" s="648"/>
      <c r="S424" s="648"/>
    </row>
    <row r="425" spans="1:19" ht="26.25" hidden="1" customHeight="1" x14ac:dyDescent="0.2">
      <c r="A425" s="45"/>
      <c r="B425" s="45"/>
      <c r="C425" s="225" t="s">
        <v>563</v>
      </c>
      <c r="D425" s="481" t="s">
        <v>416</v>
      </c>
      <c r="E425" s="439">
        <v>2</v>
      </c>
      <c r="F425" s="46">
        <v>163702</v>
      </c>
      <c r="G425" s="47"/>
      <c r="H425" s="47"/>
      <c r="I425" s="47"/>
      <c r="J425" s="47"/>
      <c r="K425" s="47"/>
      <c r="L425" s="47"/>
      <c r="M425" s="47"/>
      <c r="N425" s="47"/>
      <c r="O425" s="47"/>
      <c r="P425" s="47"/>
      <c r="Q425" s="560">
        <f t="shared" si="32"/>
        <v>0</v>
      </c>
      <c r="R425" s="648"/>
      <c r="S425" s="648"/>
    </row>
    <row r="426" spans="1:19" ht="39" hidden="1" customHeight="1" x14ac:dyDescent="0.2">
      <c r="A426" s="45"/>
      <c r="B426" s="45"/>
      <c r="C426" s="225" t="s">
        <v>564</v>
      </c>
      <c r="D426" s="481" t="s">
        <v>415</v>
      </c>
      <c r="E426" s="439">
        <v>2</v>
      </c>
      <c r="F426" s="46">
        <v>163621</v>
      </c>
      <c r="G426" s="47"/>
      <c r="H426" s="47"/>
      <c r="I426" s="47"/>
      <c r="J426" s="47"/>
      <c r="K426" s="47"/>
      <c r="L426" s="47"/>
      <c r="M426" s="47"/>
      <c r="N426" s="47"/>
      <c r="O426" s="47"/>
      <c r="P426" s="47"/>
      <c r="Q426" s="560">
        <f t="shared" si="32"/>
        <v>0</v>
      </c>
      <c r="R426" s="648"/>
      <c r="S426" s="648"/>
    </row>
    <row r="427" spans="1:19" ht="39" customHeight="1" x14ac:dyDescent="0.2">
      <c r="A427" s="45"/>
      <c r="B427" s="45"/>
      <c r="C427" s="225" t="s">
        <v>663</v>
      </c>
      <c r="D427" s="461" t="s">
        <v>573</v>
      </c>
      <c r="E427" s="439">
        <v>1</v>
      </c>
      <c r="F427" s="46">
        <v>163650</v>
      </c>
      <c r="G427" s="47"/>
      <c r="H427" s="47"/>
      <c r="I427" s="47">
        <v>-4500057</v>
      </c>
      <c r="J427" s="47"/>
      <c r="K427" s="47"/>
      <c r="L427" s="47">
        <v>-60113</v>
      </c>
      <c r="M427" s="47">
        <v>4560170</v>
      </c>
      <c r="N427" s="47"/>
      <c r="O427" s="47"/>
      <c r="P427" s="47"/>
      <c r="Q427" s="560">
        <f t="shared" si="32"/>
        <v>0</v>
      </c>
      <c r="R427" s="648"/>
      <c r="S427" s="648" t="s">
        <v>1066</v>
      </c>
    </row>
    <row r="428" spans="1:19" ht="18" hidden="1" customHeight="1" x14ac:dyDescent="0.2">
      <c r="A428" s="45"/>
      <c r="B428" s="45"/>
      <c r="C428" s="188" t="s">
        <v>413</v>
      </c>
      <c r="D428" s="323" t="s">
        <v>801</v>
      </c>
      <c r="E428" s="284"/>
      <c r="F428" s="285"/>
      <c r="G428" s="286"/>
      <c r="H428" s="286"/>
      <c r="I428" s="286"/>
      <c r="J428" s="286"/>
      <c r="K428" s="286"/>
      <c r="L428" s="286"/>
      <c r="M428" s="286"/>
      <c r="N428" s="286"/>
      <c r="O428" s="286"/>
      <c r="P428" s="286"/>
      <c r="Q428" s="660"/>
      <c r="R428" s="648"/>
      <c r="S428" s="648"/>
    </row>
    <row r="429" spans="1:19" ht="38.25" hidden="1" customHeight="1" x14ac:dyDescent="0.2">
      <c r="A429" s="634"/>
      <c r="B429" s="634"/>
      <c r="C429" s="677" t="s">
        <v>1007</v>
      </c>
      <c r="D429" s="675" t="s">
        <v>1003</v>
      </c>
      <c r="E429" s="682">
        <v>1</v>
      </c>
      <c r="F429" s="560">
        <v>163691</v>
      </c>
      <c r="G429" s="635"/>
      <c r="H429" s="635"/>
      <c r="I429" s="635"/>
      <c r="J429" s="635"/>
      <c r="K429" s="635"/>
      <c r="L429" s="635"/>
      <c r="M429" s="635"/>
      <c r="N429" s="635"/>
      <c r="O429" s="635"/>
      <c r="P429" s="635"/>
      <c r="Q429" s="560">
        <f>SUM(G429:P429)</f>
        <v>0</v>
      </c>
      <c r="R429" s="648"/>
      <c r="S429" s="648"/>
    </row>
    <row r="430" spans="1:19" ht="39" hidden="1" customHeight="1" x14ac:dyDescent="0.2">
      <c r="A430" s="634"/>
      <c r="B430" s="634"/>
      <c r="C430" s="677" t="s">
        <v>1008</v>
      </c>
      <c r="D430" s="675" t="s">
        <v>1004</v>
      </c>
      <c r="E430" s="683">
        <v>1</v>
      </c>
      <c r="F430" s="560">
        <v>163692</v>
      </c>
      <c r="G430" s="635"/>
      <c r="H430" s="635"/>
      <c r="I430" s="635"/>
      <c r="J430" s="635"/>
      <c r="K430" s="635"/>
      <c r="L430" s="635"/>
      <c r="M430" s="635"/>
      <c r="N430" s="635"/>
      <c r="O430" s="635"/>
      <c r="P430" s="635"/>
      <c r="Q430" s="560">
        <f>SUM(G430:P430)</f>
        <v>0</v>
      </c>
      <c r="R430" s="648"/>
      <c r="S430" s="648"/>
    </row>
    <row r="431" spans="1:19" ht="18" hidden="1" customHeight="1" x14ac:dyDescent="0.2">
      <c r="A431" s="45"/>
      <c r="B431" s="45"/>
      <c r="C431" s="290"/>
      <c r="D431" s="111" t="s">
        <v>746</v>
      </c>
      <c r="E431" s="284"/>
      <c r="F431" s="285"/>
      <c r="G431" s="286"/>
      <c r="H431" s="286"/>
      <c r="I431" s="286"/>
      <c r="J431" s="286"/>
      <c r="K431" s="286"/>
      <c r="L431" s="286"/>
      <c r="M431" s="286"/>
      <c r="N431" s="286"/>
      <c r="O431" s="286"/>
      <c r="P431" s="286"/>
      <c r="Q431" s="660"/>
      <c r="R431" s="648"/>
      <c r="S431" s="648"/>
    </row>
    <row r="432" spans="1:19" ht="28.15" hidden="1" customHeight="1" x14ac:dyDescent="0.2">
      <c r="A432" s="45"/>
      <c r="B432" s="45"/>
      <c r="C432" s="225" t="s">
        <v>892</v>
      </c>
      <c r="D432" s="461" t="s">
        <v>697</v>
      </c>
      <c r="E432" s="483">
        <v>1</v>
      </c>
      <c r="F432" s="48">
        <v>164959</v>
      </c>
      <c r="G432" s="47"/>
      <c r="H432" s="47"/>
      <c r="I432" s="47"/>
      <c r="J432" s="47"/>
      <c r="K432" s="47"/>
      <c r="L432" s="47"/>
      <c r="M432" s="47"/>
      <c r="N432" s="47"/>
      <c r="O432" s="47"/>
      <c r="P432" s="47"/>
      <c r="Q432" s="560">
        <f t="shared" si="32"/>
        <v>0</v>
      </c>
      <c r="R432" s="648"/>
      <c r="S432" s="648"/>
    </row>
    <row r="433" spans="1:19" ht="28.15" hidden="1" customHeight="1" x14ac:dyDescent="0.2">
      <c r="A433" s="45"/>
      <c r="B433" s="45"/>
      <c r="C433" s="225" t="s">
        <v>893</v>
      </c>
      <c r="D433" s="461" t="s">
        <v>698</v>
      </c>
      <c r="E433" s="483">
        <v>1</v>
      </c>
      <c r="F433" s="48">
        <v>164958</v>
      </c>
      <c r="G433" s="47"/>
      <c r="H433" s="47"/>
      <c r="I433" s="47"/>
      <c r="J433" s="47"/>
      <c r="K433" s="47"/>
      <c r="L433" s="47"/>
      <c r="M433" s="47"/>
      <c r="N433" s="47"/>
      <c r="O433" s="47"/>
      <c r="P433" s="47"/>
      <c r="Q433" s="560">
        <f t="shared" si="32"/>
        <v>0</v>
      </c>
      <c r="R433" s="648"/>
      <c r="S433" s="648"/>
    </row>
    <row r="434" spans="1:19" ht="15" hidden="1" customHeight="1" x14ac:dyDescent="0.2">
      <c r="A434" s="45"/>
      <c r="B434" s="45"/>
      <c r="C434" s="225" t="s">
        <v>417</v>
      </c>
      <c r="D434" s="324" t="s">
        <v>418</v>
      </c>
      <c r="E434" s="116"/>
      <c r="F434" s="48"/>
      <c r="G434" s="47"/>
      <c r="H434" s="47"/>
      <c r="I434" s="47"/>
      <c r="J434" s="47"/>
      <c r="K434" s="47"/>
      <c r="L434" s="47"/>
      <c r="M434" s="47"/>
      <c r="N434" s="47"/>
      <c r="O434" s="47"/>
      <c r="P434" s="47"/>
      <c r="Q434" s="560"/>
      <c r="R434" s="648"/>
      <c r="S434" s="648"/>
    </row>
    <row r="435" spans="1:19" ht="44.25" hidden="1" customHeight="1" x14ac:dyDescent="0.2">
      <c r="A435" s="634"/>
      <c r="B435" s="634"/>
      <c r="C435" s="685" t="s">
        <v>1009</v>
      </c>
      <c r="D435" s="675" t="s">
        <v>1005</v>
      </c>
      <c r="E435" s="560">
        <v>1</v>
      </c>
      <c r="F435" s="686">
        <v>163693</v>
      </c>
      <c r="G435" s="635"/>
      <c r="H435" s="635"/>
      <c r="I435" s="635"/>
      <c r="J435" s="635"/>
      <c r="K435" s="635"/>
      <c r="L435" s="635"/>
      <c r="M435" s="635"/>
      <c r="N435" s="635"/>
      <c r="O435" s="635"/>
      <c r="P435" s="635"/>
      <c r="Q435" s="560">
        <f>SUM(G435:P435)</f>
        <v>0</v>
      </c>
      <c r="R435" s="648"/>
      <c r="S435" s="648"/>
    </row>
    <row r="436" spans="1:19" ht="33" hidden="1" customHeight="1" x14ac:dyDescent="0.2">
      <c r="A436" s="634"/>
      <c r="B436" s="634"/>
      <c r="C436" s="679" t="s">
        <v>1010</v>
      </c>
      <c r="D436" s="675" t="s">
        <v>1006</v>
      </c>
      <c r="E436" s="560">
        <v>1</v>
      </c>
      <c r="F436" s="686">
        <v>163694</v>
      </c>
      <c r="G436" s="635"/>
      <c r="H436" s="635"/>
      <c r="I436" s="635"/>
      <c r="J436" s="635"/>
      <c r="K436" s="635"/>
      <c r="L436" s="635"/>
      <c r="M436" s="635"/>
      <c r="N436" s="635"/>
      <c r="O436" s="635"/>
      <c r="P436" s="635"/>
      <c r="Q436" s="560">
        <f>SUM(G436:P436)</f>
        <v>0</v>
      </c>
      <c r="R436" s="648"/>
      <c r="S436" s="648"/>
    </row>
    <row r="437" spans="1:19" ht="15" hidden="1" customHeight="1" x14ac:dyDescent="0.2">
      <c r="A437" s="207"/>
      <c r="B437" s="207"/>
      <c r="C437" s="278"/>
      <c r="D437" s="61" t="s">
        <v>746</v>
      </c>
      <c r="E437" s="116"/>
      <c r="F437" s="116"/>
      <c r="G437" s="47"/>
      <c r="H437" s="47"/>
      <c r="I437" s="47"/>
      <c r="J437" s="47"/>
      <c r="K437" s="47"/>
      <c r="L437" s="47"/>
      <c r="M437" s="47"/>
      <c r="N437" s="47"/>
      <c r="O437" s="47"/>
      <c r="P437" s="47"/>
      <c r="Q437" s="560"/>
      <c r="R437" s="648"/>
      <c r="S437" s="648"/>
    </row>
    <row r="438" spans="1:19" ht="33.75" hidden="1" customHeight="1" x14ac:dyDescent="0.2">
      <c r="A438" s="45"/>
      <c r="B438" s="45"/>
      <c r="C438" s="225" t="s">
        <v>565</v>
      </c>
      <c r="D438" s="460" t="s">
        <v>602</v>
      </c>
      <c r="E438" s="439">
        <v>1</v>
      </c>
      <c r="F438" s="46">
        <v>163664</v>
      </c>
      <c r="G438" s="47"/>
      <c r="H438" s="47"/>
      <c r="I438" s="47"/>
      <c r="J438" s="47"/>
      <c r="K438" s="47"/>
      <c r="L438" s="47"/>
      <c r="M438" s="47"/>
      <c r="N438" s="47"/>
      <c r="O438" s="47"/>
      <c r="P438" s="47"/>
      <c r="Q438" s="560">
        <f t="shared" si="32"/>
        <v>0</v>
      </c>
      <c r="R438" s="648"/>
      <c r="S438" s="648"/>
    </row>
    <row r="439" spans="1:19" ht="54" hidden="1" customHeight="1" x14ac:dyDescent="0.2">
      <c r="A439" s="45"/>
      <c r="B439" s="45"/>
      <c r="C439" s="225" t="s">
        <v>419</v>
      </c>
      <c r="D439" s="481" t="s">
        <v>559</v>
      </c>
      <c r="E439" s="439">
        <v>1</v>
      </c>
      <c r="F439" s="294">
        <v>163654</v>
      </c>
      <c r="G439" s="272"/>
      <c r="H439" s="272"/>
      <c r="I439" s="272"/>
      <c r="J439" s="272"/>
      <c r="K439" s="272"/>
      <c r="L439" s="272"/>
      <c r="M439" s="272"/>
      <c r="N439" s="272"/>
      <c r="O439" s="272"/>
      <c r="P439" s="272"/>
      <c r="Q439" s="560">
        <f t="shared" si="32"/>
        <v>0</v>
      </c>
      <c r="R439" s="648"/>
      <c r="S439" s="648"/>
    </row>
    <row r="440" spans="1:19" ht="53.25" hidden="1" customHeight="1" x14ac:dyDescent="0.2">
      <c r="A440" s="207"/>
      <c r="B440" s="207"/>
      <c r="C440" s="225" t="s">
        <v>894</v>
      </c>
      <c r="D440" s="481" t="s">
        <v>560</v>
      </c>
      <c r="E440" s="439">
        <v>1</v>
      </c>
      <c r="F440" s="295">
        <v>163661</v>
      </c>
      <c r="G440" s="47"/>
      <c r="H440" s="47"/>
      <c r="I440" s="47"/>
      <c r="J440" s="47"/>
      <c r="K440" s="47"/>
      <c r="L440" s="47"/>
      <c r="M440" s="47"/>
      <c r="N440" s="47"/>
      <c r="O440" s="47"/>
      <c r="P440" s="47"/>
      <c r="Q440" s="560">
        <f t="shared" si="32"/>
        <v>0</v>
      </c>
      <c r="R440" s="648"/>
      <c r="S440" s="648"/>
    </row>
    <row r="441" spans="1:19" ht="53.25" hidden="1" customHeight="1" x14ac:dyDescent="0.2">
      <c r="A441" s="45"/>
      <c r="B441" s="45"/>
      <c r="C441" s="225" t="s">
        <v>895</v>
      </c>
      <c r="D441" s="481" t="s">
        <v>642</v>
      </c>
      <c r="E441" s="439">
        <v>1</v>
      </c>
      <c r="F441" s="295">
        <v>163683</v>
      </c>
      <c r="G441" s="47"/>
      <c r="H441" s="47"/>
      <c r="I441" s="47"/>
      <c r="J441" s="47"/>
      <c r="K441" s="47"/>
      <c r="L441" s="47"/>
      <c r="M441" s="47"/>
      <c r="N441" s="47"/>
      <c r="O441" s="47"/>
      <c r="P441" s="47"/>
      <c r="Q441" s="560">
        <f t="shared" si="32"/>
        <v>0</v>
      </c>
      <c r="R441" s="648"/>
      <c r="S441" s="648"/>
    </row>
    <row r="442" spans="1:19" ht="25.5" hidden="1" customHeight="1" x14ac:dyDescent="0.2">
      <c r="A442" s="296"/>
      <c r="B442" s="296"/>
      <c r="C442" s="225" t="s">
        <v>896</v>
      </c>
      <c r="D442" s="484" t="s">
        <v>601</v>
      </c>
      <c r="E442" s="485">
        <v>1</v>
      </c>
      <c r="F442" s="298">
        <v>132937</v>
      </c>
      <c r="G442" s="297"/>
      <c r="H442" s="297"/>
      <c r="I442" s="297"/>
      <c r="J442" s="297"/>
      <c r="K442" s="297"/>
      <c r="L442" s="297"/>
      <c r="M442" s="297"/>
      <c r="N442" s="297"/>
      <c r="O442" s="297"/>
      <c r="P442" s="297"/>
      <c r="Q442" s="661">
        <f t="shared" si="32"/>
        <v>0</v>
      </c>
      <c r="R442" s="648"/>
      <c r="S442" s="648"/>
    </row>
    <row r="443" spans="1:19" ht="34.5" hidden="1" customHeight="1" x14ac:dyDescent="0.2">
      <c r="A443" s="45"/>
      <c r="B443" s="45"/>
      <c r="C443" s="225" t="s">
        <v>897</v>
      </c>
      <c r="D443" s="482" t="s">
        <v>692</v>
      </c>
      <c r="E443" s="439">
        <v>2</v>
      </c>
      <c r="F443" s="46">
        <v>163676</v>
      </c>
      <c r="G443" s="47"/>
      <c r="H443" s="47"/>
      <c r="I443" s="47"/>
      <c r="J443" s="47"/>
      <c r="K443" s="47"/>
      <c r="L443" s="47"/>
      <c r="M443" s="47"/>
      <c r="N443" s="47"/>
      <c r="O443" s="47"/>
      <c r="P443" s="47"/>
      <c r="Q443" s="560">
        <f t="shared" si="32"/>
        <v>0</v>
      </c>
      <c r="R443" s="648"/>
      <c r="S443" s="648"/>
    </row>
    <row r="444" spans="1:19" ht="25.5" customHeight="1" x14ac:dyDescent="0.2">
      <c r="A444" s="45"/>
      <c r="B444" s="45"/>
      <c r="C444" s="225" t="s">
        <v>898</v>
      </c>
      <c r="D444" s="482" t="s">
        <v>733</v>
      </c>
      <c r="E444" s="439">
        <v>2</v>
      </c>
      <c r="F444" s="46">
        <v>163675</v>
      </c>
      <c r="G444" s="47"/>
      <c r="H444" s="47"/>
      <c r="I444" s="47">
        <v>-2540000</v>
      </c>
      <c r="J444" s="47"/>
      <c r="K444" s="47"/>
      <c r="L444" s="47"/>
      <c r="M444" s="47"/>
      <c r="N444" s="47"/>
      <c r="O444" s="47"/>
      <c r="P444" s="47"/>
      <c r="Q444" s="560">
        <f t="shared" si="32"/>
        <v>-2540000</v>
      </c>
      <c r="R444" s="648"/>
      <c r="S444" s="648" t="s">
        <v>1066</v>
      </c>
    </row>
    <row r="445" spans="1:19" ht="15" hidden="1" customHeight="1" x14ac:dyDescent="0.2">
      <c r="A445" s="45"/>
      <c r="B445" s="45"/>
      <c r="C445" s="56" t="s">
        <v>899</v>
      </c>
      <c r="D445" s="279" t="s">
        <v>420</v>
      </c>
      <c r="E445" s="46"/>
      <c r="F445" s="46"/>
      <c r="G445" s="47"/>
      <c r="H445" s="47"/>
      <c r="I445" s="47"/>
      <c r="J445" s="47"/>
      <c r="K445" s="47"/>
      <c r="L445" s="47"/>
      <c r="M445" s="47"/>
      <c r="N445" s="47"/>
      <c r="O445" s="47"/>
      <c r="P445" s="47"/>
      <c r="Q445" s="560"/>
      <c r="R445" s="648"/>
      <c r="S445" s="648"/>
    </row>
    <row r="446" spans="1:19" ht="32.25" hidden="1" customHeight="1" x14ac:dyDescent="0.2">
      <c r="A446" s="438"/>
      <c r="B446" s="438"/>
      <c r="C446" s="466" t="s">
        <v>900</v>
      </c>
      <c r="D446" s="481" t="s">
        <v>940</v>
      </c>
      <c r="E446" s="439">
        <v>2</v>
      </c>
      <c r="F446" s="439">
        <v>171923</v>
      </c>
      <c r="G446" s="448"/>
      <c r="H446" s="448"/>
      <c r="I446" s="448"/>
      <c r="J446" s="448"/>
      <c r="K446" s="448"/>
      <c r="L446" s="448"/>
      <c r="M446" s="448"/>
      <c r="N446" s="448"/>
      <c r="O446" s="448"/>
      <c r="P446" s="448"/>
      <c r="Q446" s="560">
        <f t="shared" si="32"/>
        <v>0</v>
      </c>
      <c r="R446" s="648"/>
      <c r="S446" s="648"/>
    </row>
    <row r="447" spans="1:19" ht="15" hidden="1" customHeight="1" x14ac:dyDescent="0.2">
      <c r="A447" s="45"/>
      <c r="B447" s="45"/>
      <c r="C447" s="226"/>
      <c r="D447" s="61" t="s">
        <v>746</v>
      </c>
      <c r="E447" s="280"/>
      <c r="F447" s="116"/>
      <c r="G447" s="47"/>
      <c r="H447" s="47"/>
      <c r="I447" s="47"/>
      <c r="J447" s="47"/>
      <c r="K447" s="47"/>
      <c r="L447" s="47"/>
      <c r="M447" s="47"/>
      <c r="N447" s="47"/>
      <c r="O447" s="47"/>
      <c r="P447" s="47"/>
      <c r="Q447" s="560"/>
      <c r="R447" s="648"/>
      <c r="S447" s="648"/>
    </row>
    <row r="448" spans="1:19" ht="35.25" customHeight="1" x14ac:dyDescent="0.2">
      <c r="A448" s="45"/>
      <c r="B448" s="45"/>
      <c r="C448" s="56" t="s">
        <v>901</v>
      </c>
      <c r="D448" s="481" t="s">
        <v>734</v>
      </c>
      <c r="E448" s="439">
        <v>2</v>
      </c>
      <c r="F448" s="48">
        <v>164954</v>
      </c>
      <c r="G448" s="47"/>
      <c r="H448" s="47"/>
      <c r="I448" s="47">
        <v>15240</v>
      </c>
      <c r="J448" s="47"/>
      <c r="K448" s="47"/>
      <c r="L448" s="47"/>
      <c r="M448" s="47">
        <v>-15240</v>
      </c>
      <c r="N448" s="47"/>
      <c r="O448" s="47"/>
      <c r="P448" s="47"/>
      <c r="Q448" s="560">
        <f t="shared" si="32"/>
        <v>0</v>
      </c>
      <c r="R448" s="648"/>
      <c r="S448" s="648" t="s">
        <v>1066</v>
      </c>
    </row>
    <row r="449" spans="1:19" ht="24" customHeight="1" x14ac:dyDescent="0.2">
      <c r="A449" s="45"/>
      <c r="B449" s="45"/>
      <c r="C449" s="56" t="s">
        <v>902</v>
      </c>
      <c r="D449" s="460" t="s">
        <v>421</v>
      </c>
      <c r="E449" s="439">
        <v>2</v>
      </c>
      <c r="F449" s="46">
        <v>162633</v>
      </c>
      <c r="G449" s="47"/>
      <c r="H449" s="47"/>
      <c r="I449" s="47">
        <v>2857500</v>
      </c>
      <c r="J449" s="47"/>
      <c r="K449" s="47"/>
      <c r="L449" s="47"/>
      <c r="M449" s="47"/>
      <c r="N449" s="47"/>
      <c r="O449" s="47"/>
      <c r="P449" s="47"/>
      <c r="Q449" s="560">
        <f t="shared" si="32"/>
        <v>2857500</v>
      </c>
      <c r="R449" s="648" t="s">
        <v>800</v>
      </c>
      <c r="S449" s="648" t="s">
        <v>1066</v>
      </c>
    </row>
    <row r="450" spans="1:19" ht="43.5" customHeight="1" x14ac:dyDescent="0.2">
      <c r="A450" s="45"/>
      <c r="B450" s="45"/>
      <c r="C450" s="56" t="s">
        <v>903</v>
      </c>
      <c r="D450" s="460" t="s">
        <v>422</v>
      </c>
      <c r="E450" s="439">
        <v>2</v>
      </c>
      <c r="F450" s="46">
        <v>163631</v>
      </c>
      <c r="G450" s="47"/>
      <c r="H450" s="47"/>
      <c r="I450" s="47">
        <v>15240</v>
      </c>
      <c r="J450" s="47"/>
      <c r="K450" s="47"/>
      <c r="L450" s="47">
        <v>-7729282</v>
      </c>
      <c r="M450" s="47">
        <v>7714042</v>
      </c>
      <c r="N450" s="47"/>
      <c r="O450" s="47"/>
      <c r="P450" s="47"/>
      <c r="Q450" s="560">
        <f t="shared" si="32"/>
        <v>0</v>
      </c>
      <c r="R450" s="648" t="s">
        <v>800</v>
      </c>
      <c r="S450" s="648" t="s">
        <v>1066</v>
      </c>
    </row>
    <row r="451" spans="1:19" ht="14.1" customHeight="1" x14ac:dyDescent="0.2">
      <c r="A451" s="227"/>
      <c r="B451" s="227"/>
      <c r="C451" s="228"/>
      <c r="D451" s="40" t="s">
        <v>423</v>
      </c>
      <c r="E451" s="41"/>
      <c r="F451" s="229"/>
      <c r="G451" s="230">
        <f t="shared" ref="G451:R451" si="33">SUM(G336:G450)</f>
        <v>0</v>
      </c>
      <c r="H451" s="230">
        <f t="shared" si="33"/>
        <v>0</v>
      </c>
      <c r="I451" s="230">
        <f t="shared" si="33"/>
        <v>-11174701</v>
      </c>
      <c r="J451" s="230">
        <f t="shared" si="33"/>
        <v>0</v>
      </c>
      <c r="K451" s="230">
        <f t="shared" si="33"/>
        <v>0</v>
      </c>
      <c r="L451" s="230">
        <f t="shared" si="33"/>
        <v>24429388</v>
      </c>
      <c r="M451" s="230">
        <f t="shared" si="33"/>
        <v>20561576</v>
      </c>
      <c r="N451" s="230">
        <f t="shared" si="33"/>
        <v>0</v>
      </c>
      <c r="O451" s="230">
        <f t="shared" si="33"/>
        <v>0</v>
      </c>
      <c r="P451" s="230">
        <f t="shared" si="33"/>
        <v>0</v>
      </c>
      <c r="Q451" s="662">
        <f t="shared" si="33"/>
        <v>33816263</v>
      </c>
      <c r="R451" s="662">
        <f t="shared" si="33"/>
        <v>0</v>
      </c>
      <c r="S451" s="674"/>
    </row>
    <row r="452" spans="1:19" ht="15" customHeight="1" x14ac:dyDescent="0.2">
      <c r="A452" s="45">
        <v>1</v>
      </c>
      <c r="B452" s="45">
        <v>17</v>
      </c>
      <c r="C452" s="56"/>
      <c r="D452" s="53" t="s">
        <v>424</v>
      </c>
      <c r="E452" s="46"/>
      <c r="F452" s="48"/>
      <c r="G452" s="48"/>
      <c r="H452" s="47"/>
      <c r="I452" s="47"/>
      <c r="J452" s="47"/>
      <c r="K452" s="47"/>
      <c r="L452" s="47"/>
      <c r="M452" s="48"/>
      <c r="N452" s="48"/>
      <c r="O452" s="48"/>
      <c r="P452" s="48"/>
      <c r="Q452" s="560"/>
      <c r="R452" s="648"/>
      <c r="S452" s="648"/>
    </row>
    <row r="453" spans="1:19" ht="15" hidden="1" customHeight="1" x14ac:dyDescent="0.2">
      <c r="A453" s="45"/>
      <c r="B453" s="45"/>
      <c r="C453" s="56"/>
      <c r="D453" s="87" t="s">
        <v>172</v>
      </c>
      <c r="E453" s="65"/>
      <c r="F453" s="69"/>
      <c r="G453" s="48"/>
      <c r="H453" s="47"/>
      <c r="I453" s="47"/>
      <c r="J453" s="47"/>
      <c r="K453" s="47"/>
      <c r="L453" s="47"/>
      <c r="M453" s="48"/>
      <c r="N453" s="48"/>
      <c r="O453" s="48"/>
      <c r="P453" s="48"/>
      <c r="Q453" s="560"/>
      <c r="R453" s="648"/>
      <c r="S453" s="648"/>
    </row>
    <row r="454" spans="1:19" ht="15" customHeight="1" x14ac:dyDescent="0.2">
      <c r="A454" s="45"/>
      <c r="B454" s="45"/>
      <c r="C454" s="56"/>
      <c r="D454" s="111" t="s">
        <v>425</v>
      </c>
      <c r="E454" s="48">
        <v>1</v>
      </c>
      <c r="F454" s="48">
        <v>171905</v>
      </c>
      <c r="G454" s="48"/>
      <c r="H454" s="48"/>
      <c r="I454" s="48"/>
      <c r="J454" s="48"/>
      <c r="K454" s="48"/>
      <c r="L454" s="48"/>
      <c r="M454" s="48">
        <v>4740000</v>
      </c>
      <c r="N454" s="48"/>
      <c r="O454" s="48"/>
      <c r="P454" s="48"/>
      <c r="Q454" s="560">
        <f t="shared" ref="Q454:Q462" si="34">SUM(G454:P454)</f>
        <v>4740000</v>
      </c>
      <c r="R454" s="648"/>
      <c r="S454" s="648" t="s">
        <v>1066</v>
      </c>
    </row>
    <row r="455" spans="1:19" ht="15" hidden="1" customHeight="1" x14ac:dyDescent="0.2">
      <c r="A455" s="45"/>
      <c r="B455" s="45"/>
      <c r="C455" s="56"/>
      <c r="D455" s="111" t="s">
        <v>426</v>
      </c>
      <c r="E455" s="69">
        <v>2</v>
      </c>
      <c r="F455" s="48">
        <v>171920</v>
      </c>
      <c r="G455" s="48"/>
      <c r="H455" s="48"/>
      <c r="I455" s="48"/>
      <c r="J455" s="48"/>
      <c r="K455" s="48"/>
      <c r="L455" s="48"/>
      <c r="M455" s="48"/>
      <c r="N455" s="48"/>
      <c r="O455" s="48"/>
      <c r="P455" s="48"/>
      <c r="Q455" s="560">
        <f t="shared" si="34"/>
        <v>0</v>
      </c>
      <c r="R455" s="648"/>
      <c r="S455" s="648"/>
    </row>
    <row r="456" spans="1:19" ht="26.25" hidden="1" customHeight="1" x14ac:dyDescent="0.2">
      <c r="A456" s="45"/>
      <c r="B456" s="45"/>
      <c r="C456" s="56"/>
      <c r="D456" s="149" t="s">
        <v>427</v>
      </c>
      <c r="E456" s="69">
        <v>1</v>
      </c>
      <c r="F456" s="48">
        <v>171956</v>
      </c>
      <c r="G456" s="48"/>
      <c r="H456" s="48"/>
      <c r="I456" s="48"/>
      <c r="J456" s="48"/>
      <c r="K456" s="48"/>
      <c r="L456" s="48"/>
      <c r="M456" s="48"/>
      <c r="N456" s="48"/>
      <c r="O456" s="48"/>
      <c r="P456" s="48"/>
      <c r="Q456" s="560">
        <f t="shared" si="34"/>
        <v>0</v>
      </c>
      <c r="R456" s="648"/>
      <c r="S456" s="648"/>
    </row>
    <row r="457" spans="1:19" ht="15" hidden="1" customHeight="1" x14ac:dyDescent="0.2">
      <c r="A457" s="45"/>
      <c r="B457" s="45"/>
      <c r="C457" s="56"/>
      <c r="D457" s="149" t="s">
        <v>428</v>
      </c>
      <c r="E457" s="69">
        <v>2</v>
      </c>
      <c r="F457" s="48">
        <v>171958</v>
      </c>
      <c r="G457" s="48"/>
      <c r="H457" s="48"/>
      <c r="I457" s="48"/>
      <c r="J457" s="48"/>
      <c r="K457" s="48"/>
      <c r="L457" s="48"/>
      <c r="M457" s="48"/>
      <c r="N457" s="48"/>
      <c r="O457" s="48"/>
      <c r="P457" s="48"/>
      <c r="Q457" s="560">
        <f t="shared" si="34"/>
        <v>0</v>
      </c>
      <c r="R457" s="648"/>
      <c r="S457" s="648"/>
    </row>
    <row r="458" spans="1:19" ht="15" hidden="1" customHeight="1" x14ac:dyDescent="0.2">
      <c r="A458" s="45"/>
      <c r="B458" s="45"/>
      <c r="C458" s="56"/>
      <c r="D458" s="149" t="s">
        <v>429</v>
      </c>
      <c r="E458" s="69">
        <v>2</v>
      </c>
      <c r="F458" s="48">
        <v>171904</v>
      </c>
      <c r="G458" s="48"/>
      <c r="H458" s="48"/>
      <c r="I458" s="48"/>
      <c r="J458" s="48"/>
      <c r="K458" s="48"/>
      <c r="L458" s="48"/>
      <c r="M458" s="48"/>
      <c r="N458" s="48"/>
      <c r="O458" s="48"/>
      <c r="P458" s="48"/>
      <c r="Q458" s="560">
        <f t="shared" si="34"/>
        <v>0</v>
      </c>
      <c r="R458" s="648"/>
      <c r="S458" s="648"/>
    </row>
    <row r="459" spans="1:19" ht="30.75" customHeight="1" x14ac:dyDescent="0.2">
      <c r="A459" s="45"/>
      <c r="B459" s="45"/>
      <c r="C459" s="56"/>
      <c r="D459" s="149" t="s">
        <v>430</v>
      </c>
      <c r="E459" s="48">
        <v>1</v>
      </c>
      <c r="F459" s="48">
        <v>171902</v>
      </c>
      <c r="G459" s="48"/>
      <c r="H459" s="48"/>
      <c r="I459" s="48">
        <v>-2040000</v>
      </c>
      <c r="J459" s="48"/>
      <c r="K459" s="48"/>
      <c r="L459" s="48"/>
      <c r="M459" s="48"/>
      <c r="N459" s="48"/>
      <c r="O459" s="48"/>
      <c r="P459" s="48"/>
      <c r="Q459" s="560">
        <f t="shared" si="34"/>
        <v>-2040000</v>
      </c>
      <c r="R459" s="648"/>
      <c r="S459" s="648" t="s">
        <v>1066</v>
      </c>
    </row>
    <row r="460" spans="1:19" ht="15" hidden="1" customHeight="1" x14ac:dyDescent="0.2">
      <c r="A460" s="45"/>
      <c r="B460" s="45"/>
      <c r="C460" s="56"/>
      <c r="D460" s="111" t="s">
        <v>431</v>
      </c>
      <c r="E460" s="48">
        <v>2</v>
      </c>
      <c r="F460" s="48">
        <v>171925</v>
      </c>
      <c r="G460" s="48"/>
      <c r="H460" s="48"/>
      <c r="I460" s="48"/>
      <c r="J460" s="48"/>
      <c r="K460" s="48"/>
      <c r="L460" s="48"/>
      <c r="M460" s="48"/>
      <c r="N460" s="48"/>
      <c r="O460" s="48"/>
      <c r="P460" s="48"/>
      <c r="Q460" s="560">
        <f t="shared" si="34"/>
        <v>0</v>
      </c>
      <c r="R460" s="648"/>
      <c r="S460" s="648"/>
    </row>
    <row r="461" spans="1:19" ht="23.25" hidden="1" customHeight="1" x14ac:dyDescent="0.2">
      <c r="A461" s="45"/>
      <c r="B461" s="45"/>
      <c r="C461" s="56"/>
      <c r="D461" s="149" t="s">
        <v>735</v>
      </c>
      <c r="E461" s="48">
        <v>1</v>
      </c>
      <c r="F461" s="48">
        <v>171987</v>
      </c>
      <c r="G461" s="48"/>
      <c r="H461" s="48"/>
      <c r="I461" s="48"/>
      <c r="J461" s="48"/>
      <c r="K461" s="48"/>
      <c r="L461" s="48"/>
      <c r="M461" s="48"/>
      <c r="N461" s="48"/>
      <c r="O461" s="48"/>
      <c r="P461" s="48"/>
      <c r="Q461" s="560">
        <f t="shared" si="34"/>
        <v>0</v>
      </c>
      <c r="R461" s="648" t="s">
        <v>797</v>
      </c>
      <c r="S461" s="648"/>
    </row>
    <row r="462" spans="1:19" ht="15" hidden="1" customHeight="1" x14ac:dyDescent="0.2">
      <c r="A462" s="45"/>
      <c r="B462" s="45"/>
      <c r="C462" s="95"/>
      <c r="D462" s="149" t="s">
        <v>804</v>
      </c>
      <c r="E462" s="48">
        <v>2</v>
      </c>
      <c r="F462" s="48">
        <v>172901</v>
      </c>
      <c r="G462" s="48"/>
      <c r="H462" s="48"/>
      <c r="I462" s="48"/>
      <c r="J462" s="48"/>
      <c r="K462" s="48"/>
      <c r="L462" s="48"/>
      <c r="M462" s="48"/>
      <c r="N462" s="48"/>
      <c r="O462" s="48"/>
      <c r="P462" s="48"/>
      <c r="Q462" s="560">
        <f t="shared" si="34"/>
        <v>0</v>
      </c>
      <c r="R462" s="648"/>
      <c r="S462" s="648"/>
    </row>
    <row r="463" spans="1:19" ht="15" hidden="1" customHeight="1" x14ac:dyDescent="0.2">
      <c r="A463" s="45"/>
      <c r="B463" s="45"/>
      <c r="C463" s="45"/>
      <c r="D463" s="468" t="s">
        <v>432</v>
      </c>
      <c r="E463" s="201"/>
      <c r="F463" s="48"/>
      <c r="G463" s="48"/>
      <c r="H463" s="47"/>
      <c r="I463" s="48"/>
      <c r="J463" s="47"/>
      <c r="K463" s="47"/>
      <c r="L463" s="47"/>
      <c r="M463" s="48"/>
      <c r="N463" s="48"/>
      <c r="O463" s="48"/>
      <c r="P463" s="48"/>
      <c r="Q463" s="560"/>
      <c r="R463" s="648"/>
      <c r="S463" s="648"/>
    </row>
    <row r="464" spans="1:19" ht="15" hidden="1" customHeight="1" x14ac:dyDescent="0.2">
      <c r="A464" s="260"/>
      <c r="B464" s="45"/>
      <c r="C464" s="45"/>
      <c r="D464" s="48" t="s">
        <v>904</v>
      </c>
      <c r="E464" s="46">
        <v>1</v>
      </c>
      <c r="F464" s="48">
        <v>171954</v>
      </c>
      <c r="G464" s="48"/>
      <c r="H464" s="48"/>
      <c r="I464" s="48"/>
      <c r="J464" s="48"/>
      <c r="K464" s="48"/>
      <c r="L464" s="48"/>
      <c r="M464" s="48"/>
      <c r="N464" s="48"/>
      <c r="O464" s="48"/>
      <c r="P464" s="48"/>
      <c r="Q464" s="560">
        <f>SUM(G464:P464)</f>
        <v>0</v>
      </c>
      <c r="R464" s="648"/>
      <c r="S464" s="648"/>
    </row>
    <row r="465" spans="1:19" ht="15" customHeight="1" x14ac:dyDescent="0.2">
      <c r="A465" s="136"/>
      <c r="B465" s="136"/>
      <c r="C465" s="231"/>
      <c r="D465" s="232" t="s">
        <v>433</v>
      </c>
      <c r="E465" s="64"/>
      <c r="F465" s="68"/>
      <c r="G465" s="68">
        <f t="shared" ref="G465:R465" si="35">SUM(G453:G464)</f>
        <v>0</v>
      </c>
      <c r="H465" s="68">
        <f t="shared" si="35"/>
        <v>0</v>
      </c>
      <c r="I465" s="68">
        <f t="shared" si="35"/>
        <v>-2040000</v>
      </c>
      <c r="J465" s="68">
        <f t="shared" si="35"/>
        <v>0</v>
      </c>
      <c r="K465" s="68">
        <f t="shared" si="35"/>
        <v>0</v>
      </c>
      <c r="L465" s="68">
        <f t="shared" si="35"/>
        <v>0</v>
      </c>
      <c r="M465" s="68">
        <f t="shared" si="35"/>
        <v>4740000</v>
      </c>
      <c r="N465" s="68">
        <f t="shared" si="35"/>
        <v>0</v>
      </c>
      <c r="O465" s="68">
        <f t="shared" si="35"/>
        <v>0</v>
      </c>
      <c r="P465" s="68">
        <f t="shared" si="35"/>
        <v>0</v>
      </c>
      <c r="Q465" s="650">
        <f t="shared" si="35"/>
        <v>2700000</v>
      </c>
      <c r="R465" s="650">
        <f t="shared" si="35"/>
        <v>0</v>
      </c>
      <c r="S465" s="674"/>
    </row>
    <row r="466" spans="1:19" ht="14.1" hidden="1" customHeight="1" x14ac:dyDescent="0.2">
      <c r="A466" s="51"/>
      <c r="B466" s="51"/>
      <c r="C466" s="77"/>
      <c r="D466" s="223" t="s">
        <v>434</v>
      </c>
      <c r="E466" s="54"/>
      <c r="F466" s="52"/>
      <c r="G466" s="52"/>
      <c r="H466" s="52"/>
      <c r="I466" s="52"/>
      <c r="J466" s="52"/>
      <c r="K466" s="52"/>
      <c r="L466" s="52"/>
      <c r="M466" s="52"/>
      <c r="N466" s="52"/>
      <c r="O466" s="52"/>
      <c r="P466" s="52"/>
      <c r="Q466" s="651"/>
      <c r="R466" s="648"/>
      <c r="S466" s="648"/>
    </row>
    <row r="467" spans="1:19" ht="27" hidden="1" customHeight="1" x14ac:dyDescent="0.2">
      <c r="A467" s="51"/>
      <c r="B467" s="51"/>
      <c r="C467" s="56" t="s">
        <v>83</v>
      </c>
      <c r="D467" s="486" t="s">
        <v>435</v>
      </c>
      <c r="E467" s="486">
        <v>1</v>
      </c>
      <c r="F467" s="233">
        <v>171980</v>
      </c>
      <c r="G467" s="48"/>
      <c r="H467" s="48"/>
      <c r="I467" s="48"/>
      <c r="J467" s="48"/>
      <c r="K467" s="48"/>
      <c r="L467" s="48"/>
      <c r="M467" s="48"/>
      <c r="N467" s="48"/>
      <c r="O467" s="48"/>
      <c r="P467" s="48"/>
      <c r="Q467" s="560">
        <f>SUM(G467:P467)</f>
        <v>0</v>
      </c>
      <c r="R467" s="648"/>
      <c r="S467" s="648"/>
    </row>
    <row r="468" spans="1:19" ht="17.45" hidden="1" customHeight="1" x14ac:dyDescent="0.2">
      <c r="A468" s="51"/>
      <c r="B468" s="51"/>
      <c r="C468" s="56" t="s">
        <v>82</v>
      </c>
      <c r="D468" s="486" t="s">
        <v>736</v>
      </c>
      <c r="E468" s="486">
        <v>2</v>
      </c>
      <c r="F468" s="233">
        <v>162603</v>
      </c>
      <c r="G468" s="48"/>
      <c r="H468" s="48"/>
      <c r="I468" s="48"/>
      <c r="J468" s="48"/>
      <c r="K468" s="48"/>
      <c r="L468" s="48"/>
      <c r="M468" s="48"/>
      <c r="N468" s="48"/>
      <c r="O468" s="48"/>
      <c r="P468" s="48"/>
      <c r="Q468" s="560">
        <f>SUM(G468:P468)</f>
        <v>0</v>
      </c>
      <c r="R468" s="648"/>
      <c r="S468" s="648"/>
    </row>
    <row r="469" spans="1:19" ht="15.95" hidden="1" customHeight="1" x14ac:dyDescent="0.2">
      <c r="A469" s="136"/>
      <c r="B469" s="136"/>
      <c r="C469" s="215"/>
      <c r="D469" s="232" t="s">
        <v>200</v>
      </c>
      <c r="E469" s="64"/>
      <c r="F469" s="68"/>
      <c r="G469" s="68">
        <f>SUM(G465:G468)</f>
        <v>0</v>
      </c>
      <c r="H469" s="68">
        <f t="shared" ref="H469:R469" si="36">SUM(H465:H468)</f>
        <v>0</v>
      </c>
      <c r="I469" s="68">
        <f t="shared" si="36"/>
        <v>-2040000</v>
      </c>
      <c r="J469" s="68">
        <f t="shared" si="36"/>
        <v>0</v>
      </c>
      <c r="K469" s="68">
        <f t="shared" si="36"/>
        <v>0</v>
      </c>
      <c r="L469" s="68">
        <f t="shared" si="36"/>
        <v>0</v>
      </c>
      <c r="M469" s="68">
        <f t="shared" si="36"/>
        <v>4740000</v>
      </c>
      <c r="N469" s="68">
        <f t="shared" si="36"/>
        <v>0</v>
      </c>
      <c r="O469" s="68">
        <f t="shared" si="36"/>
        <v>0</v>
      </c>
      <c r="P469" s="68">
        <f t="shared" si="36"/>
        <v>0</v>
      </c>
      <c r="Q469" s="650">
        <f t="shared" si="36"/>
        <v>2700000</v>
      </c>
      <c r="R469" s="650">
        <f t="shared" si="36"/>
        <v>0</v>
      </c>
      <c r="S469" s="674"/>
    </row>
    <row r="470" spans="1:19" ht="15" customHeight="1" x14ac:dyDescent="0.2">
      <c r="A470" s="45">
        <v>1</v>
      </c>
      <c r="B470" s="45">
        <v>18</v>
      </c>
      <c r="C470" s="56"/>
      <c r="D470" s="53" t="s">
        <v>436</v>
      </c>
      <c r="E470" s="54"/>
      <c r="F470" s="54"/>
      <c r="G470" s="48"/>
      <c r="H470" s="47"/>
      <c r="I470" s="47"/>
      <c r="J470" s="47"/>
      <c r="K470" s="47"/>
      <c r="L470" s="47"/>
      <c r="M470" s="48"/>
      <c r="N470" s="48"/>
      <c r="O470" s="48"/>
      <c r="P470" s="48"/>
      <c r="Q470" s="560"/>
      <c r="R470" s="648"/>
      <c r="S470" s="648"/>
    </row>
    <row r="471" spans="1:19" ht="15.75" hidden="1" customHeight="1" x14ac:dyDescent="0.2">
      <c r="A471" s="45"/>
      <c r="B471" s="45"/>
      <c r="C471" s="56"/>
      <c r="D471" s="61" t="s">
        <v>172</v>
      </c>
      <c r="E471" s="65"/>
      <c r="F471" s="65"/>
      <c r="G471" s="48"/>
      <c r="H471" s="47"/>
      <c r="I471" s="47"/>
      <c r="J471" s="47"/>
      <c r="K471" s="47"/>
      <c r="L471" s="47"/>
      <c r="M471" s="48"/>
      <c r="N471" s="48"/>
      <c r="O471" s="48"/>
      <c r="P471" s="48"/>
      <c r="Q471" s="560"/>
      <c r="R471" s="648"/>
      <c r="S471" s="648"/>
    </row>
    <row r="472" spans="1:19" ht="17.25" hidden="1" customHeight="1" x14ac:dyDescent="0.2">
      <c r="A472" s="45"/>
      <c r="B472" s="45"/>
      <c r="C472" s="56"/>
      <c r="D472" s="61" t="s">
        <v>437</v>
      </c>
      <c r="E472" s="48">
        <v>2</v>
      </c>
      <c r="F472" s="48">
        <v>181905</v>
      </c>
      <c r="G472" s="48"/>
      <c r="H472" s="48"/>
      <c r="I472" s="48"/>
      <c r="J472" s="48"/>
      <c r="K472" s="48"/>
      <c r="L472" s="48"/>
      <c r="M472" s="48"/>
      <c r="N472" s="48"/>
      <c r="O472" s="48"/>
      <c r="P472" s="48"/>
      <c r="Q472" s="560">
        <f>SUM(G472:P472)</f>
        <v>0</v>
      </c>
      <c r="R472" s="648"/>
      <c r="S472" s="648"/>
    </row>
    <row r="473" spans="1:19" ht="43.5" hidden="1" customHeight="1" x14ac:dyDescent="0.2">
      <c r="A473" s="45"/>
      <c r="B473" s="45"/>
      <c r="C473" s="56"/>
      <c r="D473" s="59" t="s">
        <v>438</v>
      </c>
      <c r="E473" s="48">
        <v>1</v>
      </c>
      <c r="F473" s="48" t="s">
        <v>203</v>
      </c>
      <c r="G473" s="48"/>
      <c r="H473" s="48"/>
      <c r="I473" s="48"/>
      <c r="J473" s="48"/>
      <c r="K473" s="48"/>
      <c r="L473" s="48"/>
      <c r="M473" s="48"/>
      <c r="N473" s="48"/>
      <c r="O473" s="48"/>
      <c r="P473" s="48"/>
      <c r="Q473" s="560">
        <f>SUM(G473:P473)</f>
        <v>0</v>
      </c>
      <c r="R473" s="648"/>
      <c r="S473" s="648"/>
    </row>
    <row r="474" spans="1:19" ht="14.1" hidden="1" customHeight="1" x14ac:dyDescent="0.2">
      <c r="A474" s="45"/>
      <c r="B474" s="45"/>
      <c r="C474" s="56"/>
      <c r="D474" s="61" t="s">
        <v>635</v>
      </c>
      <c r="E474" s="48">
        <v>1</v>
      </c>
      <c r="F474" s="48">
        <v>181906</v>
      </c>
      <c r="G474" s="48"/>
      <c r="H474" s="48"/>
      <c r="I474" s="48"/>
      <c r="J474" s="48"/>
      <c r="K474" s="48"/>
      <c r="L474" s="48"/>
      <c r="M474" s="48"/>
      <c r="N474" s="48"/>
      <c r="O474" s="48"/>
      <c r="P474" s="48"/>
      <c r="Q474" s="560">
        <f>SUM(G474:P474)</f>
        <v>0</v>
      </c>
      <c r="R474" s="648"/>
      <c r="S474" s="648"/>
    </row>
    <row r="475" spans="1:19" ht="14.1" hidden="1" customHeight="1" x14ac:dyDescent="0.2">
      <c r="A475" s="45"/>
      <c r="B475" s="45"/>
      <c r="C475" s="56"/>
      <c r="D475" s="61" t="s">
        <v>535</v>
      </c>
      <c r="E475" s="48">
        <v>2</v>
      </c>
      <c r="F475" s="48">
        <v>181915</v>
      </c>
      <c r="G475" s="48"/>
      <c r="H475" s="48"/>
      <c r="I475" s="48"/>
      <c r="J475" s="48"/>
      <c r="K475" s="48"/>
      <c r="L475" s="48"/>
      <c r="M475" s="48"/>
      <c r="N475" s="48"/>
      <c r="O475" s="48"/>
      <c r="P475" s="48"/>
      <c r="Q475" s="560">
        <f>SUM(G475:P475)</f>
        <v>0</v>
      </c>
      <c r="R475" s="648"/>
      <c r="S475" s="648"/>
    </row>
    <row r="476" spans="1:19" ht="15" hidden="1" customHeight="1" x14ac:dyDescent="0.2">
      <c r="A476" s="45"/>
      <c r="B476" s="45"/>
      <c r="C476" s="56"/>
      <c r="D476" s="488" t="s">
        <v>165</v>
      </c>
      <c r="E476" s="487"/>
      <c r="F476" s="57"/>
      <c r="G476" s="48"/>
      <c r="H476" s="48"/>
      <c r="I476" s="48"/>
      <c r="J476" s="48"/>
      <c r="K476" s="48"/>
      <c r="L476" s="48"/>
      <c r="M476" s="48"/>
      <c r="N476" s="48"/>
      <c r="O476" s="48"/>
      <c r="P476" s="48"/>
      <c r="Q476" s="560"/>
      <c r="R476" s="648"/>
      <c r="S476" s="648"/>
    </row>
    <row r="477" spans="1:19" ht="15" customHeight="1" x14ac:dyDescent="0.2">
      <c r="A477" s="45"/>
      <c r="B477" s="45"/>
      <c r="C477" s="56"/>
      <c r="D477" s="61" t="s">
        <v>439</v>
      </c>
      <c r="E477" s="60">
        <v>1</v>
      </c>
      <c r="F477" s="48">
        <v>221950</v>
      </c>
      <c r="G477" s="48">
        <v>3575000</v>
      </c>
      <c r="H477" s="48">
        <v>464750</v>
      </c>
      <c r="I477" s="48"/>
      <c r="J477" s="48"/>
      <c r="K477" s="48"/>
      <c r="L477" s="48"/>
      <c r="M477" s="48"/>
      <c r="N477" s="48"/>
      <c r="O477" s="48"/>
      <c r="P477" s="48"/>
      <c r="Q477" s="654">
        <f>SUM(G477:P477)</f>
        <v>4039750</v>
      </c>
      <c r="R477" s="648"/>
      <c r="S477" s="648" t="s">
        <v>1066</v>
      </c>
    </row>
    <row r="478" spans="1:19" ht="30.6" hidden="1" customHeight="1" x14ac:dyDescent="0.2">
      <c r="A478" s="45"/>
      <c r="B478" s="45"/>
      <c r="C478" s="56"/>
      <c r="D478" s="59" t="s">
        <v>440</v>
      </c>
      <c r="E478" s="69">
        <v>1</v>
      </c>
      <c r="F478" s="48">
        <v>181907</v>
      </c>
      <c r="G478" s="48"/>
      <c r="H478" s="48"/>
      <c r="I478" s="48"/>
      <c r="J478" s="48"/>
      <c r="K478" s="48"/>
      <c r="L478" s="48"/>
      <c r="M478" s="48"/>
      <c r="N478" s="48"/>
      <c r="O478" s="48"/>
      <c r="P478" s="48"/>
      <c r="Q478" s="560">
        <f>SUM(G478:P478)</f>
        <v>0</v>
      </c>
      <c r="R478" s="648"/>
      <c r="S478" s="648"/>
    </row>
    <row r="479" spans="1:19" ht="15" hidden="1" customHeight="1" x14ac:dyDescent="0.2">
      <c r="A479" s="45"/>
      <c r="B479" s="45"/>
      <c r="C479" s="56"/>
      <c r="D479" s="59" t="s">
        <v>636</v>
      </c>
      <c r="E479" s="69">
        <v>1</v>
      </c>
      <c r="F479" s="48">
        <v>181919</v>
      </c>
      <c r="G479" s="48"/>
      <c r="H479" s="48"/>
      <c r="I479" s="48"/>
      <c r="J479" s="48"/>
      <c r="K479" s="48"/>
      <c r="L479" s="48"/>
      <c r="M479" s="48"/>
      <c r="N479" s="48"/>
      <c r="O479" s="48"/>
      <c r="P479" s="48"/>
      <c r="Q479" s="560">
        <f>SUM(G479:P479)</f>
        <v>0</v>
      </c>
      <c r="R479" s="663"/>
      <c r="S479" s="648"/>
    </row>
    <row r="480" spans="1:19" ht="27.75" hidden="1" customHeight="1" x14ac:dyDescent="0.2">
      <c r="A480" s="207"/>
      <c r="B480" s="207"/>
      <c r="C480" s="249"/>
      <c r="D480" s="264" t="s">
        <v>768</v>
      </c>
      <c r="E480" s="265">
        <v>2</v>
      </c>
      <c r="F480" s="202">
        <v>181916</v>
      </c>
      <c r="G480" s="202"/>
      <c r="H480" s="202"/>
      <c r="I480" s="202"/>
      <c r="J480" s="202"/>
      <c r="K480" s="202"/>
      <c r="L480" s="202"/>
      <c r="M480" s="202"/>
      <c r="N480" s="202"/>
      <c r="O480" s="202"/>
      <c r="P480" s="202"/>
      <c r="Q480" s="560">
        <f>SUM(G480:P480)</f>
        <v>0</v>
      </c>
      <c r="R480" s="648"/>
      <c r="S480" s="648"/>
    </row>
    <row r="481" spans="1:19" ht="15.75" hidden="1" customHeight="1" x14ac:dyDescent="0.2">
      <c r="A481" s="45"/>
      <c r="B481" s="45"/>
      <c r="C481" s="56"/>
      <c r="D481" s="468" t="s">
        <v>441</v>
      </c>
      <c r="E481" s="266"/>
      <c r="F481" s="69"/>
      <c r="G481" s="48"/>
      <c r="H481" s="48"/>
      <c r="I481" s="48"/>
      <c r="J481" s="48"/>
      <c r="K481" s="48"/>
      <c r="L481" s="48"/>
      <c r="M481" s="48"/>
      <c r="N481" s="48"/>
      <c r="O481" s="48"/>
      <c r="P481" s="48"/>
      <c r="Q481" s="560"/>
      <c r="R481" s="648"/>
      <c r="S481" s="648"/>
    </row>
    <row r="482" spans="1:19" ht="12.75" hidden="1" customHeight="1" x14ac:dyDescent="0.2">
      <c r="A482" s="45"/>
      <c r="B482" s="45"/>
      <c r="C482" s="56"/>
      <c r="D482" s="59" t="s">
        <v>442</v>
      </c>
      <c r="E482" s="69">
        <v>1</v>
      </c>
      <c r="F482" s="48">
        <v>181909</v>
      </c>
      <c r="G482" s="48"/>
      <c r="H482" s="48"/>
      <c r="I482" s="48"/>
      <c r="J482" s="48"/>
      <c r="K482" s="48"/>
      <c r="L482" s="48"/>
      <c r="M482" s="48"/>
      <c r="N482" s="48"/>
      <c r="O482" s="48"/>
      <c r="P482" s="48"/>
      <c r="Q482" s="560">
        <f>SUM(G482:P482)</f>
        <v>0</v>
      </c>
      <c r="R482" s="648"/>
      <c r="S482" s="648"/>
    </row>
    <row r="483" spans="1:19" ht="27.75" hidden="1" customHeight="1" x14ac:dyDescent="0.2">
      <c r="A483" s="45"/>
      <c r="B483" s="45"/>
      <c r="C483" s="56"/>
      <c r="D483" s="59" t="s">
        <v>737</v>
      </c>
      <c r="E483" s="69">
        <v>1</v>
      </c>
      <c r="F483" s="48">
        <v>181920</v>
      </c>
      <c r="G483" s="48"/>
      <c r="H483" s="48"/>
      <c r="I483" s="48"/>
      <c r="J483" s="48"/>
      <c r="K483" s="48"/>
      <c r="L483" s="48"/>
      <c r="M483" s="48"/>
      <c r="N483" s="48"/>
      <c r="O483" s="48"/>
      <c r="P483" s="48"/>
      <c r="Q483" s="560">
        <f>SUM(G483:P483)</f>
        <v>0</v>
      </c>
      <c r="R483" s="648"/>
      <c r="S483" s="648"/>
    </row>
    <row r="484" spans="1:19" ht="26.25" hidden="1" customHeight="1" x14ac:dyDescent="0.2">
      <c r="A484" s="45"/>
      <c r="B484" s="45"/>
      <c r="C484" s="56"/>
      <c r="D484" s="59" t="s">
        <v>443</v>
      </c>
      <c r="E484" s="57">
        <v>2</v>
      </c>
      <c r="F484" s="58">
        <v>191142</v>
      </c>
      <c r="G484" s="48"/>
      <c r="H484" s="48"/>
      <c r="I484" s="48"/>
      <c r="J484" s="48"/>
      <c r="K484" s="48"/>
      <c r="L484" s="48"/>
      <c r="M484" s="48"/>
      <c r="N484" s="48"/>
      <c r="O484" s="48"/>
      <c r="P484" s="48"/>
      <c r="Q484" s="560">
        <f>SUM(G484:P484)</f>
        <v>0</v>
      </c>
      <c r="R484" s="648"/>
      <c r="S484" s="648"/>
    </row>
    <row r="485" spans="1:19" ht="29.25" hidden="1" customHeight="1" x14ac:dyDescent="0.2">
      <c r="A485" s="45"/>
      <c r="B485" s="45"/>
      <c r="C485" s="56"/>
      <c r="D485" s="59" t="s">
        <v>444</v>
      </c>
      <c r="E485" s="57">
        <v>2</v>
      </c>
      <c r="F485" s="58">
        <v>191154</v>
      </c>
      <c r="G485" s="48"/>
      <c r="H485" s="48"/>
      <c r="I485" s="48"/>
      <c r="J485" s="48"/>
      <c r="K485" s="48"/>
      <c r="L485" s="48"/>
      <c r="M485" s="48"/>
      <c r="N485" s="48"/>
      <c r="O485" s="48"/>
      <c r="P485" s="48"/>
      <c r="Q485" s="560">
        <f>SUM(G485:P485)</f>
        <v>0</v>
      </c>
      <c r="R485" s="648"/>
      <c r="S485" s="648"/>
    </row>
    <row r="486" spans="1:19" ht="27.75" hidden="1" customHeight="1" x14ac:dyDescent="0.2">
      <c r="A486" s="45"/>
      <c r="B486" s="45"/>
      <c r="C486" s="56"/>
      <c r="D486" s="59" t="s">
        <v>664</v>
      </c>
      <c r="E486" s="57">
        <v>2</v>
      </c>
      <c r="F486" s="58">
        <v>191141</v>
      </c>
      <c r="G486" s="48"/>
      <c r="H486" s="48"/>
      <c r="I486" s="48"/>
      <c r="J486" s="48"/>
      <c r="K486" s="48"/>
      <c r="L486" s="48"/>
      <c r="M486" s="48"/>
      <c r="N486" s="48"/>
      <c r="O486" s="48"/>
      <c r="P486" s="48"/>
      <c r="Q486" s="560">
        <f>SUM(G486:P486)</f>
        <v>0</v>
      </c>
      <c r="R486" s="648"/>
      <c r="S486" s="648"/>
    </row>
    <row r="487" spans="1:19" ht="15" hidden="1" customHeight="1" x14ac:dyDescent="0.2">
      <c r="A487" s="45"/>
      <c r="B487" s="45"/>
      <c r="C487" s="56"/>
      <c r="D487" s="489" t="s">
        <v>445</v>
      </c>
      <c r="E487" s="266"/>
      <c r="F487" s="69"/>
      <c r="G487" s="48"/>
      <c r="H487" s="48"/>
      <c r="I487" s="48"/>
      <c r="J487" s="48"/>
      <c r="K487" s="48"/>
      <c r="L487" s="48"/>
      <c r="M487" s="48"/>
      <c r="N487" s="48"/>
      <c r="O487" s="48"/>
      <c r="P487" s="48"/>
      <c r="Q487" s="560"/>
      <c r="R487" s="648"/>
      <c r="S487" s="648"/>
    </row>
    <row r="488" spans="1:19" ht="15" hidden="1" customHeight="1" x14ac:dyDescent="0.2">
      <c r="A488" s="45"/>
      <c r="B488" s="45"/>
      <c r="C488" s="56"/>
      <c r="D488" s="59" t="s">
        <v>769</v>
      </c>
      <c r="E488" s="69">
        <v>1</v>
      </c>
      <c r="F488" s="48">
        <v>181902</v>
      </c>
      <c r="G488" s="48"/>
      <c r="H488" s="48"/>
      <c r="I488" s="48"/>
      <c r="J488" s="48"/>
      <c r="K488" s="48"/>
      <c r="L488" s="48"/>
      <c r="M488" s="48"/>
      <c r="N488" s="48"/>
      <c r="O488" s="48"/>
      <c r="P488" s="48"/>
      <c r="Q488" s="560">
        <f>SUM(G488:P488)</f>
        <v>0</v>
      </c>
      <c r="R488" s="648"/>
      <c r="S488" s="648"/>
    </row>
    <row r="489" spans="1:19" ht="23.25" hidden="1" customHeight="1" x14ac:dyDescent="0.2">
      <c r="A489" s="234"/>
      <c r="B489" s="234"/>
      <c r="C489" s="234"/>
      <c r="D489" s="61" t="s">
        <v>446</v>
      </c>
      <c r="E489" s="48">
        <v>1</v>
      </c>
      <c r="F489" s="48">
        <v>181904</v>
      </c>
      <c r="G489" s="48"/>
      <c r="H489" s="48"/>
      <c r="I489" s="48"/>
      <c r="J489" s="48"/>
      <c r="K489" s="48"/>
      <c r="L489" s="48"/>
      <c r="M489" s="48"/>
      <c r="N489" s="48"/>
      <c r="O489" s="48"/>
      <c r="P489" s="48"/>
      <c r="Q489" s="560">
        <f>SUM(G489:P489)</f>
        <v>0</v>
      </c>
      <c r="R489" s="648"/>
      <c r="S489" s="648"/>
    </row>
    <row r="490" spans="1:19" ht="15" customHeight="1" x14ac:dyDescent="0.2">
      <c r="A490" s="68"/>
      <c r="B490" s="68"/>
      <c r="C490" s="232"/>
      <c r="D490" s="232" t="s">
        <v>447</v>
      </c>
      <c r="E490" s="64"/>
      <c r="F490" s="64"/>
      <c r="G490" s="192">
        <f t="shared" ref="G490:R490" si="37">SUM(G472:G489)</f>
        <v>3575000</v>
      </c>
      <c r="H490" s="192">
        <f t="shared" si="37"/>
        <v>464750</v>
      </c>
      <c r="I490" s="192">
        <f t="shared" si="37"/>
        <v>0</v>
      </c>
      <c r="J490" s="192">
        <f t="shared" si="37"/>
        <v>0</v>
      </c>
      <c r="K490" s="192">
        <f t="shared" si="37"/>
        <v>0</v>
      </c>
      <c r="L490" s="192">
        <f t="shared" si="37"/>
        <v>0</v>
      </c>
      <c r="M490" s="192">
        <f t="shared" si="37"/>
        <v>0</v>
      </c>
      <c r="N490" s="192">
        <f t="shared" si="37"/>
        <v>0</v>
      </c>
      <c r="O490" s="192">
        <f t="shared" si="37"/>
        <v>0</v>
      </c>
      <c r="P490" s="192">
        <f t="shared" si="37"/>
        <v>0</v>
      </c>
      <c r="Q490" s="659">
        <f t="shared" si="37"/>
        <v>4039750</v>
      </c>
      <c r="R490" s="659">
        <f t="shared" si="37"/>
        <v>0</v>
      </c>
      <c r="S490" s="674"/>
    </row>
    <row r="491" spans="1:19" ht="15" hidden="1" customHeight="1" x14ac:dyDescent="0.2">
      <c r="A491" s="52"/>
      <c r="B491" s="52"/>
      <c r="C491" s="53"/>
      <c r="D491" s="223" t="s">
        <v>448</v>
      </c>
      <c r="E491" s="54"/>
      <c r="F491" s="54"/>
      <c r="G491" s="47"/>
      <c r="H491" s="47"/>
      <c r="I491" s="47"/>
      <c r="J491" s="47"/>
      <c r="K491" s="47"/>
      <c r="L491" s="47"/>
      <c r="M491" s="47"/>
      <c r="N491" s="47"/>
      <c r="O491" s="47"/>
      <c r="P491" s="47"/>
      <c r="Q491" s="635"/>
      <c r="R491" s="648"/>
      <c r="S491" s="648"/>
    </row>
    <row r="492" spans="1:19" ht="15" hidden="1" customHeight="1" x14ac:dyDescent="0.2">
      <c r="A492" s="52"/>
      <c r="B492" s="52"/>
      <c r="C492" s="53"/>
      <c r="D492" s="61" t="s">
        <v>746</v>
      </c>
      <c r="E492" s="281"/>
      <c r="F492" s="118"/>
      <c r="G492" s="55"/>
      <c r="H492" s="55"/>
      <c r="I492" s="55"/>
      <c r="J492" s="55"/>
      <c r="K492" s="55"/>
      <c r="L492" s="55"/>
      <c r="M492" s="55"/>
      <c r="N492" s="55"/>
      <c r="O492" s="55"/>
      <c r="P492" s="55"/>
      <c r="Q492" s="635"/>
      <c r="R492" s="648"/>
      <c r="S492" s="648"/>
    </row>
    <row r="493" spans="1:19" ht="30" hidden="1" customHeight="1" x14ac:dyDescent="0.2">
      <c r="A493" s="52"/>
      <c r="B493" s="52"/>
      <c r="C493" s="45" t="s">
        <v>253</v>
      </c>
      <c r="D493" s="460" t="s">
        <v>738</v>
      </c>
      <c r="E493" s="439">
        <v>1</v>
      </c>
      <c r="F493" s="201">
        <v>184902</v>
      </c>
      <c r="G493" s="318"/>
      <c r="H493" s="318"/>
      <c r="I493" s="318"/>
      <c r="J493" s="318"/>
      <c r="K493" s="318"/>
      <c r="L493" s="318"/>
      <c r="M493" s="318"/>
      <c r="N493" s="318"/>
      <c r="O493" s="318"/>
      <c r="P493" s="318"/>
      <c r="Q493" s="635">
        <f>SUM(G493:P493)</f>
        <v>0</v>
      </c>
      <c r="R493" s="648"/>
      <c r="S493" s="648"/>
    </row>
    <row r="494" spans="1:19" ht="15.6" hidden="1" customHeight="1" x14ac:dyDescent="0.2">
      <c r="A494" s="52"/>
      <c r="B494" s="52"/>
      <c r="C494" s="45" t="s">
        <v>255</v>
      </c>
      <c r="D494" s="439" t="s">
        <v>449</v>
      </c>
      <c r="E494" s="439">
        <v>2</v>
      </c>
      <c r="F494" s="490">
        <v>182905</v>
      </c>
      <c r="G494" s="318"/>
      <c r="H494" s="318"/>
      <c r="I494" s="318"/>
      <c r="J494" s="318"/>
      <c r="K494" s="318"/>
      <c r="L494" s="318"/>
      <c r="M494" s="318"/>
      <c r="N494" s="318"/>
      <c r="O494" s="318"/>
      <c r="P494" s="318"/>
      <c r="Q494" s="635">
        <f>SUM(G494:P494)</f>
        <v>0</v>
      </c>
      <c r="R494" s="648"/>
      <c r="S494" s="648"/>
    </row>
    <row r="495" spans="1:19" ht="15" hidden="1" customHeight="1" x14ac:dyDescent="0.2">
      <c r="A495" s="68"/>
      <c r="B495" s="68"/>
      <c r="C495" s="232"/>
      <c r="D495" s="232" t="s">
        <v>450</v>
      </c>
      <c r="E495" s="64"/>
      <c r="F495" s="64"/>
      <c r="G495" s="192">
        <f t="shared" ref="G495:R495" si="38">SUM(G490:G494)</f>
        <v>3575000</v>
      </c>
      <c r="H495" s="192">
        <f t="shared" si="38"/>
        <v>464750</v>
      </c>
      <c r="I495" s="192">
        <f t="shared" si="38"/>
        <v>0</v>
      </c>
      <c r="J495" s="192">
        <f t="shared" si="38"/>
        <v>0</v>
      </c>
      <c r="K495" s="192">
        <f t="shared" si="38"/>
        <v>0</v>
      </c>
      <c r="L495" s="192">
        <f t="shared" si="38"/>
        <v>0</v>
      </c>
      <c r="M495" s="192">
        <f t="shared" si="38"/>
        <v>0</v>
      </c>
      <c r="N495" s="192">
        <f t="shared" si="38"/>
        <v>0</v>
      </c>
      <c r="O495" s="192">
        <f t="shared" si="38"/>
        <v>0</v>
      </c>
      <c r="P495" s="192">
        <f t="shared" si="38"/>
        <v>0</v>
      </c>
      <c r="Q495" s="659">
        <f t="shared" si="38"/>
        <v>4039750</v>
      </c>
      <c r="R495" s="659">
        <f t="shared" si="38"/>
        <v>0</v>
      </c>
      <c r="S495" s="648"/>
    </row>
    <row r="496" spans="1:19" ht="15" hidden="1" customHeight="1" x14ac:dyDescent="0.2">
      <c r="A496" s="45">
        <v>1</v>
      </c>
      <c r="B496" s="45">
        <v>19</v>
      </c>
      <c r="C496" s="56"/>
      <c r="D496" s="53" t="s">
        <v>451</v>
      </c>
      <c r="E496" s="46"/>
      <c r="F496" s="46"/>
      <c r="G496" s="48"/>
      <c r="H496" s="47"/>
      <c r="I496" s="47"/>
      <c r="J496" s="47"/>
      <c r="K496" s="47"/>
      <c r="L496" s="47"/>
      <c r="M496" s="48"/>
      <c r="N496" s="48"/>
      <c r="O496" s="48"/>
      <c r="P496" s="48"/>
      <c r="Q496" s="560"/>
      <c r="R496" s="648"/>
      <c r="S496" s="648"/>
    </row>
    <row r="497" spans="1:19" ht="15" hidden="1" customHeight="1" x14ac:dyDescent="0.2">
      <c r="A497" s="45"/>
      <c r="B497" s="45"/>
      <c r="C497" s="56"/>
      <c r="D497" s="62" t="s">
        <v>452</v>
      </c>
      <c r="E497" s="65"/>
      <c r="F497" s="65"/>
      <c r="G497" s="48"/>
      <c r="H497" s="47"/>
      <c r="I497" s="47"/>
      <c r="J497" s="47"/>
      <c r="K497" s="47"/>
      <c r="L497" s="47"/>
      <c r="M497" s="48"/>
      <c r="N497" s="48"/>
      <c r="O497" s="48"/>
      <c r="P497" s="48"/>
      <c r="Q497" s="560"/>
      <c r="R497" s="648"/>
      <c r="S497" s="648"/>
    </row>
    <row r="498" spans="1:19" ht="15" hidden="1" customHeight="1" x14ac:dyDescent="0.2">
      <c r="A498" s="45"/>
      <c r="B498" s="45"/>
      <c r="C498" s="56"/>
      <c r="D498" s="61" t="s">
        <v>770</v>
      </c>
      <c r="E498" s="69">
        <v>1</v>
      </c>
      <c r="F498" s="48">
        <v>191101</v>
      </c>
      <c r="G498" s="48"/>
      <c r="H498" s="48"/>
      <c r="I498" s="48"/>
      <c r="J498" s="48"/>
      <c r="K498" s="48"/>
      <c r="L498" s="48"/>
      <c r="M498" s="48"/>
      <c r="N498" s="48"/>
      <c r="O498" s="48"/>
      <c r="P498" s="48"/>
      <c r="Q498" s="560">
        <f>SUM(G498:P498)</f>
        <v>0</v>
      </c>
      <c r="R498" s="648"/>
      <c r="S498" s="648"/>
    </row>
    <row r="499" spans="1:19" ht="15" hidden="1" customHeight="1" x14ac:dyDescent="0.2">
      <c r="A499" s="45"/>
      <c r="B499" s="45"/>
      <c r="C499" s="56"/>
      <c r="D499" s="61" t="s">
        <v>771</v>
      </c>
      <c r="E499" s="69">
        <v>1</v>
      </c>
      <c r="F499" s="48">
        <v>191901</v>
      </c>
      <c r="G499" s="48"/>
      <c r="H499" s="48"/>
      <c r="I499" s="48"/>
      <c r="J499" s="48"/>
      <c r="K499" s="48"/>
      <c r="L499" s="48"/>
      <c r="M499" s="48"/>
      <c r="N499" s="48"/>
      <c r="O499" s="48"/>
      <c r="P499" s="48"/>
      <c r="Q499" s="560">
        <f>SUM(G499:P499)</f>
        <v>0</v>
      </c>
      <c r="R499" s="648"/>
      <c r="S499" s="648"/>
    </row>
    <row r="500" spans="1:19" ht="15" hidden="1" customHeight="1" x14ac:dyDescent="0.2">
      <c r="A500" s="45"/>
      <c r="B500" s="45"/>
      <c r="C500" s="56"/>
      <c r="D500" s="61" t="s">
        <v>453</v>
      </c>
      <c r="E500" s="69">
        <v>1</v>
      </c>
      <c r="F500" s="48">
        <v>191901</v>
      </c>
      <c r="G500" s="48"/>
      <c r="H500" s="48"/>
      <c r="I500" s="48"/>
      <c r="J500" s="48"/>
      <c r="K500" s="48"/>
      <c r="L500" s="48"/>
      <c r="M500" s="48"/>
      <c r="N500" s="48"/>
      <c r="O500" s="48"/>
      <c r="P500" s="48"/>
      <c r="Q500" s="560">
        <f>SUM(G500:P500)</f>
        <v>0</v>
      </c>
      <c r="R500" s="652">
        <f>Q500</f>
        <v>0</v>
      </c>
      <c r="S500" s="648"/>
    </row>
    <row r="501" spans="1:19" ht="15" hidden="1" customHeight="1" x14ac:dyDescent="0.2">
      <c r="A501" s="45"/>
      <c r="B501" s="45"/>
      <c r="C501" s="56"/>
      <c r="D501" s="488" t="s">
        <v>165</v>
      </c>
      <c r="E501" s="487"/>
      <c r="F501" s="57"/>
      <c r="G501" s="48"/>
      <c r="H501" s="48"/>
      <c r="I501" s="48"/>
      <c r="J501" s="48"/>
      <c r="K501" s="48"/>
      <c r="L501" s="48"/>
      <c r="M501" s="48"/>
      <c r="N501" s="48"/>
      <c r="O501" s="48"/>
      <c r="P501" s="48"/>
      <c r="Q501" s="560"/>
      <c r="R501" s="648"/>
      <c r="S501" s="648"/>
    </row>
    <row r="502" spans="1:19" ht="15" hidden="1" customHeight="1" x14ac:dyDescent="0.2">
      <c r="A502" s="45"/>
      <c r="B502" s="45"/>
      <c r="C502" s="56"/>
      <c r="D502" s="61" t="s">
        <v>613</v>
      </c>
      <c r="E502" s="69">
        <v>1</v>
      </c>
      <c r="F502" s="48">
        <v>191102</v>
      </c>
      <c r="G502" s="48"/>
      <c r="H502" s="48"/>
      <c r="I502" s="48"/>
      <c r="J502" s="48"/>
      <c r="K502" s="48"/>
      <c r="L502" s="48"/>
      <c r="M502" s="48"/>
      <c r="N502" s="48"/>
      <c r="O502" s="48"/>
      <c r="P502" s="48"/>
      <c r="Q502" s="560">
        <f t="shared" ref="Q502:Q505" si="39">SUM(G502:P502)</f>
        <v>0</v>
      </c>
      <c r="R502" s="648"/>
      <c r="S502" s="648"/>
    </row>
    <row r="503" spans="1:19" ht="15" hidden="1" customHeight="1" x14ac:dyDescent="0.2">
      <c r="A503" s="45"/>
      <c r="B503" s="45"/>
      <c r="C503" s="56"/>
      <c r="D503" s="61" t="s">
        <v>454</v>
      </c>
      <c r="E503" s="48">
        <v>1</v>
      </c>
      <c r="F503" s="48">
        <v>191103</v>
      </c>
      <c r="G503" s="48"/>
      <c r="H503" s="48"/>
      <c r="I503" s="48"/>
      <c r="J503" s="48"/>
      <c r="K503" s="48"/>
      <c r="L503" s="48"/>
      <c r="M503" s="48"/>
      <c r="N503" s="48"/>
      <c r="O503" s="48"/>
      <c r="P503" s="48"/>
      <c r="Q503" s="560">
        <f t="shared" si="39"/>
        <v>0</v>
      </c>
      <c r="R503" s="648"/>
      <c r="S503" s="648"/>
    </row>
    <row r="504" spans="1:19" ht="15" hidden="1" customHeight="1" x14ac:dyDescent="0.2">
      <c r="A504" s="45"/>
      <c r="B504" s="45"/>
      <c r="C504" s="56"/>
      <c r="D504" s="61" t="s">
        <v>455</v>
      </c>
      <c r="E504" s="48">
        <v>1</v>
      </c>
      <c r="F504" s="48">
        <v>191105</v>
      </c>
      <c r="G504" s="48"/>
      <c r="H504" s="48"/>
      <c r="I504" s="48"/>
      <c r="J504" s="48"/>
      <c r="K504" s="48"/>
      <c r="L504" s="48"/>
      <c r="M504" s="48"/>
      <c r="N504" s="48"/>
      <c r="O504" s="48"/>
      <c r="P504" s="48"/>
      <c r="Q504" s="560">
        <f t="shared" si="39"/>
        <v>0</v>
      </c>
      <c r="R504" s="648"/>
      <c r="S504" s="648"/>
    </row>
    <row r="505" spans="1:19" ht="15" hidden="1" customHeight="1" x14ac:dyDescent="0.2">
      <c r="A505" s="45"/>
      <c r="B505" s="45"/>
      <c r="C505" s="56"/>
      <c r="D505" s="61" t="s">
        <v>456</v>
      </c>
      <c r="E505" s="48">
        <v>1</v>
      </c>
      <c r="F505" s="48">
        <v>196901</v>
      </c>
      <c r="G505" s="48"/>
      <c r="H505" s="48"/>
      <c r="I505" s="48"/>
      <c r="J505" s="48"/>
      <c r="K505" s="48"/>
      <c r="L505" s="48"/>
      <c r="M505" s="48"/>
      <c r="N505" s="48"/>
      <c r="O505" s="48"/>
      <c r="P505" s="48"/>
      <c r="Q505" s="560">
        <f t="shared" si="39"/>
        <v>0</v>
      </c>
      <c r="R505" s="648"/>
      <c r="S505" s="648"/>
    </row>
    <row r="506" spans="1:19" ht="15" hidden="1" customHeight="1" x14ac:dyDescent="0.2">
      <c r="A506" s="45"/>
      <c r="B506" s="45"/>
      <c r="C506" s="56"/>
      <c r="D506" s="468" t="s">
        <v>172</v>
      </c>
      <c r="E506" s="201"/>
      <c r="F506" s="48"/>
      <c r="G506" s="48"/>
      <c r="H506" s="48"/>
      <c r="I506" s="48"/>
      <c r="J506" s="48"/>
      <c r="K506" s="48"/>
      <c r="L506" s="48"/>
      <c r="M506" s="48"/>
      <c r="N506" s="48"/>
      <c r="O506" s="48"/>
      <c r="P506" s="48"/>
      <c r="Q506" s="560"/>
      <c r="R506" s="648"/>
      <c r="S506" s="648"/>
    </row>
    <row r="507" spans="1:19" ht="15" hidden="1" customHeight="1" x14ac:dyDescent="0.2">
      <c r="A507" s="45"/>
      <c r="B507" s="45"/>
      <c r="C507" s="56"/>
      <c r="D507" s="61" t="s">
        <v>457</v>
      </c>
      <c r="E507" s="48">
        <v>1</v>
      </c>
      <c r="F507" s="48">
        <v>191104</v>
      </c>
      <c r="G507" s="48"/>
      <c r="H507" s="48"/>
      <c r="I507" s="48"/>
      <c r="J507" s="48"/>
      <c r="K507" s="48"/>
      <c r="L507" s="48"/>
      <c r="M507" s="48"/>
      <c r="N507" s="48"/>
      <c r="O507" s="48"/>
      <c r="P507" s="48"/>
      <c r="Q507" s="560">
        <f>SUM(G507:P507)</f>
        <v>0</v>
      </c>
      <c r="R507" s="648"/>
      <c r="S507" s="648"/>
    </row>
    <row r="508" spans="1:19" ht="44.25" hidden="1" customHeight="1" x14ac:dyDescent="0.2">
      <c r="A508" s="438"/>
      <c r="B508" s="438"/>
      <c r="C508" s="466"/>
      <c r="D508" s="489" t="s">
        <v>952</v>
      </c>
      <c r="E508" s="201">
        <v>1</v>
      </c>
      <c r="F508" s="439">
        <v>191149</v>
      </c>
      <c r="G508" s="439"/>
      <c r="H508" s="439"/>
      <c r="I508" s="439"/>
      <c r="J508" s="439"/>
      <c r="K508" s="439"/>
      <c r="L508" s="439"/>
      <c r="M508" s="439"/>
      <c r="N508" s="439"/>
      <c r="O508" s="439"/>
      <c r="P508" s="439"/>
      <c r="Q508" s="560">
        <f>SUM(G508:P508)</f>
        <v>0</v>
      </c>
      <c r="R508" s="648"/>
      <c r="S508" s="648"/>
    </row>
    <row r="509" spans="1:19" ht="14.1" hidden="1" customHeight="1" x14ac:dyDescent="0.2">
      <c r="A509" s="45"/>
      <c r="B509" s="45"/>
      <c r="C509" s="56"/>
      <c r="D509" s="468" t="s">
        <v>458</v>
      </c>
      <c r="E509" s="201"/>
      <c r="F509" s="48"/>
      <c r="G509" s="48"/>
      <c r="H509" s="48"/>
      <c r="I509" s="48"/>
      <c r="J509" s="48"/>
      <c r="K509" s="48"/>
      <c r="L509" s="48"/>
      <c r="M509" s="48"/>
      <c r="N509" s="48"/>
      <c r="O509" s="48"/>
      <c r="P509" s="48"/>
      <c r="Q509" s="560"/>
      <c r="R509" s="648"/>
      <c r="S509" s="648"/>
    </row>
    <row r="510" spans="1:19" ht="14.1" hidden="1" customHeight="1" x14ac:dyDescent="0.2">
      <c r="A510" s="45"/>
      <c r="B510" s="45"/>
      <c r="C510" s="56"/>
      <c r="D510" s="61" t="s">
        <v>459</v>
      </c>
      <c r="E510" s="48">
        <v>2</v>
      </c>
      <c r="F510" s="48">
        <v>191109</v>
      </c>
      <c r="G510" s="48"/>
      <c r="H510" s="48"/>
      <c r="I510" s="48"/>
      <c r="J510" s="48"/>
      <c r="K510" s="48"/>
      <c r="L510" s="48"/>
      <c r="M510" s="48"/>
      <c r="N510" s="48"/>
      <c r="O510" s="48"/>
      <c r="P510" s="48"/>
      <c r="Q510" s="560">
        <f>SUM(G510:P510)</f>
        <v>0</v>
      </c>
      <c r="R510" s="648"/>
      <c r="S510" s="648"/>
    </row>
    <row r="511" spans="1:19" ht="14.1" hidden="1" customHeight="1" x14ac:dyDescent="0.2">
      <c r="A511" s="45"/>
      <c r="B511" s="45"/>
      <c r="C511" s="56"/>
      <c r="D511" s="61" t="s">
        <v>631</v>
      </c>
      <c r="E511" s="48">
        <v>2</v>
      </c>
      <c r="F511" s="48">
        <v>191146</v>
      </c>
      <c r="G511" s="48"/>
      <c r="H511" s="48"/>
      <c r="I511" s="48"/>
      <c r="J511" s="48"/>
      <c r="K511" s="48"/>
      <c r="L511" s="48"/>
      <c r="M511" s="48"/>
      <c r="N511" s="48"/>
      <c r="O511" s="48"/>
      <c r="P511" s="48"/>
      <c r="Q511" s="560">
        <f>SUM(G511:P511)</f>
        <v>0</v>
      </c>
      <c r="R511" s="648"/>
      <c r="S511" s="648"/>
    </row>
    <row r="512" spans="1:19" ht="15" hidden="1" customHeight="1" x14ac:dyDescent="0.2">
      <c r="A512" s="45"/>
      <c r="B512" s="45"/>
      <c r="C512" s="56"/>
      <c r="D512" s="87" t="s">
        <v>165</v>
      </c>
      <c r="E512" s="57"/>
      <c r="F512" s="57"/>
      <c r="G512" s="48"/>
      <c r="H512" s="48"/>
      <c r="I512" s="48"/>
      <c r="J512" s="48"/>
      <c r="K512" s="48"/>
      <c r="L512" s="48"/>
      <c r="M512" s="48"/>
      <c r="N512" s="48"/>
      <c r="O512" s="48"/>
      <c r="P512" s="48"/>
      <c r="Q512" s="560"/>
      <c r="R512" s="648"/>
      <c r="S512" s="648"/>
    </row>
    <row r="513" spans="1:19" ht="17.25" hidden="1" customHeight="1" x14ac:dyDescent="0.2">
      <c r="A513" s="45"/>
      <c r="B513" s="45"/>
      <c r="C513" s="56"/>
      <c r="D513" s="67" t="s">
        <v>461</v>
      </c>
      <c r="E513" s="69">
        <v>1</v>
      </c>
      <c r="F513" s="48">
        <v>191905</v>
      </c>
      <c r="G513" s="48"/>
      <c r="H513" s="48"/>
      <c r="I513" s="48"/>
      <c r="J513" s="48"/>
      <c r="K513" s="48"/>
      <c r="L513" s="48"/>
      <c r="M513" s="48"/>
      <c r="N513" s="48"/>
      <c r="O513" s="48"/>
      <c r="P513" s="48"/>
      <c r="Q513" s="560">
        <f>SUM(G513:P513)</f>
        <v>0</v>
      </c>
      <c r="R513" s="648"/>
      <c r="S513" s="648"/>
    </row>
    <row r="514" spans="1:19" ht="16.149999999999999" hidden="1" customHeight="1" x14ac:dyDescent="0.2">
      <c r="A514" s="45"/>
      <c r="B514" s="45"/>
      <c r="C514" s="56"/>
      <c r="D514" s="61" t="s">
        <v>772</v>
      </c>
      <c r="E514" s="48">
        <v>1</v>
      </c>
      <c r="F514" s="48">
        <v>191121</v>
      </c>
      <c r="G514" s="48"/>
      <c r="H514" s="48"/>
      <c r="I514" s="48"/>
      <c r="J514" s="48"/>
      <c r="K514" s="48"/>
      <c r="L514" s="48"/>
      <c r="M514" s="48"/>
      <c r="N514" s="48"/>
      <c r="O514" s="48"/>
      <c r="P514" s="48"/>
      <c r="Q514" s="560">
        <f>SUM(G514:P514)</f>
        <v>0</v>
      </c>
      <c r="R514" s="648"/>
      <c r="S514" s="648"/>
    </row>
    <row r="515" spans="1:19" ht="21" hidden="1" customHeight="1" x14ac:dyDescent="0.2">
      <c r="A515" s="45"/>
      <c r="B515" s="45"/>
      <c r="C515" s="56"/>
      <c r="D515" s="59" t="s">
        <v>208</v>
      </c>
      <c r="E515" s="57"/>
      <c r="F515" s="57"/>
      <c r="G515" s="48"/>
      <c r="H515" s="48"/>
      <c r="I515" s="48"/>
      <c r="J515" s="48"/>
      <c r="K515" s="48"/>
      <c r="L515" s="48"/>
      <c r="M515" s="48"/>
      <c r="N515" s="48"/>
      <c r="O515" s="48"/>
      <c r="P515" s="48"/>
      <c r="Q515" s="560"/>
      <c r="R515" s="648"/>
      <c r="S515" s="648"/>
    </row>
    <row r="516" spans="1:19" ht="26.25" hidden="1" customHeight="1" x14ac:dyDescent="0.2">
      <c r="A516" s="45"/>
      <c r="B516" s="45"/>
      <c r="C516" s="56"/>
      <c r="D516" s="59" t="s">
        <v>462</v>
      </c>
      <c r="E516" s="57">
        <v>1</v>
      </c>
      <c r="F516" s="58">
        <v>191152</v>
      </c>
      <c r="G516" s="48"/>
      <c r="H516" s="48"/>
      <c r="I516" s="48"/>
      <c r="J516" s="48"/>
      <c r="K516" s="48"/>
      <c r="L516" s="48"/>
      <c r="M516" s="48"/>
      <c r="N516" s="48"/>
      <c r="O516" s="48"/>
      <c r="P516" s="48"/>
      <c r="Q516" s="560">
        <f>SUM(G516:P516)</f>
        <v>0</v>
      </c>
      <c r="R516" s="648" t="s">
        <v>773</v>
      </c>
      <c r="S516" s="648"/>
    </row>
    <row r="517" spans="1:19" ht="18.75" hidden="1" customHeight="1" x14ac:dyDescent="0.2">
      <c r="A517" s="634"/>
      <c r="B517" s="634"/>
      <c r="C517" s="466"/>
      <c r="D517" s="489" t="s">
        <v>1033</v>
      </c>
      <c r="E517" s="713">
        <v>1</v>
      </c>
      <c r="F517" s="714">
        <v>191150</v>
      </c>
      <c r="G517" s="560"/>
      <c r="H517" s="560"/>
      <c r="I517" s="560"/>
      <c r="J517" s="560"/>
      <c r="K517" s="560"/>
      <c r="L517" s="560"/>
      <c r="M517" s="560"/>
      <c r="N517" s="560"/>
      <c r="O517" s="560"/>
      <c r="P517" s="560"/>
      <c r="Q517" s="560">
        <f>SUM(G517:P517)</f>
        <v>0</v>
      </c>
      <c r="R517" s="648"/>
      <c r="S517" s="648"/>
    </row>
    <row r="518" spans="1:19" ht="21.75" hidden="1" customHeight="1" x14ac:dyDescent="0.2">
      <c r="A518" s="45"/>
      <c r="B518" s="45"/>
      <c r="C518" s="56"/>
      <c r="D518" s="58" t="s">
        <v>614</v>
      </c>
      <c r="E518" s="57">
        <v>2</v>
      </c>
      <c r="F518" s="58">
        <v>196919</v>
      </c>
      <c r="G518" s="48"/>
      <c r="H518" s="48"/>
      <c r="I518" s="48"/>
      <c r="J518" s="48"/>
      <c r="K518" s="48"/>
      <c r="L518" s="48"/>
      <c r="M518" s="48"/>
      <c r="N518" s="48"/>
      <c r="O518" s="48"/>
      <c r="P518" s="48"/>
      <c r="Q518" s="560">
        <f>SUM(G518:P518)</f>
        <v>0</v>
      </c>
      <c r="R518" s="648"/>
      <c r="S518" s="648"/>
    </row>
    <row r="519" spans="1:19" ht="17.100000000000001" hidden="1" customHeight="1" x14ac:dyDescent="0.2">
      <c r="A519" s="45"/>
      <c r="B519" s="45"/>
      <c r="C519" s="56"/>
      <c r="D519" s="61" t="s">
        <v>463</v>
      </c>
      <c r="E519" s="48"/>
      <c r="F519" s="235"/>
      <c r="G519" s="48"/>
      <c r="H519" s="48"/>
      <c r="I519" s="48"/>
      <c r="J519" s="48"/>
      <c r="K519" s="48"/>
      <c r="L519" s="48"/>
      <c r="M519" s="48"/>
      <c r="N519" s="48"/>
      <c r="O519" s="48"/>
      <c r="P519" s="48"/>
      <c r="Q519" s="560"/>
      <c r="R519" s="648"/>
      <c r="S519" s="648"/>
    </row>
    <row r="520" spans="1:19" ht="17.100000000000001" hidden="1" customHeight="1" x14ac:dyDescent="0.2">
      <c r="A520" s="45"/>
      <c r="B520" s="45"/>
      <c r="C520" s="56"/>
      <c r="D520" s="61" t="s">
        <v>464</v>
      </c>
      <c r="E520" s="48">
        <v>2</v>
      </c>
      <c r="F520" s="236" t="s">
        <v>465</v>
      </c>
      <c r="G520" s="48"/>
      <c r="H520" s="48"/>
      <c r="I520" s="48"/>
      <c r="J520" s="48"/>
      <c r="K520" s="48"/>
      <c r="L520" s="48"/>
      <c r="M520" s="48"/>
      <c r="N520" s="48"/>
      <c r="O520" s="48"/>
      <c r="P520" s="48"/>
      <c r="Q520" s="560">
        <f>SUM(G520:P520)</f>
        <v>0</v>
      </c>
      <c r="R520" s="648"/>
      <c r="S520" s="648"/>
    </row>
    <row r="521" spans="1:19" ht="17.100000000000001" hidden="1" customHeight="1" x14ac:dyDescent="0.2">
      <c r="A521" s="136"/>
      <c r="B521" s="136"/>
      <c r="C521" s="215"/>
      <c r="D521" s="232" t="s">
        <v>466</v>
      </c>
      <c r="E521" s="64"/>
      <c r="F521" s="64"/>
      <c r="G521" s="68">
        <f t="shared" ref="G521:R521" si="40">SUM(G496:G520)</f>
        <v>0</v>
      </c>
      <c r="H521" s="68">
        <f t="shared" si="40"/>
        <v>0</v>
      </c>
      <c r="I521" s="68">
        <f t="shared" si="40"/>
        <v>0</v>
      </c>
      <c r="J521" s="68">
        <f t="shared" si="40"/>
        <v>0</v>
      </c>
      <c r="K521" s="68">
        <f t="shared" si="40"/>
        <v>0</v>
      </c>
      <c r="L521" s="68">
        <f t="shared" si="40"/>
        <v>0</v>
      </c>
      <c r="M521" s="68">
        <f t="shared" si="40"/>
        <v>0</v>
      </c>
      <c r="N521" s="68">
        <f t="shared" si="40"/>
        <v>0</v>
      </c>
      <c r="O521" s="68">
        <f t="shared" si="40"/>
        <v>0</v>
      </c>
      <c r="P521" s="68">
        <f t="shared" si="40"/>
        <v>0</v>
      </c>
      <c r="Q521" s="650">
        <f t="shared" si="40"/>
        <v>0</v>
      </c>
      <c r="R521" s="650">
        <f t="shared" si="40"/>
        <v>0</v>
      </c>
      <c r="S521" s="674"/>
    </row>
    <row r="522" spans="1:19" ht="17.100000000000001" hidden="1" customHeight="1" x14ac:dyDescent="0.2">
      <c r="A522" s="51"/>
      <c r="B522" s="51"/>
      <c r="C522" s="77"/>
      <c r="D522" s="223" t="s">
        <v>448</v>
      </c>
      <c r="E522" s="54"/>
      <c r="F522" s="54"/>
      <c r="G522" s="52"/>
      <c r="H522" s="52"/>
      <c r="I522" s="52"/>
      <c r="J522" s="52"/>
      <c r="K522" s="52"/>
      <c r="L522" s="52"/>
      <c r="M522" s="52"/>
      <c r="N522" s="52"/>
      <c r="O522" s="52"/>
      <c r="P522" s="52"/>
      <c r="Q522" s="651"/>
      <c r="R522" s="648"/>
      <c r="S522" s="648"/>
    </row>
    <row r="523" spans="1:19" ht="30.75" hidden="1" customHeight="1" x14ac:dyDescent="0.2">
      <c r="A523" s="51"/>
      <c r="B523" s="45"/>
      <c r="C523" s="56" t="s">
        <v>83</v>
      </c>
      <c r="D523" s="460" t="s">
        <v>739</v>
      </c>
      <c r="E523" s="439">
        <v>2</v>
      </c>
      <c r="F523" s="46">
        <v>192909</v>
      </c>
      <c r="G523" s="48"/>
      <c r="H523" s="48"/>
      <c r="I523" s="48"/>
      <c r="J523" s="48"/>
      <c r="K523" s="48"/>
      <c r="L523" s="48"/>
      <c r="M523" s="48"/>
      <c r="N523" s="48"/>
      <c r="O523" s="48"/>
      <c r="P523" s="48"/>
      <c r="Q523" s="560">
        <f>SUM(G523:P523)</f>
        <v>0</v>
      </c>
      <c r="R523" s="648"/>
      <c r="S523" s="648"/>
    </row>
    <row r="524" spans="1:19" ht="17.100000000000001" hidden="1" customHeight="1" x14ac:dyDescent="0.2">
      <c r="A524" s="136"/>
      <c r="B524" s="136"/>
      <c r="C524" s="215"/>
      <c r="D524" s="232" t="s">
        <v>220</v>
      </c>
      <c r="E524" s="64"/>
      <c r="F524" s="64"/>
      <c r="G524" s="68">
        <f>SUM(G521:G523)</f>
        <v>0</v>
      </c>
      <c r="H524" s="68">
        <f t="shared" ref="H524:R524" si="41">SUM(H521:H523)</f>
        <v>0</v>
      </c>
      <c r="I524" s="68">
        <f t="shared" si="41"/>
        <v>0</v>
      </c>
      <c r="J524" s="68">
        <f t="shared" si="41"/>
        <v>0</v>
      </c>
      <c r="K524" s="68">
        <f t="shared" si="41"/>
        <v>0</v>
      </c>
      <c r="L524" s="68">
        <f t="shared" si="41"/>
        <v>0</v>
      </c>
      <c r="M524" s="68">
        <f t="shared" si="41"/>
        <v>0</v>
      </c>
      <c r="N524" s="68">
        <f t="shared" si="41"/>
        <v>0</v>
      </c>
      <c r="O524" s="68">
        <f t="shared" si="41"/>
        <v>0</v>
      </c>
      <c r="P524" s="68">
        <f t="shared" si="41"/>
        <v>0</v>
      </c>
      <c r="Q524" s="650">
        <f t="shared" si="41"/>
        <v>0</v>
      </c>
      <c r="R524" s="650">
        <f t="shared" si="41"/>
        <v>0</v>
      </c>
      <c r="S524" s="648"/>
    </row>
    <row r="525" spans="1:19" ht="17.100000000000001" customHeight="1" x14ac:dyDescent="0.2">
      <c r="A525" s="72">
        <v>1</v>
      </c>
      <c r="B525" s="72" t="s">
        <v>467</v>
      </c>
      <c r="C525" s="73"/>
      <c r="D525" s="237" t="s">
        <v>468</v>
      </c>
      <c r="E525" s="238"/>
      <c r="F525" s="238"/>
      <c r="G525" s="239"/>
      <c r="H525" s="47"/>
      <c r="I525" s="47"/>
      <c r="J525" s="47"/>
      <c r="K525" s="47"/>
      <c r="L525" s="47"/>
      <c r="M525" s="48"/>
      <c r="N525" s="48"/>
      <c r="O525" s="239"/>
      <c r="P525" s="239"/>
      <c r="Q525" s="664"/>
      <c r="R525" s="648"/>
      <c r="S525" s="648"/>
    </row>
    <row r="526" spans="1:19" ht="17.100000000000001" hidden="1" customHeight="1" x14ac:dyDescent="0.2">
      <c r="A526" s="72"/>
      <c r="B526" s="72"/>
      <c r="C526" s="73"/>
      <c r="D526" s="87" t="s">
        <v>165</v>
      </c>
      <c r="E526" s="65"/>
      <c r="F526" s="65"/>
      <c r="G526" s="239"/>
      <c r="H526" s="47"/>
      <c r="I526" s="47"/>
      <c r="J526" s="47"/>
      <c r="K526" s="47"/>
      <c r="L526" s="47"/>
      <c r="M526" s="48"/>
      <c r="N526" s="48"/>
      <c r="O526" s="239"/>
      <c r="P526" s="239"/>
      <c r="Q526" s="664"/>
      <c r="R526" s="648"/>
      <c r="S526" s="648"/>
    </row>
    <row r="527" spans="1:19" ht="17.100000000000001" customHeight="1" x14ac:dyDescent="0.2">
      <c r="A527" s="72"/>
      <c r="B527" s="72"/>
      <c r="C527" s="73"/>
      <c r="D527" s="88" t="s">
        <v>469</v>
      </c>
      <c r="E527" s="82">
        <v>2</v>
      </c>
      <c r="F527" s="82">
        <v>221901</v>
      </c>
      <c r="G527" s="71"/>
      <c r="H527" s="71"/>
      <c r="I527" s="71">
        <v>-4039750</v>
      </c>
      <c r="J527" s="71"/>
      <c r="K527" s="71"/>
      <c r="L527" s="71"/>
      <c r="M527" s="71"/>
      <c r="N527" s="71"/>
      <c r="O527" s="71"/>
      <c r="P527" s="71"/>
      <c r="Q527" s="654">
        <f t="shared" ref="Q527:Q538" si="42">SUM(G527:P527)</f>
        <v>-4039750</v>
      </c>
      <c r="R527" s="648" t="s">
        <v>798</v>
      </c>
      <c r="S527" s="648" t="s">
        <v>1066</v>
      </c>
    </row>
    <row r="528" spans="1:19" ht="17.100000000000001" customHeight="1" x14ac:dyDescent="0.2">
      <c r="A528" s="72"/>
      <c r="B528" s="72"/>
      <c r="C528" s="73"/>
      <c r="D528" s="62" t="s">
        <v>470</v>
      </c>
      <c r="E528" s="60">
        <v>1</v>
      </c>
      <c r="F528" s="48">
        <v>221912</v>
      </c>
      <c r="G528" s="71">
        <v>500000</v>
      </c>
      <c r="H528" s="71">
        <v>100000</v>
      </c>
      <c r="I528" s="71">
        <v>-600000</v>
      </c>
      <c r="J528" s="71"/>
      <c r="K528" s="71"/>
      <c r="L528" s="71"/>
      <c r="M528" s="71"/>
      <c r="N528" s="71"/>
      <c r="O528" s="71"/>
      <c r="P528" s="71"/>
      <c r="Q528" s="654">
        <f t="shared" si="42"/>
        <v>0</v>
      </c>
      <c r="R528" s="648"/>
      <c r="S528" s="648" t="s">
        <v>1066</v>
      </c>
    </row>
    <row r="529" spans="1:19" ht="17.100000000000001" hidden="1" customHeight="1" x14ac:dyDescent="0.2">
      <c r="A529" s="72"/>
      <c r="B529" s="72"/>
      <c r="C529" s="73"/>
      <c r="D529" s="62" t="s">
        <v>471</v>
      </c>
      <c r="E529" s="60">
        <v>2</v>
      </c>
      <c r="F529" s="48">
        <v>221916</v>
      </c>
      <c r="G529" s="71"/>
      <c r="H529" s="71"/>
      <c r="I529" s="71"/>
      <c r="J529" s="71"/>
      <c r="K529" s="71"/>
      <c r="L529" s="71"/>
      <c r="M529" s="71"/>
      <c r="N529" s="71"/>
      <c r="O529" s="71"/>
      <c r="P529" s="71"/>
      <c r="Q529" s="654">
        <f t="shared" si="42"/>
        <v>0</v>
      </c>
      <c r="R529" s="648"/>
      <c r="S529" s="648"/>
    </row>
    <row r="530" spans="1:19" ht="17.100000000000001" hidden="1" customHeight="1" x14ac:dyDescent="0.2">
      <c r="A530" s="72"/>
      <c r="B530" s="72"/>
      <c r="C530" s="73"/>
      <c r="D530" s="61" t="s">
        <v>472</v>
      </c>
      <c r="E530" s="60">
        <v>2</v>
      </c>
      <c r="F530" s="48">
        <v>221904</v>
      </c>
      <c r="G530" s="71"/>
      <c r="H530" s="71"/>
      <c r="I530" s="71"/>
      <c r="J530" s="71"/>
      <c r="K530" s="71"/>
      <c r="L530" s="71"/>
      <c r="M530" s="71"/>
      <c r="N530" s="71"/>
      <c r="O530" s="71"/>
      <c r="P530" s="71"/>
      <c r="Q530" s="654">
        <f t="shared" si="42"/>
        <v>0</v>
      </c>
      <c r="R530" s="648"/>
      <c r="S530" s="648"/>
    </row>
    <row r="531" spans="1:19" ht="17.100000000000001" hidden="1" customHeight="1" x14ac:dyDescent="0.2">
      <c r="A531" s="72"/>
      <c r="B531" s="72"/>
      <c r="C531" s="73"/>
      <c r="D531" s="61" t="s">
        <v>473</v>
      </c>
      <c r="E531" s="48">
        <v>2</v>
      </c>
      <c r="F531" s="48">
        <v>221922</v>
      </c>
      <c r="G531" s="71"/>
      <c r="H531" s="71"/>
      <c r="I531" s="71"/>
      <c r="J531" s="71"/>
      <c r="K531" s="71"/>
      <c r="L531" s="71"/>
      <c r="M531" s="71"/>
      <c r="N531" s="71"/>
      <c r="O531" s="71"/>
      <c r="P531" s="71"/>
      <c r="Q531" s="654">
        <f t="shared" si="42"/>
        <v>0</v>
      </c>
      <c r="R531" s="648"/>
      <c r="S531" s="648"/>
    </row>
    <row r="532" spans="1:19" ht="17.100000000000001" hidden="1" customHeight="1" x14ac:dyDescent="0.2">
      <c r="A532" s="72"/>
      <c r="B532" s="72"/>
      <c r="C532" s="73"/>
      <c r="D532" s="61" t="s">
        <v>474</v>
      </c>
      <c r="E532" s="69">
        <v>2</v>
      </c>
      <c r="F532" s="48">
        <v>221939</v>
      </c>
      <c r="G532" s="71"/>
      <c r="H532" s="71"/>
      <c r="I532" s="71"/>
      <c r="J532" s="71"/>
      <c r="K532" s="71"/>
      <c r="L532" s="71"/>
      <c r="M532" s="71"/>
      <c r="N532" s="71"/>
      <c r="O532" s="71"/>
      <c r="P532" s="71"/>
      <c r="Q532" s="654">
        <f t="shared" si="42"/>
        <v>0</v>
      </c>
      <c r="R532" s="648"/>
      <c r="S532" s="648"/>
    </row>
    <row r="533" spans="1:19" ht="17.100000000000001" hidden="1" customHeight="1" x14ac:dyDescent="0.2">
      <c r="A533" s="72"/>
      <c r="B533" s="72"/>
      <c r="C533" s="73"/>
      <c r="D533" s="61" t="s">
        <v>475</v>
      </c>
      <c r="E533" s="69">
        <v>2</v>
      </c>
      <c r="F533" s="48">
        <v>221927</v>
      </c>
      <c r="G533" s="71"/>
      <c r="H533" s="71"/>
      <c r="I533" s="71"/>
      <c r="J533" s="71"/>
      <c r="K533" s="71"/>
      <c r="L533" s="71"/>
      <c r="M533" s="71"/>
      <c r="N533" s="71"/>
      <c r="O533" s="71"/>
      <c r="P533" s="71"/>
      <c r="Q533" s="654">
        <f t="shared" si="42"/>
        <v>0</v>
      </c>
      <c r="R533" s="648"/>
      <c r="S533" s="648"/>
    </row>
    <row r="534" spans="1:19" ht="24.75" hidden="1" customHeight="1" x14ac:dyDescent="0.2">
      <c r="A534" s="72"/>
      <c r="B534" s="72"/>
      <c r="C534" s="73"/>
      <c r="D534" s="240" t="s">
        <v>476</v>
      </c>
      <c r="E534" s="69">
        <v>2</v>
      </c>
      <c r="F534" s="48">
        <v>221935</v>
      </c>
      <c r="G534" s="71"/>
      <c r="H534" s="71"/>
      <c r="I534" s="71"/>
      <c r="J534" s="71"/>
      <c r="K534" s="71"/>
      <c r="L534" s="71"/>
      <c r="M534" s="71"/>
      <c r="N534" s="71"/>
      <c r="O534" s="71"/>
      <c r="P534" s="71"/>
      <c r="Q534" s="654">
        <f t="shared" si="42"/>
        <v>0</v>
      </c>
      <c r="R534" s="648"/>
      <c r="S534" s="648"/>
    </row>
    <row r="535" spans="1:19" ht="17.100000000000001" hidden="1" customHeight="1" x14ac:dyDescent="0.2">
      <c r="A535" s="72"/>
      <c r="B535" s="72"/>
      <c r="C535" s="73"/>
      <c r="D535" s="61" t="s">
        <v>477</v>
      </c>
      <c r="E535" s="48">
        <v>2</v>
      </c>
      <c r="F535" s="48">
        <v>191110</v>
      </c>
      <c r="G535" s="71"/>
      <c r="H535" s="71"/>
      <c r="I535" s="71"/>
      <c r="J535" s="71"/>
      <c r="K535" s="71"/>
      <c r="L535" s="71"/>
      <c r="M535" s="71"/>
      <c r="N535" s="71"/>
      <c r="O535" s="71"/>
      <c r="P535" s="71"/>
      <c r="Q535" s="654">
        <f t="shared" si="42"/>
        <v>0</v>
      </c>
      <c r="R535" s="648"/>
      <c r="S535" s="648"/>
    </row>
    <row r="536" spans="1:19" ht="17.100000000000001" hidden="1" customHeight="1" x14ac:dyDescent="0.2">
      <c r="A536" s="72"/>
      <c r="B536" s="72"/>
      <c r="C536" s="73"/>
      <c r="D536" s="61" t="s">
        <v>537</v>
      </c>
      <c r="E536" s="48">
        <v>2</v>
      </c>
      <c r="F536" s="48">
        <v>221967</v>
      </c>
      <c r="G536" s="71"/>
      <c r="H536" s="71"/>
      <c r="I536" s="71"/>
      <c r="J536" s="71"/>
      <c r="K536" s="71"/>
      <c r="L536" s="71"/>
      <c r="M536" s="71"/>
      <c r="N536" s="71"/>
      <c r="O536" s="71"/>
      <c r="P536" s="71"/>
      <c r="Q536" s="654">
        <f t="shared" si="42"/>
        <v>0</v>
      </c>
      <c r="R536" s="648"/>
      <c r="S536" s="648"/>
    </row>
    <row r="537" spans="1:19" ht="17.100000000000001" hidden="1" customHeight="1" x14ac:dyDescent="0.2">
      <c r="A537" s="72"/>
      <c r="B537" s="72"/>
      <c r="C537" s="73"/>
      <c r="D537" s="61" t="s">
        <v>629</v>
      </c>
      <c r="E537" s="48">
        <v>2</v>
      </c>
      <c r="F537" s="48">
        <v>191139</v>
      </c>
      <c r="G537" s="71"/>
      <c r="H537" s="71"/>
      <c r="I537" s="71"/>
      <c r="J537" s="71"/>
      <c r="K537" s="71"/>
      <c r="L537" s="71"/>
      <c r="M537" s="71"/>
      <c r="N537" s="71"/>
      <c r="O537" s="71"/>
      <c r="P537" s="71"/>
      <c r="Q537" s="654">
        <f t="shared" si="42"/>
        <v>0</v>
      </c>
      <c r="R537" s="648" t="s">
        <v>798</v>
      </c>
      <c r="S537" s="648"/>
    </row>
    <row r="538" spans="1:19" ht="27" hidden="1" customHeight="1" x14ac:dyDescent="0.2">
      <c r="A538" s="72"/>
      <c r="B538" s="72"/>
      <c r="C538" s="73"/>
      <c r="D538" s="59" t="s">
        <v>591</v>
      </c>
      <c r="E538" s="48">
        <v>2</v>
      </c>
      <c r="F538" s="48">
        <v>221976</v>
      </c>
      <c r="G538" s="71"/>
      <c r="H538" s="71"/>
      <c r="I538" s="71"/>
      <c r="J538" s="71"/>
      <c r="K538" s="71"/>
      <c r="L538" s="71"/>
      <c r="M538" s="71"/>
      <c r="N538" s="71"/>
      <c r="O538" s="71"/>
      <c r="P538" s="71"/>
      <c r="Q538" s="654">
        <f t="shared" si="42"/>
        <v>0</v>
      </c>
      <c r="R538" s="648"/>
      <c r="S538" s="648"/>
    </row>
    <row r="539" spans="1:19" ht="17.100000000000001" hidden="1" customHeight="1" x14ac:dyDescent="0.2">
      <c r="A539" s="72"/>
      <c r="B539" s="72"/>
      <c r="C539" s="73"/>
      <c r="D539" s="61" t="s">
        <v>478</v>
      </c>
      <c r="E539" s="69"/>
      <c r="F539" s="69"/>
      <c r="G539" s="71"/>
      <c r="H539" s="71"/>
      <c r="I539" s="71"/>
      <c r="J539" s="71"/>
      <c r="K539" s="71"/>
      <c r="L539" s="71"/>
      <c r="M539" s="71"/>
      <c r="N539" s="71"/>
      <c r="O539" s="71"/>
      <c r="P539" s="71"/>
      <c r="Q539" s="654"/>
      <c r="R539" s="648"/>
      <c r="S539" s="648"/>
    </row>
    <row r="540" spans="1:19" ht="17.100000000000001" hidden="1" customHeight="1" x14ac:dyDescent="0.2">
      <c r="A540" s="72"/>
      <c r="B540" s="72"/>
      <c r="C540" s="73"/>
      <c r="D540" s="61" t="s">
        <v>479</v>
      </c>
      <c r="E540" s="48">
        <v>2</v>
      </c>
      <c r="F540" s="48">
        <v>191301</v>
      </c>
      <c r="G540" s="71"/>
      <c r="H540" s="71"/>
      <c r="I540" s="71"/>
      <c r="J540" s="71"/>
      <c r="K540" s="71"/>
      <c r="L540" s="71"/>
      <c r="M540" s="71"/>
      <c r="N540" s="71"/>
      <c r="O540" s="71"/>
      <c r="P540" s="71"/>
      <c r="Q540" s="654">
        <f>SUM(G540:P540)</f>
        <v>0</v>
      </c>
      <c r="R540" s="648"/>
      <c r="S540" s="648"/>
    </row>
    <row r="541" spans="1:19" ht="17.100000000000001" hidden="1" customHeight="1" x14ac:dyDescent="0.2">
      <c r="A541" s="51"/>
      <c r="B541" s="51"/>
      <c r="C541" s="77"/>
      <c r="D541" s="61" t="s">
        <v>480</v>
      </c>
      <c r="E541" s="48">
        <v>2</v>
      </c>
      <c r="F541" s="48">
        <v>191302</v>
      </c>
      <c r="G541" s="60"/>
      <c r="H541" s="60"/>
      <c r="I541" s="71"/>
      <c r="J541" s="60"/>
      <c r="K541" s="71"/>
      <c r="L541" s="60"/>
      <c r="M541" s="60"/>
      <c r="N541" s="60"/>
      <c r="O541" s="60"/>
      <c r="P541" s="60"/>
      <c r="Q541" s="560">
        <f>SUM(G541:P541)</f>
        <v>0</v>
      </c>
      <c r="R541" s="648"/>
      <c r="S541" s="648"/>
    </row>
    <row r="542" spans="1:19" ht="17.100000000000001" hidden="1" customHeight="1" x14ac:dyDescent="0.2">
      <c r="A542" s="72"/>
      <c r="B542" s="72"/>
      <c r="C542" s="73"/>
      <c r="D542" s="42" t="s">
        <v>180</v>
      </c>
      <c r="E542" s="60"/>
      <c r="F542" s="48"/>
      <c r="G542" s="71"/>
      <c r="H542" s="71"/>
      <c r="I542" s="71"/>
      <c r="J542" s="71"/>
      <c r="K542" s="71"/>
      <c r="L542" s="71"/>
      <c r="M542" s="71"/>
      <c r="N542" s="71"/>
      <c r="O542" s="71"/>
      <c r="P542" s="71"/>
      <c r="Q542" s="654"/>
      <c r="R542" s="648"/>
      <c r="S542" s="648"/>
    </row>
    <row r="543" spans="1:19" ht="17.100000000000001" customHeight="1" x14ac:dyDescent="0.2">
      <c r="A543" s="72"/>
      <c r="B543" s="72"/>
      <c r="C543" s="73"/>
      <c r="D543" s="59" t="s">
        <v>481</v>
      </c>
      <c r="E543" s="99">
        <v>2</v>
      </c>
      <c r="F543" s="58">
        <v>221951</v>
      </c>
      <c r="G543" s="71"/>
      <c r="H543" s="71"/>
      <c r="I543" s="71"/>
      <c r="J543" s="71"/>
      <c r="K543" s="71">
        <v>-100000</v>
      </c>
      <c r="L543" s="71"/>
      <c r="M543" s="71"/>
      <c r="N543" s="71"/>
      <c r="O543" s="71"/>
      <c r="P543" s="71"/>
      <c r="Q543" s="654">
        <f>SUM(G543:P543)</f>
        <v>-100000</v>
      </c>
      <c r="R543" s="648"/>
      <c r="S543" s="648" t="s">
        <v>1066</v>
      </c>
    </row>
    <row r="544" spans="1:19" ht="17.100000000000001" customHeight="1" x14ac:dyDescent="0.2">
      <c r="A544" s="72"/>
      <c r="B544" s="72"/>
      <c r="C544" s="241"/>
      <c r="D544" s="84" t="s">
        <v>482</v>
      </c>
      <c r="E544" s="60">
        <v>2</v>
      </c>
      <c r="F544" s="48" t="s">
        <v>483</v>
      </c>
      <c r="G544" s="71"/>
      <c r="H544" s="71"/>
      <c r="I544" s="71">
        <v>-565980</v>
      </c>
      <c r="J544" s="71"/>
      <c r="K544" s="71">
        <v>500000</v>
      </c>
      <c r="L544" s="71">
        <v>65980</v>
      </c>
      <c r="M544" s="71"/>
      <c r="N544" s="71"/>
      <c r="O544" s="71"/>
      <c r="P544" s="71"/>
      <c r="Q544" s="654">
        <f>SUM(G544:P544)</f>
        <v>0</v>
      </c>
      <c r="R544" s="648" t="s">
        <v>798</v>
      </c>
      <c r="S544" s="648" t="s">
        <v>1066</v>
      </c>
    </row>
    <row r="545" spans="1:19" ht="17.100000000000001" hidden="1" customHeight="1" x14ac:dyDescent="0.2">
      <c r="A545" s="72"/>
      <c r="B545" s="72"/>
      <c r="C545" s="242"/>
      <c r="D545" s="84" t="s">
        <v>630</v>
      </c>
      <c r="E545" s="60">
        <v>2</v>
      </c>
      <c r="F545" s="48">
        <v>221981</v>
      </c>
      <c r="G545" s="71"/>
      <c r="H545" s="71"/>
      <c r="I545" s="71"/>
      <c r="J545" s="71"/>
      <c r="K545" s="71"/>
      <c r="L545" s="71"/>
      <c r="M545" s="71"/>
      <c r="N545" s="71"/>
      <c r="O545" s="71"/>
      <c r="P545" s="71"/>
      <c r="Q545" s="654">
        <f>SUM(G545:P545)</f>
        <v>0</v>
      </c>
      <c r="R545" s="648"/>
      <c r="S545" s="648"/>
    </row>
    <row r="546" spans="1:19" ht="17.100000000000001" hidden="1" customHeight="1" x14ac:dyDescent="0.2">
      <c r="A546" s="72"/>
      <c r="B546" s="72"/>
      <c r="C546" s="242"/>
      <c r="D546" s="84" t="s">
        <v>538</v>
      </c>
      <c r="E546" s="60">
        <v>2</v>
      </c>
      <c r="F546" s="48">
        <v>221969</v>
      </c>
      <c r="G546" s="71"/>
      <c r="H546" s="71"/>
      <c r="I546" s="71"/>
      <c r="J546" s="71"/>
      <c r="K546" s="71"/>
      <c r="L546" s="71"/>
      <c r="M546" s="71"/>
      <c r="N546" s="71"/>
      <c r="O546" s="71"/>
      <c r="P546" s="71"/>
      <c r="Q546" s="560">
        <f>SUM(G546:P546)</f>
        <v>0</v>
      </c>
      <c r="R546" s="648" t="s">
        <v>774</v>
      </c>
      <c r="S546" s="648"/>
    </row>
    <row r="547" spans="1:19" ht="17.100000000000001" hidden="1" customHeight="1" x14ac:dyDescent="0.2">
      <c r="A547" s="693"/>
      <c r="B547" s="693"/>
      <c r="C547" s="694"/>
      <c r="D547" s="695" t="s">
        <v>1022</v>
      </c>
      <c r="E547" s="657">
        <v>2</v>
      </c>
      <c r="F547" s="560">
        <v>191402</v>
      </c>
      <c r="G547" s="696"/>
      <c r="H547" s="696"/>
      <c r="I547" s="696"/>
      <c r="J547" s="696"/>
      <c r="K547" s="696"/>
      <c r="L547" s="696"/>
      <c r="M547" s="696"/>
      <c r="N547" s="696"/>
      <c r="O547" s="696"/>
      <c r="P547" s="696"/>
      <c r="Q547" s="560">
        <f t="shared" ref="Q547" si="43">SUM(G547:P547)</f>
        <v>0</v>
      </c>
      <c r="R547" s="648"/>
      <c r="S547" s="648"/>
    </row>
    <row r="548" spans="1:19" ht="17.100000000000001" hidden="1" customHeight="1" x14ac:dyDescent="0.2">
      <c r="A548" s="72"/>
      <c r="B548" s="72"/>
      <c r="C548" s="73"/>
      <c r="D548" s="87" t="s">
        <v>165</v>
      </c>
      <c r="E548" s="60"/>
      <c r="F548" s="48"/>
      <c r="G548" s="71"/>
      <c r="H548" s="71"/>
      <c r="I548" s="71"/>
      <c r="J548" s="71"/>
      <c r="K548" s="71"/>
      <c r="L548" s="71"/>
      <c r="M548" s="71"/>
      <c r="N548" s="71"/>
      <c r="O548" s="71"/>
      <c r="P548" s="71"/>
      <c r="Q548" s="654"/>
      <c r="R548" s="648"/>
      <c r="S548" s="648"/>
    </row>
    <row r="549" spans="1:19" ht="17.100000000000001" hidden="1" customHeight="1" x14ac:dyDescent="0.2">
      <c r="A549" s="72"/>
      <c r="B549" s="72"/>
      <c r="C549" s="73"/>
      <c r="D549" s="62" t="s">
        <v>484</v>
      </c>
      <c r="E549" s="60">
        <v>2</v>
      </c>
      <c r="F549" s="48">
        <v>221929</v>
      </c>
      <c r="G549" s="71"/>
      <c r="H549" s="71"/>
      <c r="I549" s="71"/>
      <c r="J549" s="71"/>
      <c r="K549" s="71"/>
      <c r="L549" s="71"/>
      <c r="M549" s="71"/>
      <c r="N549" s="71"/>
      <c r="O549" s="71"/>
      <c r="P549" s="71"/>
      <c r="Q549" s="654">
        <f>SUM(G549:P549)</f>
        <v>0</v>
      </c>
      <c r="R549" s="648" t="s">
        <v>798</v>
      </c>
      <c r="S549" s="648"/>
    </row>
    <row r="550" spans="1:19" ht="17.100000000000001" hidden="1" customHeight="1" x14ac:dyDescent="0.2">
      <c r="A550" s="72"/>
      <c r="B550" s="72"/>
      <c r="C550" s="73"/>
      <c r="D550" s="62" t="s">
        <v>485</v>
      </c>
      <c r="E550" s="60">
        <v>1</v>
      </c>
      <c r="F550" s="48">
        <v>221913</v>
      </c>
      <c r="G550" s="71"/>
      <c r="H550" s="71"/>
      <c r="I550" s="71"/>
      <c r="J550" s="71"/>
      <c r="K550" s="71"/>
      <c r="L550" s="71"/>
      <c r="M550" s="71"/>
      <c r="N550" s="71"/>
      <c r="O550" s="71"/>
      <c r="P550" s="71"/>
      <c r="Q550" s="654">
        <f>SUM(G550:P550)</f>
        <v>0</v>
      </c>
      <c r="R550" s="648"/>
      <c r="S550" s="648"/>
    </row>
    <row r="551" spans="1:19" ht="17.100000000000001" hidden="1" customHeight="1" x14ac:dyDescent="0.2">
      <c r="A551" s="72"/>
      <c r="B551" s="72"/>
      <c r="C551" s="73"/>
      <c r="D551" s="62" t="s">
        <v>514</v>
      </c>
      <c r="E551" s="60">
        <v>1</v>
      </c>
      <c r="F551" s="48">
        <v>221962</v>
      </c>
      <c r="G551" s="71"/>
      <c r="H551" s="71"/>
      <c r="I551" s="71"/>
      <c r="J551" s="71"/>
      <c r="K551" s="71"/>
      <c r="L551" s="71"/>
      <c r="M551" s="71"/>
      <c r="N551" s="71"/>
      <c r="O551" s="71"/>
      <c r="P551" s="71"/>
      <c r="Q551" s="654">
        <f>SUM(G551:P551)</f>
        <v>0</v>
      </c>
      <c r="R551" s="648"/>
      <c r="S551" s="648"/>
    </row>
    <row r="552" spans="1:19" ht="17.100000000000001" hidden="1" customHeight="1" x14ac:dyDescent="0.2">
      <c r="A552" s="72"/>
      <c r="B552" s="72"/>
      <c r="C552" s="73"/>
      <c r="D552" s="61" t="s">
        <v>486</v>
      </c>
      <c r="E552" s="69"/>
      <c r="F552" s="69"/>
      <c r="G552" s="71"/>
      <c r="H552" s="71"/>
      <c r="I552" s="71"/>
      <c r="J552" s="71"/>
      <c r="K552" s="71"/>
      <c r="L552" s="71"/>
      <c r="M552" s="71"/>
      <c r="N552" s="71"/>
      <c r="O552" s="71"/>
      <c r="P552" s="71"/>
      <c r="Q552" s="560"/>
      <c r="R552" s="648"/>
      <c r="S552" s="648"/>
    </row>
    <row r="553" spans="1:19" ht="14.25" hidden="1" customHeight="1" x14ac:dyDescent="0.2">
      <c r="A553" s="72"/>
      <c r="B553" s="72"/>
      <c r="C553" s="73"/>
      <c r="D553" s="61" t="s">
        <v>650</v>
      </c>
      <c r="E553" s="48">
        <v>2</v>
      </c>
      <c r="F553" s="48">
        <v>191151</v>
      </c>
      <c r="G553" s="71"/>
      <c r="H553" s="71"/>
      <c r="I553" s="71"/>
      <c r="J553" s="71"/>
      <c r="K553" s="71"/>
      <c r="L553" s="71"/>
      <c r="M553" s="71"/>
      <c r="N553" s="71"/>
      <c r="O553" s="71"/>
      <c r="P553" s="71"/>
      <c r="Q553" s="560">
        <f>SUM(G553:P553)</f>
        <v>0</v>
      </c>
      <c r="R553" s="648"/>
      <c r="S553" s="648"/>
    </row>
    <row r="554" spans="1:19" ht="15.95" hidden="1" customHeight="1" x14ac:dyDescent="0.2">
      <c r="A554" s="72"/>
      <c r="B554" s="72"/>
      <c r="C554" s="73"/>
      <c r="D554" s="61" t="s">
        <v>273</v>
      </c>
      <c r="E554" s="60"/>
      <c r="F554" s="46"/>
      <c r="G554" s="71"/>
      <c r="H554" s="71"/>
      <c r="I554" s="71"/>
      <c r="J554" s="71"/>
      <c r="K554" s="71"/>
      <c r="L554" s="71"/>
      <c r="M554" s="71"/>
      <c r="N554" s="71"/>
      <c r="O554" s="71"/>
      <c r="P554" s="71"/>
      <c r="Q554" s="654"/>
      <c r="R554" s="648"/>
      <c r="S554" s="648"/>
    </row>
    <row r="555" spans="1:19" ht="18.75" hidden="1" customHeight="1" x14ac:dyDescent="0.2">
      <c r="A555" s="72"/>
      <c r="B555" s="72"/>
      <c r="C555" s="73"/>
      <c r="D555" s="59" t="s">
        <v>505</v>
      </c>
      <c r="E555" s="60">
        <v>2</v>
      </c>
      <c r="F555" s="46">
        <v>221961</v>
      </c>
      <c r="G555" s="71"/>
      <c r="H555" s="71"/>
      <c r="I555" s="71"/>
      <c r="J555" s="71"/>
      <c r="K555" s="71"/>
      <c r="L555" s="71"/>
      <c r="M555" s="71"/>
      <c r="N555" s="71"/>
      <c r="O555" s="71"/>
      <c r="P555" s="71"/>
      <c r="Q555" s="654">
        <f t="shared" ref="Q555:Q558" si="44">SUM(G555:P555)</f>
        <v>0</v>
      </c>
      <c r="R555" s="648"/>
      <c r="S555" s="648"/>
    </row>
    <row r="556" spans="1:19" ht="16.5" hidden="1" customHeight="1" x14ac:dyDescent="0.2">
      <c r="A556" s="72"/>
      <c r="B556" s="72"/>
      <c r="C556" s="73"/>
      <c r="D556" s="48" t="s">
        <v>572</v>
      </c>
      <c r="E556" s="69">
        <v>2</v>
      </c>
      <c r="F556" s="48">
        <v>121518</v>
      </c>
      <c r="G556" s="71"/>
      <c r="H556" s="71"/>
      <c r="I556" s="71"/>
      <c r="J556" s="71"/>
      <c r="K556" s="71"/>
      <c r="L556" s="71"/>
      <c r="M556" s="71"/>
      <c r="N556" s="71"/>
      <c r="O556" s="71"/>
      <c r="P556" s="71"/>
      <c r="Q556" s="654">
        <f t="shared" si="44"/>
        <v>0</v>
      </c>
      <c r="R556" s="648"/>
      <c r="S556" s="648"/>
    </row>
    <row r="557" spans="1:19" ht="16.5" hidden="1" customHeight="1" x14ac:dyDescent="0.2">
      <c r="A557" s="72"/>
      <c r="B557" s="72"/>
      <c r="C557" s="73"/>
      <c r="D557" s="48" t="s">
        <v>775</v>
      </c>
      <c r="E557" s="69">
        <v>2</v>
      </c>
      <c r="F557" s="46">
        <v>221977</v>
      </c>
      <c r="G557" s="71"/>
      <c r="H557" s="71"/>
      <c r="I557" s="71"/>
      <c r="J557" s="71"/>
      <c r="K557" s="71"/>
      <c r="L557" s="71"/>
      <c r="M557" s="71"/>
      <c r="N557" s="71"/>
      <c r="O557" s="71"/>
      <c r="P557" s="71"/>
      <c r="Q557" s="654">
        <f t="shared" si="44"/>
        <v>0</v>
      </c>
      <c r="R557" s="648"/>
      <c r="S557" s="648"/>
    </row>
    <row r="558" spans="1:19" ht="16.5" customHeight="1" x14ac:dyDescent="0.2">
      <c r="A558" s="261"/>
      <c r="B558" s="261"/>
      <c r="C558" s="262"/>
      <c r="D558" s="208" t="s">
        <v>764</v>
      </c>
      <c r="E558" s="477">
        <v>2</v>
      </c>
      <c r="F558" s="201">
        <v>131721</v>
      </c>
      <c r="G558" s="267">
        <v>300000</v>
      </c>
      <c r="H558" s="267"/>
      <c r="I558" s="267">
        <v>-300000</v>
      </c>
      <c r="J558" s="267"/>
      <c r="K558" s="267"/>
      <c r="L558" s="267"/>
      <c r="M558" s="267"/>
      <c r="N558" s="267"/>
      <c r="O558" s="267"/>
      <c r="P558" s="267"/>
      <c r="Q558" s="654">
        <f t="shared" si="44"/>
        <v>0</v>
      </c>
      <c r="R558" s="648"/>
      <c r="S558" s="648" t="s">
        <v>1066</v>
      </c>
    </row>
    <row r="559" spans="1:19" ht="14.1" customHeight="1" x14ac:dyDescent="0.2">
      <c r="A559" s="136"/>
      <c r="B559" s="136"/>
      <c r="C559" s="215"/>
      <c r="D559" s="220" t="s">
        <v>487</v>
      </c>
      <c r="E559" s="243"/>
      <c r="F559" s="64"/>
      <c r="G559" s="244">
        <f>SUM(G527:G558)</f>
        <v>800000</v>
      </c>
      <c r="H559" s="244">
        <f t="shared" ref="H559:R559" si="45">SUM(H527:H558)</f>
        <v>100000</v>
      </c>
      <c r="I559" s="244">
        <f t="shared" si="45"/>
        <v>-5505730</v>
      </c>
      <c r="J559" s="244">
        <f t="shared" si="45"/>
        <v>0</v>
      </c>
      <c r="K559" s="244">
        <f t="shared" si="45"/>
        <v>400000</v>
      </c>
      <c r="L559" s="244">
        <f t="shared" si="45"/>
        <v>65980</v>
      </c>
      <c r="M559" s="244">
        <f t="shared" si="45"/>
        <v>0</v>
      </c>
      <c r="N559" s="244">
        <f t="shared" si="45"/>
        <v>0</v>
      </c>
      <c r="O559" s="244">
        <f t="shared" si="45"/>
        <v>0</v>
      </c>
      <c r="P559" s="244">
        <f t="shared" si="45"/>
        <v>0</v>
      </c>
      <c r="Q559" s="655">
        <f t="shared" si="45"/>
        <v>-4139750</v>
      </c>
      <c r="R559" s="655">
        <f t="shared" si="45"/>
        <v>0</v>
      </c>
      <c r="S559" s="674"/>
    </row>
    <row r="560" spans="1:19" ht="14.1" hidden="1" customHeight="1" x14ac:dyDescent="0.2">
      <c r="A560" s="51"/>
      <c r="B560" s="51"/>
      <c r="C560" s="51"/>
      <c r="D560" s="282" t="s">
        <v>488</v>
      </c>
      <c r="E560" s="270"/>
      <c r="F560" s="54"/>
      <c r="G560" s="83"/>
      <c r="H560" s="83"/>
      <c r="I560" s="83"/>
      <c r="J560" s="83"/>
      <c r="K560" s="83"/>
      <c r="L560" s="83"/>
      <c r="M560" s="83"/>
      <c r="N560" s="83"/>
      <c r="O560" s="83"/>
      <c r="P560" s="83"/>
      <c r="Q560" s="656"/>
      <c r="R560" s="648"/>
      <c r="S560" s="648"/>
    </row>
    <row r="561" spans="1:19" ht="14.1" hidden="1" customHeight="1" x14ac:dyDescent="0.2">
      <c r="A561" s="51"/>
      <c r="B561" s="51"/>
      <c r="C561" s="77"/>
      <c r="D561" s="61" t="s">
        <v>746</v>
      </c>
      <c r="E561" s="283"/>
      <c r="F561" s="118"/>
      <c r="G561" s="83"/>
      <c r="H561" s="83"/>
      <c r="I561" s="83"/>
      <c r="J561" s="83"/>
      <c r="K561" s="83"/>
      <c r="L561" s="83"/>
      <c r="M561" s="83"/>
      <c r="N561" s="83"/>
      <c r="O561" s="83"/>
      <c r="P561" s="83"/>
      <c r="Q561" s="656"/>
      <c r="R561" s="648"/>
      <c r="S561" s="648"/>
    </row>
    <row r="562" spans="1:19" ht="14.1" hidden="1" customHeight="1" x14ac:dyDescent="0.2">
      <c r="A562" s="51"/>
      <c r="B562" s="51"/>
      <c r="C562" s="56" t="s">
        <v>906</v>
      </c>
      <c r="D562" s="524" t="s">
        <v>655</v>
      </c>
      <c r="E562" s="325">
        <v>2</v>
      </c>
      <c r="F562" s="46">
        <v>222937</v>
      </c>
      <c r="G562" s="60"/>
      <c r="H562" s="60"/>
      <c r="I562" s="60"/>
      <c r="J562" s="60"/>
      <c r="K562" s="60"/>
      <c r="L562" s="60"/>
      <c r="M562" s="60"/>
      <c r="N562" s="60"/>
      <c r="O562" s="60"/>
      <c r="P562" s="60"/>
      <c r="Q562" s="657">
        <f>SUM(G562:P562)</f>
        <v>0</v>
      </c>
      <c r="R562" s="648"/>
      <c r="S562" s="648"/>
    </row>
    <row r="563" spans="1:19" ht="14.25" hidden="1" customHeight="1" x14ac:dyDescent="0.2">
      <c r="A563" s="51"/>
      <c r="B563" s="51"/>
      <c r="C563" s="56" t="s">
        <v>907</v>
      </c>
      <c r="D563" s="317" t="s">
        <v>740</v>
      </c>
      <c r="E563" s="325">
        <v>2</v>
      </c>
      <c r="F563" s="46">
        <v>222938</v>
      </c>
      <c r="G563" s="60"/>
      <c r="H563" s="60"/>
      <c r="I563" s="60"/>
      <c r="J563" s="60"/>
      <c r="K563" s="60"/>
      <c r="L563" s="60"/>
      <c r="M563" s="60"/>
      <c r="N563" s="60"/>
      <c r="O563" s="60"/>
      <c r="P563" s="60"/>
      <c r="Q563" s="657">
        <f>SUM(G563:P563)</f>
        <v>0</v>
      </c>
      <c r="R563" s="648"/>
      <c r="S563" s="648"/>
    </row>
    <row r="564" spans="1:19" ht="18" hidden="1" customHeight="1" x14ac:dyDescent="0.2">
      <c r="A564" s="136"/>
      <c r="B564" s="136"/>
      <c r="C564" s="215"/>
      <c r="D564" s="232" t="s">
        <v>489</v>
      </c>
      <c r="E564" s="243"/>
      <c r="F564" s="64"/>
      <c r="G564" s="244">
        <f t="shared" ref="G564:R564" si="46">SUM(G559:G563)</f>
        <v>800000</v>
      </c>
      <c r="H564" s="244">
        <f t="shared" si="46"/>
        <v>100000</v>
      </c>
      <c r="I564" s="244">
        <f t="shared" si="46"/>
        <v>-5505730</v>
      </c>
      <c r="J564" s="244">
        <f t="shared" si="46"/>
        <v>0</v>
      </c>
      <c r="K564" s="244">
        <f t="shared" si="46"/>
        <v>400000</v>
      </c>
      <c r="L564" s="244">
        <f t="shared" si="46"/>
        <v>65980</v>
      </c>
      <c r="M564" s="244">
        <f t="shared" si="46"/>
        <v>0</v>
      </c>
      <c r="N564" s="244">
        <f t="shared" si="46"/>
        <v>0</v>
      </c>
      <c r="O564" s="244">
        <f t="shared" si="46"/>
        <v>0</v>
      </c>
      <c r="P564" s="244">
        <f t="shared" si="46"/>
        <v>0</v>
      </c>
      <c r="Q564" s="655">
        <f t="shared" si="46"/>
        <v>-4139750</v>
      </c>
      <c r="R564" s="655">
        <f t="shared" si="46"/>
        <v>0</v>
      </c>
      <c r="S564" s="674"/>
    </row>
    <row r="565" spans="1:19" ht="18" hidden="1" customHeight="1" x14ac:dyDescent="0.2">
      <c r="A565" s="51">
        <v>1</v>
      </c>
      <c r="B565" s="45">
        <v>30</v>
      </c>
      <c r="C565" s="77"/>
      <c r="D565" s="61" t="s">
        <v>490</v>
      </c>
      <c r="E565" s="46"/>
      <c r="F565" s="46"/>
      <c r="G565" s="48"/>
      <c r="H565" s="47"/>
      <c r="I565" s="47"/>
      <c r="J565" s="47"/>
      <c r="K565" s="47"/>
      <c r="L565" s="47"/>
      <c r="M565" s="48"/>
      <c r="N565" s="48"/>
      <c r="O565" s="48"/>
      <c r="P565" s="48"/>
      <c r="Q565" s="560"/>
      <c r="R565" s="648"/>
      <c r="S565" s="648"/>
    </row>
    <row r="566" spans="1:19" ht="15.6" hidden="1" customHeight="1" x14ac:dyDescent="0.2">
      <c r="A566" s="51"/>
      <c r="B566" s="45">
        <v>31</v>
      </c>
      <c r="C566" s="77"/>
      <c r="D566" s="53" t="s">
        <v>491</v>
      </c>
      <c r="E566" s="48">
        <v>1</v>
      </c>
      <c r="F566" s="46">
        <v>311901</v>
      </c>
      <c r="G566" s="60"/>
      <c r="H566" s="60"/>
      <c r="I566" s="60"/>
      <c r="J566" s="60"/>
      <c r="K566" s="60"/>
      <c r="L566" s="60"/>
      <c r="M566" s="60"/>
      <c r="N566" s="60"/>
      <c r="O566" s="60"/>
      <c r="P566" s="60"/>
      <c r="Q566" s="560">
        <f>SUM(K566:P566)</f>
        <v>0</v>
      </c>
      <c r="R566" s="648"/>
      <c r="S566" s="648"/>
    </row>
    <row r="567" spans="1:19" ht="15" customHeight="1" x14ac:dyDescent="0.2">
      <c r="A567" s="45"/>
      <c r="B567" s="45">
        <v>32</v>
      </c>
      <c r="C567" s="56"/>
      <c r="D567" s="838" t="s">
        <v>492</v>
      </c>
      <c r="E567" s="839"/>
      <c r="F567" s="46"/>
      <c r="G567" s="60"/>
      <c r="H567" s="47"/>
      <c r="I567" s="47"/>
      <c r="J567" s="47"/>
      <c r="K567" s="60"/>
      <c r="L567" s="47"/>
      <c r="M567" s="60"/>
      <c r="N567" s="60"/>
      <c r="O567" s="48"/>
      <c r="P567" s="48"/>
      <c r="Q567" s="560"/>
      <c r="R567" s="648"/>
      <c r="S567" s="648"/>
    </row>
    <row r="568" spans="1:19" ht="18" hidden="1" customHeight="1" x14ac:dyDescent="0.2">
      <c r="A568" s="45"/>
      <c r="B568" s="45"/>
      <c r="C568" s="56"/>
      <c r="D568" s="61" t="s">
        <v>657</v>
      </c>
      <c r="E568" s="48">
        <v>1</v>
      </c>
      <c r="F568" s="48">
        <v>321907</v>
      </c>
      <c r="G568" s="60"/>
      <c r="H568" s="60"/>
      <c r="I568" s="60"/>
      <c r="J568" s="60"/>
      <c r="K568" s="60"/>
      <c r="L568" s="60"/>
      <c r="M568" s="60"/>
      <c r="N568" s="60"/>
      <c r="O568" s="60"/>
      <c r="P568" s="60"/>
      <c r="Q568" s="560">
        <f t="shared" ref="Q568:Q577" si="47">SUM(K568:P568)</f>
        <v>0</v>
      </c>
      <c r="R568" s="648"/>
      <c r="S568" s="648"/>
    </row>
    <row r="569" spans="1:19" ht="17.25" customHeight="1" x14ac:dyDescent="0.2">
      <c r="A569" s="245"/>
      <c r="B569" s="245"/>
      <c r="C569" s="245"/>
      <c r="D569" s="246" t="s">
        <v>1100</v>
      </c>
      <c r="E569" s="247">
        <v>1</v>
      </c>
      <c r="F569" s="248">
        <v>321903</v>
      </c>
      <c r="G569" s="60"/>
      <c r="H569" s="60"/>
      <c r="I569" s="60"/>
      <c r="J569" s="60"/>
      <c r="K569" s="60">
        <v>1486550</v>
      </c>
      <c r="L569" s="60"/>
      <c r="M569" s="60"/>
      <c r="N569" s="60"/>
      <c r="O569" s="60"/>
      <c r="P569" s="60"/>
      <c r="Q569" s="560">
        <f t="shared" si="47"/>
        <v>1486550</v>
      </c>
      <c r="R569" s="648"/>
      <c r="S569" s="648" t="s">
        <v>1068</v>
      </c>
    </row>
    <row r="570" spans="1:19" ht="18" hidden="1" customHeight="1" x14ac:dyDescent="0.2">
      <c r="A570" s="45"/>
      <c r="B570" s="45"/>
      <c r="C570" s="56"/>
      <c r="D570" s="61" t="s">
        <v>493</v>
      </c>
      <c r="E570" s="69">
        <v>1</v>
      </c>
      <c r="F570" s="48">
        <v>321908</v>
      </c>
      <c r="G570" s="60"/>
      <c r="H570" s="60"/>
      <c r="I570" s="60"/>
      <c r="J570" s="60"/>
      <c r="K570" s="60"/>
      <c r="L570" s="60"/>
      <c r="M570" s="60"/>
      <c r="N570" s="60"/>
      <c r="O570" s="60"/>
      <c r="P570" s="60"/>
      <c r="Q570" s="560">
        <f t="shared" si="47"/>
        <v>0</v>
      </c>
      <c r="R570" s="648" t="s">
        <v>776</v>
      </c>
      <c r="S570" s="648"/>
    </row>
    <row r="571" spans="1:19" ht="18.75" hidden="1" customHeight="1" x14ac:dyDescent="0.2">
      <c r="A571" s="45"/>
      <c r="B571" s="45"/>
      <c r="C571" s="56"/>
      <c r="D571" s="240" t="s">
        <v>494</v>
      </c>
      <c r="E571" s="57">
        <v>1</v>
      </c>
      <c r="F571" s="58">
        <v>321933</v>
      </c>
      <c r="G571" s="60"/>
      <c r="H571" s="60"/>
      <c r="I571" s="60"/>
      <c r="J571" s="60"/>
      <c r="K571" s="60"/>
      <c r="L571" s="60"/>
      <c r="M571" s="60"/>
      <c r="N571" s="60"/>
      <c r="O571" s="60"/>
      <c r="P571" s="60"/>
      <c r="Q571" s="560">
        <f t="shared" si="47"/>
        <v>0</v>
      </c>
      <c r="R571" s="648"/>
      <c r="S571" s="648"/>
    </row>
    <row r="572" spans="1:19" ht="15.6" hidden="1" customHeight="1" x14ac:dyDescent="0.2">
      <c r="A572" s="207"/>
      <c r="B572" s="207"/>
      <c r="C572" s="249"/>
      <c r="D572" s="250" t="s">
        <v>495</v>
      </c>
      <c r="E572" s="57">
        <v>1</v>
      </c>
      <c r="F572" s="58">
        <v>321934</v>
      </c>
      <c r="G572" s="60"/>
      <c r="H572" s="60"/>
      <c r="I572" s="60"/>
      <c r="J572" s="60"/>
      <c r="K572" s="60"/>
      <c r="L572" s="60"/>
      <c r="M572" s="60"/>
      <c r="N572" s="60"/>
      <c r="O572" s="60"/>
      <c r="P572" s="60"/>
      <c r="Q572" s="560">
        <f t="shared" si="47"/>
        <v>0</v>
      </c>
      <c r="R572" s="648"/>
      <c r="S572" s="648"/>
    </row>
    <row r="573" spans="1:19" ht="18" hidden="1" customHeight="1" x14ac:dyDescent="0.2">
      <c r="A573" s="45"/>
      <c r="B573" s="45"/>
      <c r="C573" s="56"/>
      <c r="D573" s="67" t="s">
        <v>496</v>
      </c>
      <c r="E573" s="57">
        <v>1</v>
      </c>
      <c r="F573" s="58">
        <v>321911</v>
      </c>
      <c r="G573" s="60"/>
      <c r="H573" s="60"/>
      <c r="I573" s="60"/>
      <c r="J573" s="60"/>
      <c r="K573" s="60"/>
      <c r="L573" s="60"/>
      <c r="M573" s="60"/>
      <c r="N573" s="60"/>
      <c r="O573" s="60"/>
      <c r="P573" s="60"/>
      <c r="Q573" s="560">
        <f t="shared" si="47"/>
        <v>0</v>
      </c>
      <c r="R573" s="648"/>
      <c r="S573" s="648"/>
    </row>
    <row r="574" spans="1:19" ht="24" hidden="1" customHeight="1" x14ac:dyDescent="0.2">
      <c r="A574" s="45"/>
      <c r="B574" s="45"/>
      <c r="C574" s="56"/>
      <c r="D574" s="67" t="s">
        <v>741</v>
      </c>
      <c r="E574" s="57">
        <v>1</v>
      </c>
      <c r="F574" s="58">
        <v>321928</v>
      </c>
      <c r="G574" s="60"/>
      <c r="H574" s="60"/>
      <c r="I574" s="60"/>
      <c r="J574" s="60"/>
      <c r="K574" s="60"/>
      <c r="L574" s="60"/>
      <c r="M574" s="60"/>
      <c r="N574" s="60"/>
      <c r="O574" s="60"/>
      <c r="P574" s="60"/>
      <c r="Q574" s="560">
        <f t="shared" si="47"/>
        <v>0</v>
      </c>
      <c r="R574" s="648" t="s">
        <v>777</v>
      </c>
      <c r="S574" s="648"/>
    </row>
    <row r="575" spans="1:19" ht="16.899999999999999" hidden="1" customHeight="1" x14ac:dyDescent="0.2">
      <c r="A575" s="45"/>
      <c r="B575" s="45"/>
      <c r="C575" s="56"/>
      <c r="D575" s="223" t="s">
        <v>497</v>
      </c>
      <c r="E575" s="48"/>
      <c r="F575" s="48"/>
      <c r="G575" s="60"/>
      <c r="H575" s="47"/>
      <c r="I575" s="47"/>
      <c r="J575" s="47"/>
      <c r="K575" s="60"/>
      <c r="L575" s="47"/>
      <c r="M575" s="48"/>
      <c r="N575" s="48"/>
      <c r="O575" s="48"/>
      <c r="P575" s="48"/>
      <c r="Q575" s="560">
        <f t="shared" si="47"/>
        <v>0</v>
      </c>
      <c r="R575" s="648"/>
      <c r="S575" s="648"/>
    </row>
    <row r="576" spans="1:19" ht="18" hidden="1" customHeight="1" x14ac:dyDescent="0.2">
      <c r="A576" s="45"/>
      <c r="B576" s="45"/>
      <c r="C576" s="56" t="s">
        <v>83</v>
      </c>
      <c r="D576" s="525" t="s">
        <v>498</v>
      </c>
      <c r="E576" s="48">
        <v>1</v>
      </c>
      <c r="F576" s="48">
        <v>324902</v>
      </c>
      <c r="G576" s="60"/>
      <c r="H576" s="60"/>
      <c r="I576" s="60"/>
      <c r="J576" s="60"/>
      <c r="K576" s="60"/>
      <c r="L576" s="60"/>
      <c r="M576" s="60"/>
      <c r="N576" s="60"/>
      <c r="O576" s="60"/>
      <c r="P576" s="60"/>
      <c r="Q576" s="560">
        <f t="shared" si="47"/>
        <v>0</v>
      </c>
      <c r="R576" s="648"/>
      <c r="S576" s="648"/>
    </row>
    <row r="577" spans="1:19" ht="18" hidden="1" customHeight="1" x14ac:dyDescent="0.2">
      <c r="A577" s="45"/>
      <c r="B577" s="45"/>
      <c r="C577" s="249" t="s">
        <v>82</v>
      </c>
      <c r="D577" s="526" t="s">
        <v>742</v>
      </c>
      <c r="E577" s="46">
        <v>1</v>
      </c>
      <c r="F577" s="46">
        <v>322906</v>
      </c>
      <c r="G577" s="60"/>
      <c r="H577" s="60"/>
      <c r="I577" s="60"/>
      <c r="J577" s="60"/>
      <c r="K577" s="60"/>
      <c r="L577" s="60"/>
      <c r="M577" s="60"/>
      <c r="N577" s="60"/>
      <c r="O577" s="60"/>
      <c r="P577" s="60"/>
      <c r="Q577" s="560">
        <f t="shared" si="47"/>
        <v>0</v>
      </c>
      <c r="R577" s="648"/>
      <c r="S577" s="648"/>
    </row>
    <row r="578" spans="1:19" ht="15.95" customHeight="1" x14ac:dyDescent="0.2">
      <c r="A578" s="136"/>
      <c r="B578" s="136"/>
      <c r="C578" s="215"/>
      <c r="D578" s="232" t="s">
        <v>499</v>
      </c>
      <c r="E578" s="64"/>
      <c r="F578" s="251"/>
      <c r="G578" s="192">
        <f>SUM(G566:G577)</f>
        <v>0</v>
      </c>
      <c r="H578" s="192">
        <f t="shared" ref="H578:R578" si="48">SUM(H566:H577)</f>
        <v>0</v>
      </c>
      <c r="I578" s="192">
        <f t="shared" si="48"/>
        <v>0</v>
      </c>
      <c r="J578" s="192">
        <f t="shared" si="48"/>
        <v>0</v>
      </c>
      <c r="K578" s="192">
        <f t="shared" si="48"/>
        <v>1486550</v>
      </c>
      <c r="L578" s="192">
        <f t="shared" si="48"/>
        <v>0</v>
      </c>
      <c r="M578" s="192">
        <f t="shared" si="48"/>
        <v>0</v>
      </c>
      <c r="N578" s="192">
        <f t="shared" si="48"/>
        <v>0</v>
      </c>
      <c r="O578" s="192">
        <f t="shared" si="48"/>
        <v>0</v>
      </c>
      <c r="P578" s="192">
        <f t="shared" si="48"/>
        <v>0</v>
      </c>
      <c r="Q578" s="659">
        <f t="shared" si="48"/>
        <v>1486550</v>
      </c>
      <c r="R578" s="659">
        <f t="shared" si="48"/>
        <v>0</v>
      </c>
      <c r="S578" s="674"/>
    </row>
    <row r="579" spans="1:19" ht="21.75" customHeight="1" x14ac:dyDescent="0.2">
      <c r="A579" s="136"/>
      <c r="B579" s="136"/>
      <c r="C579" s="215"/>
      <c r="D579" s="252" t="s">
        <v>500</v>
      </c>
      <c r="E579" s="253"/>
      <c r="F579" s="254"/>
      <c r="G579" s="255">
        <f t="shared" ref="G579:R579" si="49">SUM(G45+G185+G197+G325+G451+G469+G495+G524+G564+G578)</f>
        <v>5390000</v>
      </c>
      <c r="H579" s="255">
        <f t="shared" si="49"/>
        <v>689750</v>
      </c>
      <c r="I579" s="255">
        <f t="shared" si="49"/>
        <v>-30396252</v>
      </c>
      <c r="J579" s="255">
        <f t="shared" si="49"/>
        <v>0</v>
      </c>
      <c r="K579" s="255">
        <f t="shared" si="49"/>
        <v>1886550</v>
      </c>
      <c r="L579" s="255">
        <f t="shared" si="49"/>
        <v>29170924</v>
      </c>
      <c r="M579" s="255">
        <f t="shared" si="49"/>
        <v>32598997</v>
      </c>
      <c r="N579" s="255">
        <f t="shared" si="49"/>
        <v>0</v>
      </c>
      <c r="O579" s="255">
        <f t="shared" si="49"/>
        <v>0</v>
      </c>
      <c r="P579" s="255">
        <f t="shared" si="49"/>
        <v>0</v>
      </c>
      <c r="Q579" s="650">
        <f t="shared" si="49"/>
        <v>39339969</v>
      </c>
      <c r="R579" s="650">
        <f t="shared" si="49"/>
        <v>0</v>
      </c>
      <c r="S579" s="674"/>
    </row>
    <row r="580" spans="1:19" ht="15.95" customHeight="1" x14ac:dyDescent="0.2">
      <c r="A580" s="45">
        <v>2</v>
      </c>
      <c r="B580" s="45"/>
      <c r="C580" s="45"/>
      <c r="D580" s="506" t="s">
        <v>142</v>
      </c>
      <c r="E580" s="46"/>
      <c r="F580" s="507"/>
      <c r="G580" s="256"/>
      <c r="H580" s="256"/>
      <c r="I580" s="256"/>
      <c r="J580" s="256"/>
      <c r="K580" s="256"/>
      <c r="L580" s="256"/>
      <c r="M580" s="256"/>
      <c r="N580" s="256"/>
      <c r="O580" s="256"/>
      <c r="P580" s="256"/>
      <c r="Q580" s="665">
        <f>SUM(G580:P580)</f>
        <v>0</v>
      </c>
      <c r="R580" s="652">
        <f>Q580</f>
        <v>0</v>
      </c>
      <c r="S580" s="648"/>
    </row>
    <row r="581" spans="1:19" ht="15.95" customHeight="1" x14ac:dyDescent="0.2">
      <c r="A581" s="136"/>
      <c r="B581" s="136"/>
      <c r="C581" s="215"/>
      <c r="D581" s="232" t="s">
        <v>134</v>
      </c>
      <c r="E581" s="30"/>
      <c r="F581" s="31"/>
      <c r="G581" s="13">
        <f>SUM(G579:G580)</f>
        <v>5390000</v>
      </c>
      <c r="H581" s="13">
        <f t="shared" ref="H581:P581" si="50">SUM(H579:H580)</f>
        <v>689750</v>
      </c>
      <c r="I581" s="13">
        <f t="shared" si="50"/>
        <v>-30396252</v>
      </c>
      <c r="J581" s="13">
        <f t="shared" si="50"/>
        <v>0</v>
      </c>
      <c r="K581" s="13">
        <f t="shared" si="50"/>
        <v>1886550</v>
      </c>
      <c r="L581" s="13">
        <f t="shared" si="50"/>
        <v>29170924</v>
      </c>
      <c r="M581" s="13">
        <f t="shared" si="50"/>
        <v>32598997</v>
      </c>
      <c r="N581" s="13">
        <f t="shared" si="50"/>
        <v>0</v>
      </c>
      <c r="O581" s="13">
        <f t="shared" si="50"/>
        <v>0</v>
      </c>
      <c r="P581" s="13">
        <f t="shared" si="50"/>
        <v>0</v>
      </c>
      <c r="Q581" s="650">
        <f>SUM(Q579:Q580)</f>
        <v>39339969</v>
      </c>
      <c r="R581" s="650">
        <f t="shared" ref="R581" si="51">SUM(R579:R580)</f>
        <v>0</v>
      </c>
      <c r="S581" s="674"/>
    </row>
    <row r="583" spans="1:19" x14ac:dyDescent="0.2">
      <c r="R583" s="291">
        <f>SUM(R40+R55+R109+R127+R177+R197+R290+R336+R469+R490+R521+R559+R578+R580+Q500)</f>
        <v>0</v>
      </c>
    </row>
  </sheetData>
  <sheetProtection selectLockedCells="1" selectUnlockedCells="1"/>
  <mergeCells count="12">
    <mergeCell ref="D325:E325"/>
    <mergeCell ref="D567:E567"/>
    <mergeCell ref="F1:F2"/>
    <mergeCell ref="S1:S2"/>
    <mergeCell ref="A1:A2"/>
    <mergeCell ref="B1:B2"/>
    <mergeCell ref="C1:C2"/>
    <mergeCell ref="D1:D2"/>
    <mergeCell ref="E1:E2"/>
    <mergeCell ref="G1:N1"/>
    <mergeCell ref="O1:P1"/>
    <mergeCell ref="Q1:Q2"/>
  </mergeCells>
  <phoneticPr fontId="71" type="noConversion"/>
  <printOptions horizontalCentered="1" verticalCentered="1"/>
  <pageMargins left="3.937007874015748E-2" right="3.937007874015748E-2" top="0.6692913385826772" bottom="0.70866141732283472" header="0.23622047244094491" footer="0.11811023622047245"/>
  <pageSetup paperSize="9" scale="66" fitToHeight="2" orientation="landscape" r:id="rId1"/>
  <headerFooter alignWithMargins="0">
    <oddHeader>&amp;C&amp;"Times New Roman CE,Félkövér dőlt"ZALAEGERSZEG MEGYEI JOGÚ VÁROS ÖNKORMÁNYZATA
KIADÁSI ELŐIRÁNYZATAINAK MÓDOSÍTÁSA 2026. ÉVBEN
&amp;R&amp;"Times New Roman CE,Félkövér dőlt"2. tájékoztató tábla
Adatok forintban</oddHeader>
    <oddFooter>&amp;LFeladat jellege:
1=kötelező
2=önként vállalt
&amp;C&amp;P. oldal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12</vt:i4>
      </vt:variant>
      <vt:variant>
        <vt:lpstr>Névvel ellátott tartományok</vt:lpstr>
      </vt:variant>
      <vt:variant>
        <vt:i4>10</vt:i4>
      </vt:variant>
    </vt:vector>
  </HeadingPairs>
  <TitlesOfParts>
    <vt:vector size="2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táj1</vt:lpstr>
      <vt:lpstr>táj2</vt:lpstr>
      <vt:lpstr>'3'!Nyomtatási_cím</vt:lpstr>
      <vt:lpstr>'6'!Nyomtatási_cím</vt:lpstr>
      <vt:lpstr>'8'!Nyomtatási_cím</vt:lpstr>
      <vt:lpstr>táj1!Nyomtatási_cím</vt:lpstr>
      <vt:lpstr>táj2!Nyomtatási_cím</vt:lpstr>
      <vt:lpstr>'6'!Nyomtatási_terület</vt:lpstr>
      <vt:lpstr>'8'!Nyomtatási_terület</vt:lpstr>
      <vt:lpstr>'9'!Nyomtatási_terület</vt:lpstr>
      <vt:lpstr>táj1!Nyomtatási_terület</vt:lpstr>
      <vt:lpstr>táj2!Nyomtatási_terület</vt:lpstr>
    </vt:vector>
  </TitlesOfParts>
  <Company>ZMJV PH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Közgazdasági Osztály</dc:creator>
  <cp:lastModifiedBy>Takacsne Simon Anita</cp:lastModifiedBy>
  <cp:lastPrinted>2026-07-10T06:25:28Z</cp:lastPrinted>
  <dcterms:created xsi:type="dcterms:W3CDTF">2002-12-30T13:12:46Z</dcterms:created>
  <dcterms:modified xsi:type="dcterms:W3CDTF">2026-07-10T06:25:30Z</dcterms:modified>
</cp:coreProperties>
</file>