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1. III.névi módosítás\"/>
    </mc:Choice>
  </mc:AlternateContent>
  <xr:revisionPtr revIDLastSave="0" documentId="13_ncr:1_{8E278AEF-D94F-42E7-87B4-33C4581D2899}" xr6:coauthVersionLast="47" xr6:coauthVersionMax="47" xr10:uidLastSave="{00000000-0000-0000-0000-000000000000}"/>
  <bookViews>
    <workbookView xWindow="-120" yWindow="-120" windowWidth="19440" windowHeight="15000" tabRatio="608" activeTab="11" xr2:uid="{00000000-000D-0000-FFFF-FFFF00000000}"/>
  </bookViews>
  <sheets>
    <sheet name="1" sheetId="135" r:id="rId1"/>
    <sheet name="2" sheetId="157" r:id="rId2"/>
    <sheet name="3" sheetId="191" r:id="rId3"/>
    <sheet name="4" sheetId="107" r:id="rId4"/>
    <sheet name="5" sheetId="62" r:id="rId5"/>
    <sheet name="6" sheetId="179" r:id="rId6"/>
    <sheet name="7" sheetId="63" r:id="rId7"/>
    <sheet name="8" sheetId="180" r:id="rId8"/>
    <sheet name="9" sheetId="138" r:id="rId9"/>
    <sheet name="10" sheetId="139" r:id="rId10"/>
    <sheet name="táj.1" sheetId="186" r:id="rId11"/>
    <sheet name="táj.2" sheetId="187" r:id="rId12"/>
    <sheet name="táj.3" sheetId="188" r:id="rId13"/>
    <sheet name="táj.4" sheetId="189" r:id="rId14"/>
  </sheets>
  <externalReferences>
    <externalReference r:id="rId15"/>
  </externalReference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táj.1!$1:$2</definedName>
    <definedName name="_xlnm.Print_Titles" localSheetId="11">táj.2!$1:$2</definedName>
    <definedName name="_xlnm.Print_Area" localSheetId="2">'3'!$A$1:$J$58</definedName>
    <definedName name="_xlnm.Print_Area" localSheetId="5">'6'!$A$1:$O$190</definedName>
    <definedName name="_xlnm.Print_Area" localSheetId="7">'8'!$A$1:$R$773</definedName>
    <definedName name="_xlnm.Print_Area" localSheetId="10">táj.1!$A$1:$O$190</definedName>
    <definedName name="_xlnm.Print_Area" localSheetId="11">táj.2!$A$1:$R$773</definedName>
  </definedNames>
  <calcPr calcId="181029"/>
</workbook>
</file>

<file path=xl/calcChain.xml><?xml version="1.0" encoding="utf-8"?>
<calcChain xmlns="http://schemas.openxmlformats.org/spreadsheetml/2006/main">
  <c r="Q210" i="180" l="1"/>
  <c r="Q211" i="180"/>
  <c r="H211" i="180"/>
  <c r="I211" i="180"/>
  <c r="J211" i="180"/>
  <c r="K211" i="180"/>
  <c r="L211" i="180"/>
  <c r="M211" i="180"/>
  <c r="N211" i="180"/>
  <c r="O211" i="180"/>
  <c r="P211" i="180"/>
  <c r="H210" i="180"/>
  <c r="I210" i="180"/>
  <c r="J210" i="180"/>
  <c r="K210" i="180"/>
  <c r="L210" i="180"/>
  <c r="M210" i="180"/>
  <c r="N210" i="180"/>
  <c r="O210" i="180"/>
  <c r="P210" i="180"/>
  <c r="G210" i="180"/>
  <c r="G211" i="180"/>
  <c r="Q211" i="187"/>
  <c r="Q210" i="187"/>
  <c r="H486" i="180" l="1"/>
  <c r="I486" i="180"/>
  <c r="J486" i="180"/>
  <c r="K486" i="180"/>
  <c r="L486" i="180"/>
  <c r="M486" i="180"/>
  <c r="N486" i="180"/>
  <c r="O486" i="180"/>
  <c r="P486" i="180"/>
  <c r="G486" i="180"/>
  <c r="Q486" i="180" s="1"/>
  <c r="D9" i="135" l="1"/>
  <c r="E5" i="157" l="1"/>
  <c r="Q486" i="187" l="1"/>
  <c r="H701" i="180" l="1"/>
  <c r="I701" i="180"/>
  <c r="J701" i="180"/>
  <c r="K701" i="180"/>
  <c r="L701" i="180"/>
  <c r="M701" i="180"/>
  <c r="N701" i="180"/>
  <c r="O701" i="180"/>
  <c r="P701" i="180"/>
  <c r="G701" i="180"/>
  <c r="Q701" i="187"/>
  <c r="H680" i="180"/>
  <c r="I680" i="180"/>
  <c r="J680" i="180"/>
  <c r="K680" i="180"/>
  <c r="L680" i="180"/>
  <c r="M680" i="180"/>
  <c r="N680" i="180"/>
  <c r="O680" i="180"/>
  <c r="P680" i="180"/>
  <c r="G680" i="180"/>
  <c r="Q680" i="187"/>
  <c r="Q701" i="180" l="1"/>
  <c r="Q680" i="180"/>
  <c r="Q607" i="187"/>
  <c r="Q606" i="187"/>
  <c r="H607" i="180"/>
  <c r="I607" i="180"/>
  <c r="J607" i="180"/>
  <c r="K607" i="180"/>
  <c r="L607" i="180"/>
  <c r="M607" i="180"/>
  <c r="N607" i="180"/>
  <c r="O607" i="180"/>
  <c r="P607" i="180"/>
  <c r="H606" i="180"/>
  <c r="I606" i="180"/>
  <c r="J606" i="180"/>
  <c r="K606" i="180"/>
  <c r="L606" i="180"/>
  <c r="M606" i="180"/>
  <c r="N606" i="180"/>
  <c r="O606" i="180"/>
  <c r="P606" i="180"/>
  <c r="G606" i="180"/>
  <c r="G607" i="180"/>
  <c r="Q554" i="187"/>
  <c r="Q555" i="187"/>
  <c r="H555" i="180"/>
  <c r="I555" i="180"/>
  <c r="J555" i="180"/>
  <c r="K555" i="180"/>
  <c r="L555" i="180"/>
  <c r="M555" i="180"/>
  <c r="N555" i="180"/>
  <c r="O555" i="180"/>
  <c r="P555" i="180"/>
  <c r="H554" i="180"/>
  <c r="I554" i="180"/>
  <c r="J554" i="180"/>
  <c r="K554" i="180"/>
  <c r="L554" i="180"/>
  <c r="M554" i="180"/>
  <c r="N554" i="180"/>
  <c r="O554" i="180"/>
  <c r="P554" i="180"/>
  <c r="G554" i="180"/>
  <c r="G555" i="180"/>
  <c r="H524" i="180"/>
  <c r="I524" i="180"/>
  <c r="J524" i="180"/>
  <c r="K524" i="180"/>
  <c r="L524" i="180"/>
  <c r="M524" i="180"/>
  <c r="N524" i="180"/>
  <c r="O524" i="180"/>
  <c r="P524" i="180"/>
  <c r="G524" i="180"/>
  <c r="Q524" i="187"/>
  <c r="Q474" i="187"/>
  <c r="Q475" i="187"/>
  <c r="H475" i="180"/>
  <c r="I475" i="180"/>
  <c r="J475" i="180"/>
  <c r="K475" i="180"/>
  <c r="L475" i="180"/>
  <c r="M475" i="180"/>
  <c r="N475" i="180"/>
  <c r="O475" i="180"/>
  <c r="P475" i="180"/>
  <c r="H474" i="180"/>
  <c r="I474" i="180"/>
  <c r="J474" i="180"/>
  <c r="K474" i="180"/>
  <c r="L474" i="180"/>
  <c r="M474" i="180"/>
  <c r="N474" i="180"/>
  <c r="O474" i="180"/>
  <c r="P474" i="180"/>
  <c r="G474" i="180"/>
  <c r="G475" i="180"/>
  <c r="H461" i="180"/>
  <c r="I461" i="180"/>
  <c r="J461" i="180"/>
  <c r="K461" i="180"/>
  <c r="L461" i="180"/>
  <c r="M461" i="180"/>
  <c r="N461" i="180"/>
  <c r="O461" i="180"/>
  <c r="P461" i="180"/>
  <c r="G461" i="180"/>
  <c r="Q461" i="187"/>
  <c r="H428" i="180"/>
  <c r="I428" i="180"/>
  <c r="J428" i="180"/>
  <c r="K428" i="180"/>
  <c r="L428" i="180"/>
  <c r="M428" i="180"/>
  <c r="N428" i="180"/>
  <c r="O428" i="180"/>
  <c r="P428" i="180"/>
  <c r="H427" i="180"/>
  <c r="I427" i="180"/>
  <c r="J427" i="180"/>
  <c r="K427" i="180"/>
  <c r="L427" i="180"/>
  <c r="M427" i="180"/>
  <c r="N427" i="180"/>
  <c r="O427" i="180"/>
  <c r="P427" i="180"/>
  <c r="H426" i="180"/>
  <c r="I426" i="180"/>
  <c r="J426" i="180"/>
  <c r="K426" i="180"/>
  <c r="L426" i="180"/>
  <c r="M426" i="180"/>
  <c r="N426" i="180"/>
  <c r="O426" i="180"/>
  <c r="P426" i="180"/>
  <c r="H425" i="180"/>
  <c r="I425" i="180"/>
  <c r="J425" i="180"/>
  <c r="K425" i="180"/>
  <c r="L425" i="180"/>
  <c r="M425" i="180"/>
  <c r="N425" i="180"/>
  <c r="O425" i="180"/>
  <c r="P425" i="180"/>
  <c r="H424" i="180"/>
  <c r="I424" i="180"/>
  <c r="J424" i="180"/>
  <c r="K424" i="180"/>
  <c r="L424" i="180"/>
  <c r="M424" i="180"/>
  <c r="N424" i="180"/>
  <c r="O424" i="180"/>
  <c r="P424" i="180"/>
  <c r="H423" i="180"/>
  <c r="I423" i="180"/>
  <c r="J423" i="180"/>
  <c r="K423" i="180"/>
  <c r="L423" i="180"/>
  <c r="M423" i="180"/>
  <c r="N423" i="180"/>
  <c r="O423" i="180"/>
  <c r="P423" i="180"/>
  <c r="H422" i="180"/>
  <c r="I422" i="180"/>
  <c r="J422" i="180"/>
  <c r="K422" i="180"/>
  <c r="L422" i="180"/>
  <c r="M422" i="180"/>
  <c r="N422" i="180"/>
  <c r="O422" i="180"/>
  <c r="P422" i="180"/>
  <c r="G422" i="180"/>
  <c r="G423" i="180"/>
  <c r="G424" i="180"/>
  <c r="G425" i="180"/>
  <c r="G426" i="180"/>
  <c r="G427" i="180"/>
  <c r="G428" i="180"/>
  <c r="Q422" i="187"/>
  <c r="Q423" i="187"/>
  <c r="Q424" i="187"/>
  <c r="Q425" i="187"/>
  <c r="Q426" i="187"/>
  <c r="Q427" i="187"/>
  <c r="Q428" i="187"/>
  <c r="Q607" i="180" l="1"/>
  <c r="Q606" i="180"/>
  <c r="Q554" i="180"/>
  <c r="Q555" i="180"/>
  <c r="Q524" i="180"/>
  <c r="Q475" i="180"/>
  <c r="Q474" i="180"/>
  <c r="Q461" i="180"/>
  <c r="Q425" i="180"/>
  <c r="Q428" i="180"/>
  <c r="Q422" i="180"/>
  <c r="Q423" i="180"/>
  <c r="Q426" i="180"/>
  <c r="Q427" i="180"/>
  <c r="Q424" i="180"/>
  <c r="H363" i="180"/>
  <c r="I363" i="180"/>
  <c r="J363" i="180"/>
  <c r="K363" i="180"/>
  <c r="L363" i="180"/>
  <c r="M363" i="180"/>
  <c r="N363" i="180"/>
  <c r="O363" i="180"/>
  <c r="P363" i="180"/>
  <c r="G363" i="180"/>
  <c r="Q363" i="187"/>
  <c r="H325" i="180"/>
  <c r="I325" i="180"/>
  <c r="J325" i="180"/>
  <c r="K325" i="180"/>
  <c r="L325" i="180"/>
  <c r="M325" i="180"/>
  <c r="N325" i="180"/>
  <c r="O325" i="180"/>
  <c r="P325" i="180"/>
  <c r="G325" i="180"/>
  <c r="Q325" i="187"/>
  <c r="H97" i="180"/>
  <c r="I97" i="180"/>
  <c r="J97" i="180"/>
  <c r="K97" i="180"/>
  <c r="L97" i="180"/>
  <c r="M97" i="180"/>
  <c r="N97" i="180"/>
  <c r="O97" i="180"/>
  <c r="P97" i="180"/>
  <c r="G97" i="180"/>
  <c r="Q97" i="187"/>
  <c r="F169" i="179"/>
  <c r="G169" i="179"/>
  <c r="H169" i="179"/>
  <c r="I169" i="179"/>
  <c r="J169" i="179"/>
  <c r="K169" i="179"/>
  <c r="L169" i="179"/>
  <c r="M169" i="179"/>
  <c r="N169" i="179"/>
  <c r="E169" i="179"/>
  <c r="O169" i="186"/>
  <c r="O156" i="179"/>
  <c r="F156" i="179"/>
  <c r="G156" i="179"/>
  <c r="H156" i="179"/>
  <c r="I156" i="179"/>
  <c r="J156" i="179"/>
  <c r="K156" i="179"/>
  <c r="L156" i="179"/>
  <c r="M156" i="179"/>
  <c r="N156" i="179"/>
  <c r="E156" i="179"/>
  <c r="O156" i="186"/>
  <c r="F130" i="179"/>
  <c r="G130" i="179"/>
  <c r="H130" i="179"/>
  <c r="I130" i="179"/>
  <c r="J130" i="179"/>
  <c r="K130" i="179"/>
  <c r="L130" i="179"/>
  <c r="M130" i="179"/>
  <c r="N130" i="179"/>
  <c r="E130" i="179"/>
  <c r="O130" i="186"/>
  <c r="O117" i="186"/>
  <c r="F117" i="179"/>
  <c r="G117" i="179"/>
  <c r="H117" i="179"/>
  <c r="I117" i="179"/>
  <c r="J117" i="179"/>
  <c r="K117" i="179"/>
  <c r="L117" i="179"/>
  <c r="M117" i="179"/>
  <c r="N117" i="179"/>
  <c r="E117" i="179"/>
  <c r="M87" i="179"/>
  <c r="J87" i="179"/>
  <c r="K87" i="179"/>
  <c r="L87" i="179"/>
  <c r="I87" i="179"/>
  <c r="H87" i="179"/>
  <c r="F87" i="179"/>
  <c r="G87" i="179"/>
  <c r="E87" i="179"/>
  <c r="M86" i="179"/>
  <c r="H86" i="179"/>
  <c r="G86" i="179"/>
  <c r="F86" i="179"/>
  <c r="E86" i="179"/>
  <c r="F111" i="179"/>
  <c r="G111" i="179"/>
  <c r="H111" i="179"/>
  <c r="I111" i="179"/>
  <c r="J111" i="179"/>
  <c r="K111" i="179"/>
  <c r="L111" i="179"/>
  <c r="M111" i="179"/>
  <c r="N111" i="179"/>
  <c r="E111" i="179"/>
  <c r="O111" i="186"/>
  <c r="F112" i="186"/>
  <c r="G112" i="186"/>
  <c r="H112" i="186"/>
  <c r="I112" i="186"/>
  <c r="J112" i="186"/>
  <c r="K112" i="186"/>
  <c r="L112" i="186"/>
  <c r="M112" i="186"/>
  <c r="N112" i="186"/>
  <c r="E112" i="186"/>
  <c r="F97" i="179"/>
  <c r="G97" i="179"/>
  <c r="H97" i="179"/>
  <c r="I97" i="179"/>
  <c r="J97" i="179"/>
  <c r="K97" i="179"/>
  <c r="L97" i="179"/>
  <c r="M97" i="179"/>
  <c r="N97" i="179"/>
  <c r="E97" i="179"/>
  <c r="O97" i="186"/>
  <c r="F52" i="179"/>
  <c r="G52" i="179"/>
  <c r="H52" i="179"/>
  <c r="I52" i="179"/>
  <c r="J52" i="179"/>
  <c r="K52" i="179"/>
  <c r="L52" i="179"/>
  <c r="M52" i="179"/>
  <c r="N52" i="179"/>
  <c r="E52" i="179"/>
  <c r="O52" i="186"/>
  <c r="F45" i="179"/>
  <c r="G45" i="179"/>
  <c r="H45" i="179"/>
  <c r="I45" i="179"/>
  <c r="J45" i="179"/>
  <c r="K45" i="179"/>
  <c r="L45" i="179"/>
  <c r="M45" i="179"/>
  <c r="N45" i="179"/>
  <c r="E45" i="179"/>
  <c r="O45" i="186"/>
  <c r="F33" i="179"/>
  <c r="G33" i="179"/>
  <c r="H33" i="179"/>
  <c r="I33" i="179"/>
  <c r="J33" i="179"/>
  <c r="K33" i="179"/>
  <c r="L33" i="179"/>
  <c r="M33" i="179"/>
  <c r="N33" i="179"/>
  <c r="F32" i="179"/>
  <c r="G32" i="179"/>
  <c r="H32" i="179"/>
  <c r="I32" i="179"/>
  <c r="J32" i="179"/>
  <c r="K32" i="179"/>
  <c r="L32" i="179"/>
  <c r="M32" i="179"/>
  <c r="N32" i="179"/>
  <c r="F30" i="179"/>
  <c r="G30" i="179"/>
  <c r="H30" i="179"/>
  <c r="I30" i="179"/>
  <c r="J30" i="179"/>
  <c r="K30" i="179"/>
  <c r="L30" i="179"/>
  <c r="M30" i="179"/>
  <c r="N30" i="179"/>
  <c r="F28" i="179"/>
  <c r="G28" i="179"/>
  <c r="H28" i="179"/>
  <c r="I28" i="179"/>
  <c r="J28" i="179"/>
  <c r="K28" i="179"/>
  <c r="L28" i="179"/>
  <c r="M28" i="179"/>
  <c r="N28" i="179"/>
  <c r="E28" i="179"/>
  <c r="E30" i="179"/>
  <c r="E32" i="179"/>
  <c r="E33" i="179"/>
  <c r="F34" i="186"/>
  <c r="G34" i="186"/>
  <c r="H34" i="186"/>
  <c r="I34" i="186"/>
  <c r="J34" i="186"/>
  <c r="K34" i="186"/>
  <c r="L34" i="186"/>
  <c r="M34" i="186"/>
  <c r="N34" i="186"/>
  <c r="E34" i="186"/>
  <c r="O28" i="186"/>
  <c r="O30" i="186"/>
  <c r="O32" i="186"/>
  <c r="O33" i="186"/>
  <c r="O16" i="186"/>
  <c r="F16" i="179"/>
  <c r="G16" i="179"/>
  <c r="H16" i="179"/>
  <c r="I16" i="179"/>
  <c r="J16" i="179"/>
  <c r="K16" i="179"/>
  <c r="L16" i="179"/>
  <c r="M16" i="179"/>
  <c r="N16" i="179"/>
  <c r="E16" i="179"/>
  <c r="M766" i="180"/>
  <c r="K763" i="180"/>
  <c r="K762" i="180"/>
  <c r="K761" i="180"/>
  <c r="K760" i="180"/>
  <c r="K759" i="180"/>
  <c r="K757" i="180"/>
  <c r="K756" i="180"/>
  <c r="K755" i="180"/>
  <c r="K754" i="180"/>
  <c r="K753" i="180"/>
  <c r="L747" i="180"/>
  <c r="I747" i="180"/>
  <c r="L744" i="180"/>
  <c r="I744" i="180"/>
  <c r="L740" i="180"/>
  <c r="K737" i="180"/>
  <c r="K734" i="180"/>
  <c r="I732" i="180"/>
  <c r="K727" i="180"/>
  <c r="N720" i="180"/>
  <c r="L720" i="180"/>
  <c r="K720" i="180"/>
  <c r="I720" i="180"/>
  <c r="H720" i="180"/>
  <c r="G720" i="180"/>
  <c r="N719" i="180"/>
  <c r="K713" i="180"/>
  <c r="K705" i="180"/>
  <c r="I705" i="180"/>
  <c r="I677" i="180"/>
  <c r="K698" i="180"/>
  <c r="K696" i="180"/>
  <c r="P694" i="180"/>
  <c r="K689" i="180"/>
  <c r="L651" i="180"/>
  <c r="L650" i="180"/>
  <c r="P644" i="180"/>
  <c r="I644" i="180"/>
  <c r="L643" i="180"/>
  <c r="L640" i="180"/>
  <c r="I632" i="180"/>
  <c r="Q363" i="180" l="1"/>
  <c r="Q325" i="180"/>
  <c r="Q97" i="180"/>
  <c r="O130" i="179"/>
  <c r="O117" i="179"/>
  <c r="O111" i="179"/>
  <c r="O97" i="179"/>
  <c r="O52" i="179"/>
  <c r="O45" i="179"/>
  <c r="O30" i="179"/>
  <c r="O28" i="179"/>
  <c r="O33" i="179"/>
  <c r="O32" i="179"/>
  <c r="O16" i="179"/>
  <c r="L618" i="180"/>
  <c r="M604" i="180"/>
  <c r="L604" i="180"/>
  <c r="I604" i="180"/>
  <c r="L601" i="180"/>
  <c r="L600" i="180"/>
  <c r="M599" i="180"/>
  <c r="L599" i="180"/>
  <c r="I599" i="180"/>
  <c r="L590" i="180"/>
  <c r="I590" i="180"/>
  <c r="L588" i="180"/>
  <c r="I588" i="180"/>
  <c r="L578" i="180"/>
  <c r="I578" i="180"/>
  <c r="N577" i="180"/>
  <c r="L577" i="180"/>
  <c r="L572" i="180"/>
  <c r="H572" i="180"/>
  <c r="G572" i="180"/>
  <c r="M571" i="180"/>
  <c r="I571" i="180"/>
  <c r="H571" i="180"/>
  <c r="G571" i="180"/>
  <c r="M570" i="180"/>
  <c r="L570" i="180"/>
  <c r="I570" i="180"/>
  <c r="H570" i="180"/>
  <c r="G570" i="180"/>
  <c r="M559" i="180"/>
  <c r="L559" i="180"/>
  <c r="M558" i="180"/>
  <c r="L553" i="180"/>
  <c r="N552" i="180"/>
  <c r="M551" i="180"/>
  <c r="M550" i="180"/>
  <c r="M548" i="180"/>
  <c r="L540" i="180"/>
  <c r="L539" i="180"/>
  <c r="L530" i="180"/>
  <c r="I530" i="180"/>
  <c r="L529" i="180"/>
  <c r="L528" i="180"/>
  <c r="L527" i="180"/>
  <c r="M523" i="180"/>
  <c r="L503" i="180"/>
  <c r="I503" i="180"/>
  <c r="L501" i="180"/>
  <c r="M500" i="180"/>
  <c r="L500" i="180"/>
  <c r="I500" i="180"/>
  <c r="L483" i="180"/>
  <c r="I483" i="180"/>
  <c r="L482" i="180"/>
  <c r="I482" i="180"/>
  <c r="L446" i="180"/>
  <c r="L473" i="180"/>
  <c r="L472" i="180"/>
  <c r="M471" i="180"/>
  <c r="M467" i="180"/>
  <c r="L467" i="180"/>
  <c r="I467" i="180"/>
  <c r="L460" i="180"/>
  <c r="M458" i="180"/>
  <c r="N456" i="180"/>
  <c r="L454" i="180"/>
  <c r="L453" i="180"/>
  <c r="L449" i="180"/>
  <c r="L448" i="180"/>
  <c r="I446" i="180"/>
  <c r="L433" i="180"/>
  <c r="I433" i="180"/>
  <c r="L421" i="180"/>
  <c r="M420" i="180"/>
  <c r="L419" i="180"/>
  <c r="M418" i="180"/>
  <c r="M401" i="180"/>
  <c r="M400" i="180"/>
  <c r="M392" i="180"/>
  <c r="M384" i="180"/>
  <c r="M383" i="180"/>
  <c r="M380" i="180"/>
  <c r="M378" i="180"/>
  <c r="L367" i="180"/>
  <c r="I367" i="180"/>
  <c r="L355" i="180"/>
  <c r="M351" i="180"/>
  <c r="M350" i="180"/>
  <c r="M304" i="180" l="1"/>
  <c r="I336" i="180"/>
  <c r="I332" i="180"/>
  <c r="L324" i="180"/>
  <c r="I324" i="180"/>
  <c r="I304" i="180"/>
  <c r="I302" i="180"/>
  <c r="I298" i="180"/>
  <c r="I281" i="180"/>
  <c r="I275" i="180"/>
  <c r="K273" i="180"/>
  <c r="I266" i="180"/>
  <c r="I257" i="180"/>
  <c r="I241" i="180"/>
  <c r="I232" i="180"/>
  <c r="N228" i="180"/>
  <c r="M215" i="180"/>
  <c r="M209" i="180"/>
  <c r="L204" i="180"/>
  <c r="L201" i="180"/>
  <c r="M200" i="180"/>
  <c r="L199" i="180"/>
  <c r="L198" i="180"/>
  <c r="L197" i="180"/>
  <c r="M193" i="180"/>
  <c r="N192" i="180"/>
  <c r="M192" i="180"/>
  <c r="M190" i="180"/>
  <c r="M182" i="180"/>
  <c r="M180" i="180"/>
  <c r="N178" i="180"/>
  <c r="K169" i="180"/>
  <c r="K167" i="180"/>
  <c r="I167" i="180"/>
  <c r="K164" i="180"/>
  <c r="K163" i="180"/>
  <c r="K156" i="180"/>
  <c r="K150" i="180"/>
  <c r="K149" i="180"/>
  <c r="K147" i="180"/>
  <c r="K143" i="180"/>
  <c r="K141" i="180"/>
  <c r="L136" i="180"/>
  <c r="I136" i="180"/>
  <c r="K121" i="180"/>
  <c r="K115" i="180"/>
  <c r="I115" i="180"/>
  <c r="K113" i="180"/>
  <c r="I106" i="180"/>
  <c r="J96" i="180"/>
  <c r="K90" i="180"/>
  <c r="I72" i="180"/>
  <c r="K70" i="180"/>
  <c r="I70" i="180"/>
  <c r="H70" i="180"/>
  <c r="G70" i="180"/>
  <c r="I68" i="180"/>
  <c r="I63" i="180"/>
  <c r="K61" i="180"/>
  <c r="I59" i="180"/>
  <c r="H59" i="180"/>
  <c r="G59" i="180"/>
  <c r="I56" i="180"/>
  <c r="H56" i="180"/>
  <c r="G56" i="180"/>
  <c r="K55" i="180"/>
  <c r="K181" i="179"/>
  <c r="J181" i="179"/>
  <c r="K185" i="179"/>
  <c r="J185" i="179"/>
  <c r="E177" i="179"/>
  <c r="J175" i="179"/>
  <c r="F161" i="179"/>
  <c r="E160" i="179"/>
  <c r="E159" i="179"/>
  <c r="M157" i="179"/>
  <c r="E155" i="179"/>
  <c r="N151" i="179"/>
  <c r="H132" i="179"/>
  <c r="H129" i="179"/>
  <c r="I128" i="179"/>
  <c r="H126" i="179"/>
  <c r="I115" i="179"/>
  <c r="F71" i="179"/>
  <c r="I110" i="179"/>
  <c r="H103" i="179"/>
  <c r="F103" i="179"/>
  <c r="E103" i="179"/>
  <c r="H100" i="179"/>
  <c r="H99" i="179"/>
  <c r="H98" i="179"/>
  <c r="H83" i="179"/>
  <c r="F83" i="179"/>
  <c r="H76" i="179"/>
  <c r="K54" i="179"/>
  <c r="F53" i="179"/>
  <c r="M38" i="179"/>
  <c r="J26" i="179"/>
  <c r="J24" i="179"/>
  <c r="L16" i="138"/>
  <c r="L20" i="138" l="1"/>
  <c r="H20" i="138"/>
  <c r="E20" i="138"/>
  <c r="M19" i="138"/>
  <c r="L19" i="138"/>
  <c r="L18" i="138"/>
  <c r="H18" i="138"/>
  <c r="F18" i="138"/>
  <c r="L17" i="138"/>
  <c r="H17" i="138"/>
  <c r="F17" i="138"/>
  <c r="E17" i="138"/>
  <c r="M16" i="138"/>
  <c r="J16" i="138"/>
  <c r="H16" i="138"/>
  <c r="F16" i="138"/>
  <c r="E16" i="138"/>
  <c r="L15" i="138"/>
  <c r="E15" i="138"/>
  <c r="L14" i="138"/>
  <c r="E14" i="138"/>
  <c r="M13" i="138"/>
  <c r="L13" i="138"/>
  <c r="J13" i="138"/>
  <c r="F13" i="138"/>
  <c r="E13" i="138"/>
  <c r="L12" i="138"/>
  <c r="M11" i="138"/>
  <c r="L11" i="138"/>
  <c r="F11" i="138"/>
  <c r="M10" i="138"/>
  <c r="L10" i="138"/>
  <c r="F10" i="138"/>
  <c r="M9" i="138"/>
  <c r="L9" i="138"/>
  <c r="M8" i="138"/>
  <c r="L8" i="138"/>
  <c r="F8" i="138"/>
  <c r="M7" i="138"/>
  <c r="L7" i="138"/>
  <c r="H7" i="138"/>
  <c r="M6" i="138"/>
  <c r="L6" i="138"/>
  <c r="H6" i="138"/>
  <c r="E6" i="138"/>
  <c r="M5" i="138"/>
  <c r="L5" i="138"/>
  <c r="F5" i="138"/>
  <c r="M4" i="138"/>
  <c r="L4" i="138"/>
  <c r="M3" i="138"/>
  <c r="L3" i="138"/>
  <c r="H3" i="138"/>
  <c r="E3" i="138"/>
  <c r="J20" i="139"/>
  <c r="G20" i="139"/>
  <c r="F20" i="139"/>
  <c r="E20" i="139"/>
  <c r="G19" i="139"/>
  <c r="J18" i="139"/>
  <c r="G18" i="139"/>
  <c r="J17" i="139"/>
  <c r="G17" i="139"/>
  <c r="F17" i="139"/>
  <c r="E17" i="139"/>
  <c r="K16" i="139"/>
  <c r="J16" i="139"/>
  <c r="G16" i="139"/>
  <c r="F16" i="139"/>
  <c r="E16" i="139"/>
  <c r="G15" i="139"/>
  <c r="F15" i="139"/>
  <c r="E15" i="139"/>
  <c r="J14" i="139"/>
  <c r="G14" i="139"/>
  <c r="F14" i="139"/>
  <c r="E14" i="139"/>
  <c r="J13" i="139"/>
  <c r="G13" i="139"/>
  <c r="F13" i="139"/>
  <c r="E13" i="139"/>
  <c r="G12" i="139"/>
  <c r="F12" i="139"/>
  <c r="E12" i="139"/>
  <c r="K11" i="139"/>
  <c r="J11" i="139"/>
  <c r="I11" i="139"/>
  <c r="G11" i="139"/>
  <c r="F11" i="139"/>
  <c r="E11" i="139"/>
  <c r="J10" i="139"/>
  <c r="I10" i="139"/>
  <c r="G10" i="139"/>
  <c r="F10" i="139"/>
  <c r="E10" i="139"/>
  <c r="J9" i="139"/>
  <c r="I9" i="139"/>
  <c r="G9" i="139"/>
  <c r="F9" i="139"/>
  <c r="E9" i="139"/>
  <c r="K8" i="139"/>
  <c r="J8" i="139"/>
  <c r="I8" i="139"/>
  <c r="G8" i="139"/>
  <c r="F8" i="139"/>
  <c r="E8" i="139"/>
  <c r="J7" i="139"/>
  <c r="I7" i="139"/>
  <c r="H7" i="139"/>
  <c r="G7" i="139"/>
  <c r="F7" i="139"/>
  <c r="E7" i="139"/>
  <c r="J6" i="139"/>
  <c r="G6" i="139"/>
  <c r="F6" i="139"/>
  <c r="E6" i="139"/>
  <c r="K5" i="139"/>
  <c r="I5" i="139"/>
  <c r="G5" i="139"/>
  <c r="F5" i="139"/>
  <c r="E5" i="139"/>
  <c r="I4" i="139"/>
  <c r="G4" i="139"/>
  <c r="F4" i="139"/>
  <c r="E4" i="139"/>
  <c r="I3" i="139"/>
  <c r="G3" i="139"/>
  <c r="F3" i="139"/>
  <c r="E3" i="139"/>
  <c r="O54" i="186" l="1"/>
  <c r="F54" i="179"/>
  <c r="G54" i="179"/>
  <c r="H54" i="179"/>
  <c r="I54" i="179"/>
  <c r="J54" i="179"/>
  <c r="L54" i="179"/>
  <c r="M54" i="179"/>
  <c r="N54" i="179"/>
  <c r="E54" i="179"/>
  <c r="O54" i="179" l="1"/>
  <c r="I58" i="191"/>
  <c r="J58" i="191"/>
  <c r="E58" i="191"/>
  <c r="H744" i="180"/>
  <c r="J744" i="180"/>
  <c r="K744" i="180"/>
  <c r="M744" i="180"/>
  <c r="N744" i="180"/>
  <c r="O744" i="180"/>
  <c r="P744" i="180"/>
  <c r="G744" i="180"/>
  <c r="Q744" i="187"/>
  <c r="F185" i="179"/>
  <c r="G185" i="179"/>
  <c r="H185" i="179"/>
  <c r="I185" i="179"/>
  <c r="L185" i="179"/>
  <c r="M185" i="179"/>
  <c r="N185" i="179"/>
  <c r="E185" i="179"/>
  <c r="O184" i="186"/>
  <c r="O185" i="186"/>
  <c r="Q744" i="180" l="1"/>
  <c r="O185" i="179"/>
  <c r="F110" i="179"/>
  <c r="G110" i="179"/>
  <c r="H110" i="179"/>
  <c r="J110" i="179"/>
  <c r="K110" i="179"/>
  <c r="L110" i="179"/>
  <c r="M110" i="179"/>
  <c r="N110" i="179"/>
  <c r="E110" i="179"/>
  <c r="O110" i="186"/>
  <c r="O110" i="179" l="1"/>
  <c r="H473" i="180"/>
  <c r="I473" i="180"/>
  <c r="J473" i="180"/>
  <c r="K473" i="180"/>
  <c r="M473" i="180"/>
  <c r="N473" i="180"/>
  <c r="O473" i="180"/>
  <c r="P473" i="180"/>
  <c r="G473" i="180"/>
  <c r="Q473" i="187"/>
  <c r="H763" i="180"/>
  <c r="I763" i="180"/>
  <c r="J763" i="180"/>
  <c r="L763" i="180"/>
  <c r="M763" i="180"/>
  <c r="N763" i="180"/>
  <c r="O763" i="180"/>
  <c r="P763" i="180"/>
  <c r="H762" i="180"/>
  <c r="I762" i="180"/>
  <c r="J762" i="180"/>
  <c r="L762" i="180"/>
  <c r="M762" i="180"/>
  <c r="N762" i="180"/>
  <c r="O762" i="180"/>
  <c r="P762" i="180"/>
  <c r="H761" i="180"/>
  <c r="I761" i="180"/>
  <c r="J761" i="180"/>
  <c r="L761" i="180"/>
  <c r="M761" i="180"/>
  <c r="N761" i="180"/>
  <c r="O761" i="180"/>
  <c r="P761" i="180"/>
  <c r="H760" i="180"/>
  <c r="I760" i="180"/>
  <c r="J760" i="180"/>
  <c r="L760" i="180"/>
  <c r="M760" i="180"/>
  <c r="N760" i="180"/>
  <c r="O760" i="180"/>
  <c r="P760" i="180"/>
  <c r="H759" i="180"/>
  <c r="I759" i="180"/>
  <c r="J759" i="180"/>
  <c r="L759" i="180"/>
  <c r="M759" i="180"/>
  <c r="N759" i="180"/>
  <c r="O759" i="180"/>
  <c r="P759" i="180"/>
  <c r="G759" i="180"/>
  <c r="G760" i="180"/>
  <c r="G761" i="180"/>
  <c r="G762" i="180"/>
  <c r="G763" i="180"/>
  <c r="Q759" i="187"/>
  <c r="Q760" i="187"/>
  <c r="Q761" i="187"/>
  <c r="Q762" i="187"/>
  <c r="Q763" i="187"/>
  <c r="H737" i="180"/>
  <c r="I737" i="180"/>
  <c r="J737" i="180"/>
  <c r="L737" i="180"/>
  <c r="M737" i="180"/>
  <c r="N737" i="180"/>
  <c r="O737" i="180"/>
  <c r="P737" i="180"/>
  <c r="G737" i="180"/>
  <c r="H738" i="187"/>
  <c r="I738" i="187"/>
  <c r="J738" i="187"/>
  <c r="K738" i="187"/>
  <c r="L738" i="187"/>
  <c r="M738" i="187"/>
  <c r="N738" i="187"/>
  <c r="O738" i="187"/>
  <c r="P738" i="187"/>
  <c r="G738" i="187"/>
  <c r="Q737" i="187"/>
  <c r="Q552" i="187"/>
  <c r="Q553" i="187"/>
  <c r="H553" i="180"/>
  <c r="I553" i="180"/>
  <c r="J553" i="180"/>
  <c r="K553" i="180"/>
  <c r="M553" i="180"/>
  <c r="N553" i="180"/>
  <c r="O553" i="180"/>
  <c r="P553" i="180"/>
  <c r="H552" i="180"/>
  <c r="I552" i="180"/>
  <c r="J552" i="180"/>
  <c r="K552" i="180"/>
  <c r="L552" i="180"/>
  <c r="M552" i="180"/>
  <c r="O552" i="180"/>
  <c r="P552" i="180"/>
  <c r="G552" i="180"/>
  <c r="G553" i="180"/>
  <c r="H523" i="180"/>
  <c r="I523" i="180"/>
  <c r="J523" i="180"/>
  <c r="K523" i="180"/>
  <c r="L523" i="180"/>
  <c r="N523" i="180"/>
  <c r="O523" i="180"/>
  <c r="P523" i="180"/>
  <c r="G523" i="180"/>
  <c r="Q523" i="187"/>
  <c r="Q471" i="187"/>
  <c r="Q472" i="187"/>
  <c r="H472" i="180"/>
  <c r="I472" i="180"/>
  <c r="J472" i="180"/>
  <c r="K472" i="180"/>
  <c r="M472" i="180"/>
  <c r="N472" i="180"/>
  <c r="O472" i="180"/>
  <c r="P472" i="180"/>
  <c r="H471" i="180"/>
  <c r="I471" i="180"/>
  <c r="J471" i="180"/>
  <c r="K471" i="180"/>
  <c r="L471" i="180"/>
  <c r="N471" i="180"/>
  <c r="O471" i="180"/>
  <c r="P471" i="180"/>
  <c r="G471" i="180"/>
  <c r="G472" i="180"/>
  <c r="H460" i="180"/>
  <c r="I460" i="180"/>
  <c r="J460" i="180"/>
  <c r="K460" i="180"/>
  <c r="M460" i="180"/>
  <c r="N460" i="180"/>
  <c r="O460" i="180"/>
  <c r="P460" i="180"/>
  <c r="G460" i="180"/>
  <c r="Q460" i="187"/>
  <c r="Q418" i="187"/>
  <c r="Q419" i="187"/>
  <c r="Q420" i="187"/>
  <c r="Q421" i="187"/>
  <c r="H421" i="180"/>
  <c r="I421" i="180"/>
  <c r="J421" i="180"/>
  <c r="K421" i="180"/>
  <c r="M421" i="180"/>
  <c r="N421" i="180"/>
  <c r="O421" i="180"/>
  <c r="P421" i="180"/>
  <c r="H420" i="180"/>
  <c r="I420" i="180"/>
  <c r="J420" i="180"/>
  <c r="K420" i="180"/>
  <c r="L420" i="180"/>
  <c r="N420" i="180"/>
  <c r="O420" i="180"/>
  <c r="P420" i="180"/>
  <c r="H419" i="180"/>
  <c r="I419" i="180"/>
  <c r="J419" i="180"/>
  <c r="K419" i="180"/>
  <c r="M419" i="180"/>
  <c r="N419" i="180"/>
  <c r="O419" i="180"/>
  <c r="P419" i="180"/>
  <c r="H418" i="180"/>
  <c r="I418" i="180"/>
  <c r="J418" i="180"/>
  <c r="K418" i="180"/>
  <c r="L418" i="180"/>
  <c r="N418" i="180"/>
  <c r="O418" i="180"/>
  <c r="P418" i="180"/>
  <c r="G418" i="180"/>
  <c r="G419" i="180"/>
  <c r="G420" i="180"/>
  <c r="G421" i="180"/>
  <c r="Q351" i="187"/>
  <c r="H351" i="180"/>
  <c r="I351" i="180"/>
  <c r="J351" i="180"/>
  <c r="K351" i="180"/>
  <c r="L351" i="180"/>
  <c r="N351" i="180"/>
  <c r="O351" i="180"/>
  <c r="P351" i="180"/>
  <c r="G351" i="180"/>
  <c r="Q473" i="180" l="1"/>
  <c r="Q760" i="180"/>
  <c r="Q762" i="180"/>
  <c r="Q759" i="180"/>
  <c r="Q763" i="180"/>
  <c r="Q761" i="180"/>
  <c r="Q737" i="180"/>
  <c r="Q523" i="180"/>
  <c r="Q553" i="180"/>
  <c r="Q552" i="180"/>
  <c r="Q460" i="180"/>
  <c r="Q472" i="180"/>
  <c r="Q471" i="180"/>
  <c r="Q421" i="180"/>
  <c r="Q418" i="180"/>
  <c r="Q419" i="180"/>
  <c r="Q420" i="180"/>
  <c r="Q351" i="180"/>
  <c r="Q302" i="187"/>
  <c r="H302" i="180"/>
  <c r="J302" i="180"/>
  <c r="K302" i="180"/>
  <c r="L302" i="180"/>
  <c r="M302" i="180"/>
  <c r="N302" i="180"/>
  <c r="O302" i="180"/>
  <c r="P302" i="180"/>
  <c r="G302" i="180"/>
  <c r="H204" i="180"/>
  <c r="I204" i="180"/>
  <c r="J204" i="180"/>
  <c r="K204" i="180"/>
  <c r="M204" i="180"/>
  <c r="N204" i="180"/>
  <c r="O204" i="180"/>
  <c r="P204" i="180"/>
  <c r="G204" i="180"/>
  <c r="H209" i="180"/>
  <c r="I209" i="180"/>
  <c r="J209" i="180"/>
  <c r="K209" i="180"/>
  <c r="L209" i="180"/>
  <c r="N209" i="180"/>
  <c r="O209" i="180"/>
  <c r="P209" i="180"/>
  <c r="G209" i="180"/>
  <c r="Q209" i="187"/>
  <c r="Q204" i="187"/>
  <c r="H201" i="180"/>
  <c r="I201" i="180"/>
  <c r="J201" i="180"/>
  <c r="K201" i="180"/>
  <c r="M201" i="180"/>
  <c r="N201" i="180"/>
  <c r="O201" i="180"/>
  <c r="P201" i="180"/>
  <c r="G201" i="180"/>
  <c r="H200" i="180"/>
  <c r="I200" i="180"/>
  <c r="J200" i="180"/>
  <c r="K200" i="180"/>
  <c r="L200" i="180"/>
  <c r="N200" i="180"/>
  <c r="O200" i="180"/>
  <c r="P200" i="180"/>
  <c r="H199" i="180"/>
  <c r="I199" i="180"/>
  <c r="J199" i="180"/>
  <c r="K199" i="180"/>
  <c r="M199" i="180"/>
  <c r="N199" i="180"/>
  <c r="O199" i="180"/>
  <c r="P199" i="180"/>
  <c r="H198" i="180"/>
  <c r="I198" i="180"/>
  <c r="J198" i="180"/>
  <c r="K198" i="180"/>
  <c r="M198" i="180"/>
  <c r="N198" i="180"/>
  <c r="O198" i="180"/>
  <c r="P198" i="180"/>
  <c r="H197" i="180"/>
  <c r="I197" i="180"/>
  <c r="J197" i="180"/>
  <c r="K197" i="180"/>
  <c r="M197" i="180"/>
  <c r="N197" i="180"/>
  <c r="O197" i="180"/>
  <c r="P197" i="180"/>
  <c r="G197" i="180"/>
  <c r="G198" i="180"/>
  <c r="G199" i="180"/>
  <c r="G200" i="180"/>
  <c r="Q197" i="187"/>
  <c r="Q198" i="187"/>
  <c r="Q199" i="187"/>
  <c r="Q200" i="187"/>
  <c r="Q201" i="187"/>
  <c r="H190" i="180"/>
  <c r="I190" i="180"/>
  <c r="J190" i="180"/>
  <c r="K190" i="180"/>
  <c r="L190" i="180"/>
  <c r="N190" i="180"/>
  <c r="O190" i="180"/>
  <c r="P190" i="180"/>
  <c r="G190" i="180"/>
  <c r="Q190" i="187"/>
  <c r="Q163" i="187"/>
  <c r="Q164" i="187"/>
  <c r="H164" i="180"/>
  <c r="I164" i="180"/>
  <c r="J164" i="180"/>
  <c r="L164" i="180"/>
  <c r="M164" i="180"/>
  <c r="N164" i="180"/>
  <c r="O164" i="180"/>
  <c r="P164" i="180"/>
  <c r="H163" i="180"/>
  <c r="I163" i="180"/>
  <c r="J163" i="180"/>
  <c r="L163" i="180"/>
  <c r="M163" i="180"/>
  <c r="N163" i="180"/>
  <c r="O163" i="180"/>
  <c r="P163" i="180"/>
  <c r="G163" i="180"/>
  <c r="G164" i="180"/>
  <c r="Q56" i="187"/>
  <c r="J56" i="180"/>
  <c r="K56" i="180"/>
  <c r="L56" i="180"/>
  <c r="M56" i="180"/>
  <c r="N56" i="180"/>
  <c r="O56" i="180"/>
  <c r="P56" i="180"/>
  <c r="Q302" i="180" l="1"/>
  <c r="Q209" i="180"/>
  <c r="Q204" i="180"/>
  <c r="Q197" i="180"/>
  <c r="Q198" i="180"/>
  <c r="Q199" i="180"/>
  <c r="Q200" i="180"/>
  <c r="Q201" i="180"/>
  <c r="Q190" i="180"/>
  <c r="Q163" i="180"/>
  <c r="Q164" i="180"/>
  <c r="Q56" i="180"/>
  <c r="F177" i="179" l="1"/>
  <c r="G177" i="179"/>
  <c r="H177" i="179"/>
  <c r="I177" i="179"/>
  <c r="J177" i="179"/>
  <c r="K177" i="179"/>
  <c r="L177" i="179"/>
  <c r="M177" i="179"/>
  <c r="N177" i="179"/>
  <c r="O177" i="186"/>
  <c r="F178" i="186"/>
  <c r="G178" i="186"/>
  <c r="H178" i="186"/>
  <c r="I178" i="186"/>
  <c r="J178" i="186"/>
  <c r="K178" i="186"/>
  <c r="L178" i="186"/>
  <c r="M178" i="186"/>
  <c r="N178" i="186"/>
  <c r="E178" i="186"/>
  <c r="G161" i="179"/>
  <c r="H161" i="179"/>
  <c r="I161" i="179"/>
  <c r="J161" i="179"/>
  <c r="K161" i="179"/>
  <c r="L161" i="179"/>
  <c r="M161" i="179"/>
  <c r="N161" i="179"/>
  <c r="F160" i="179"/>
  <c r="G160" i="179"/>
  <c r="H160" i="179"/>
  <c r="I160" i="179"/>
  <c r="J160" i="179"/>
  <c r="K160" i="179"/>
  <c r="L160" i="179"/>
  <c r="M160" i="179"/>
  <c r="N160" i="179"/>
  <c r="E161" i="179"/>
  <c r="O160" i="186"/>
  <c r="O161" i="186"/>
  <c r="F155" i="179"/>
  <c r="G155" i="179"/>
  <c r="H155" i="179"/>
  <c r="I155" i="179"/>
  <c r="J155" i="179"/>
  <c r="K155" i="179"/>
  <c r="L155" i="179"/>
  <c r="M155" i="179"/>
  <c r="N155" i="179"/>
  <c r="O155" i="186"/>
  <c r="F129" i="179"/>
  <c r="G129" i="179"/>
  <c r="I129" i="179"/>
  <c r="J129" i="179"/>
  <c r="K129" i="179"/>
  <c r="L129" i="179"/>
  <c r="M129" i="179"/>
  <c r="N129" i="179"/>
  <c r="E129" i="179"/>
  <c r="O129" i="186"/>
  <c r="G53" i="179"/>
  <c r="H53" i="179"/>
  <c r="I53" i="179"/>
  <c r="J53" i="179"/>
  <c r="K53" i="179"/>
  <c r="L53" i="179"/>
  <c r="M53" i="179"/>
  <c r="N53" i="179"/>
  <c r="E53" i="179"/>
  <c r="O53" i="186"/>
  <c r="F26" i="179"/>
  <c r="G26" i="179"/>
  <c r="H26" i="179"/>
  <c r="I26" i="179"/>
  <c r="K26" i="179"/>
  <c r="L26" i="179"/>
  <c r="M26" i="179"/>
  <c r="N26" i="179"/>
  <c r="F24" i="179"/>
  <c r="G24" i="179"/>
  <c r="H24" i="179"/>
  <c r="I24" i="179"/>
  <c r="K24" i="179"/>
  <c r="L24" i="179"/>
  <c r="M24" i="179"/>
  <c r="N24" i="179"/>
  <c r="E24" i="179"/>
  <c r="E26" i="179"/>
  <c r="O24" i="186"/>
  <c r="O26" i="186"/>
  <c r="O160" i="179" l="1"/>
  <c r="O177" i="179"/>
  <c r="O161" i="179"/>
  <c r="O155" i="179"/>
  <c r="O129" i="179"/>
  <c r="O26" i="179"/>
  <c r="O53" i="179"/>
  <c r="O24" i="179"/>
  <c r="F19" i="139"/>
  <c r="E19" i="139"/>
  <c r="M14" i="138"/>
  <c r="M12" i="138"/>
  <c r="N743" i="180" l="1"/>
  <c r="K725" i="180"/>
  <c r="K722" i="180"/>
  <c r="K719" i="180"/>
  <c r="I711" i="180"/>
  <c r="I691" i="180"/>
  <c r="I645" i="180"/>
  <c r="I640" i="180"/>
  <c r="K622" i="180"/>
  <c r="L619" i="180"/>
  <c r="L616" i="180"/>
  <c r="L612" i="180"/>
  <c r="N612" i="180"/>
  <c r="M601" i="180"/>
  <c r="H582" i="180"/>
  <c r="G582" i="180"/>
  <c r="I576" i="180"/>
  <c r="L573" i="180"/>
  <c r="I573" i="180"/>
  <c r="M564" i="180"/>
  <c r="M557" i="180"/>
  <c r="L520" i="180"/>
  <c r="L518" i="180"/>
  <c r="N518" i="180"/>
  <c r="N517" i="180"/>
  <c r="L517" i="180"/>
  <c r="L516" i="180"/>
  <c r="L510" i="180"/>
  <c r="M495" i="180" l="1"/>
  <c r="N483" i="180"/>
  <c r="L477" i="180"/>
  <c r="N452" i="180"/>
  <c r="L417" i="180"/>
  <c r="M394" i="180"/>
  <c r="L387" i="180"/>
  <c r="M385" i="180"/>
  <c r="M382" i="180"/>
  <c r="L365" i="180"/>
  <c r="L360" i="180"/>
  <c r="L348" i="180"/>
  <c r="M347" i="180"/>
  <c r="K312" i="180"/>
  <c r="I312" i="180"/>
  <c r="I286" i="180"/>
  <c r="L238" i="180"/>
  <c r="I238" i="180"/>
  <c r="I234" i="180"/>
  <c r="I233" i="180"/>
  <c r="I223" i="180"/>
  <c r="L215" i="180"/>
  <c r="M194" i="180"/>
  <c r="N179" i="180"/>
  <c r="K165" i="180"/>
  <c r="K128" i="180"/>
  <c r="K104" i="180"/>
  <c r="K91" i="180"/>
  <c r="K39" i="180"/>
  <c r="I32" i="180"/>
  <c r="J30" i="180"/>
  <c r="H186" i="179" l="1"/>
  <c r="E186" i="179"/>
  <c r="E182" i="179"/>
  <c r="J183" i="179"/>
  <c r="F162" i="179"/>
  <c r="H77" i="179"/>
  <c r="H90" i="179"/>
  <c r="F64" i="179"/>
  <c r="E64" i="179"/>
  <c r="F63" i="179"/>
  <c r="E63" i="179"/>
  <c r="H62" i="179"/>
  <c r="H37" i="179"/>
  <c r="J19" i="179"/>
  <c r="J9" i="179"/>
  <c r="D24" i="157" l="1"/>
  <c r="E4" i="157"/>
  <c r="F19" i="179" l="1"/>
  <c r="G19" i="179"/>
  <c r="H19" i="179"/>
  <c r="I19" i="179"/>
  <c r="K19" i="179"/>
  <c r="L19" i="179"/>
  <c r="M19" i="179"/>
  <c r="N19" i="179"/>
  <c r="E19" i="179"/>
  <c r="O19" i="186"/>
  <c r="F183" i="179"/>
  <c r="G183" i="179"/>
  <c r="H183" i="179"/>
  <c r="I183" i="179"/>
  <c r="K183" i="179"/>
  <c r="L183" i="179"/>
  <c r="M183" i="179"/>
  <c r="N183" i="179"/>
  <c r="E183" i="179"/>
  <c r="O183" i="186"/>
  <c r="O162" i="186"/>
  <c r="G162" i="179"/>
  <c r="H162" i="179"/>
  <c r="I162" i="179"/>
  <c r="J162" i="179"/>
  <c r="K162" i="179"/>
  <c r="L162" i="179"/>
  <c r="M162" i="179"/>
  <c r="N162" i="179"/>
  <c r="E162" i="179"/>
  <c r="O19" i="179" l="1"/>
  <c r="O183" i="179"/>
  <c r="O162" i="179"/>
  <c r="H743" i="180" l="1"/>
  <c r="I743" i="180"/>
  <c r="J743" i="180"/>
  <c r="K743" i="180"/>
  <c r="L743" i="180"/>
  <c r="M743" i="180"/>
  <c r="O743" i="180"/>
  <c r="P743" i="180"/>
  <c r="G743" i="180"/>
  <c r="Q743" i="187"/>
  <c r="H417" i="180"/>
  <c r="I417" i="180"/>
  <c r="J417" i="180"/>
  <c r="K417" i="180"/>
  <c r="M417" i="180"/>
  <c r="N417" i="180"/>
  <c r="O417" i="180"/>
  <c r="P417" i="180"/>
  <c r="G417" i="180"/>
  <c r="Q417" i="187"/>
  <c r="F186" i="179"/>
  <c r="G186" i="179"/>
  <c r="I186" i="179"/>
  <c r="J186" i="179"/>
  <c r="K186" i="179"/>
  <c r="L186" i="179"/>
  <c r="M186" i="179"/>
  <c r="N186" i="179"/>
  <c r="F182" i="179"/>
  <c r="G182" i="179"/>
  <c r="H182" i="179"/>
  <c r="I182" i="179"/>
  <c r="J182" i="179"/>
  <c r="K182" i="179"/>
  <c r="L182" i="179"/>
  <c r="M182" i="179"/>
  <c r="N182" i="179"/>
  <c r="F181" i="179"/>
  <c r="G181" i="179"/>
  <c r="H181" i="179"/>
  <c r="I181" i="179"/>
  <c r="L181" i="179"/>
  <c r="M181" i="179"/>
  <c r="N181" i="179"/>
  <c r="E181" i="179"/>
  <c r="O182" i="186"/>
  <c r="O186" i="186"/>
  <c r="O181" i="186"/>
  <c r="F187" i="186"/>
  <c r="G187" i="186"/>
  <c r="H187" i="186"/>
  <c r="I187" i="186"/>
  <c r="J187" i="186"/>
  <c r="K187" i="186"/>
  <c r="L187" i="186"/>
  <c r="M187" i="186"/>
  <c r="N187" i="186"/>
  <c r="E187" i="186"/>
  <c r="F175" i="179"/>
  <c r="G175" i="179"/>
  <c r="H175" i="179"/>
  <c r="I175" i="179"/>
  <c r="K175" i="179"/>
  <c r="L175" i="179"/>
  <c r="M175" i="179"/>
  <c r="N175" i="179"/>
  <c r="E175" i="179"/>
  <c r="O175" i="186"/>
  <c r="F9" i="179"/>
  <c r="G9" i="179"/>
  <c r="H9" i="179"/>
  <c r="I9" i="179"/>
  <c r="K9" i="179"/>
  <c r="L9" i="179"/>
  <c r="M9" i="179"/>
  <c r="N9" i="179"/>
  <c r="E9" i="179"/>
  <c r="F10" i="186"/>
  <c r="G10" i="186"/>
  <c r="H10" i="186"/>
  <c r="I10" i="186"/>
  <c r="J10" i="186"/>
  <c r="K10" i="186"/>
  <c r="L10" i="186"/>
  <c r="M10" i="186"/>
  <c r="N10" i="186"/>
  <c r="E10" i="186"/>
  <c r="O9" i="186"/>
  <c r="J187" i="179" l="1"/>
  <c r="N187" i="179"/>
  <c r="K187" i="179"/>
  <c r="Q743" i="180"/>
  <c r="G187" i="179"/>
  <c r="O181" i="179"/>
  <c r="F187" i="179"/>
  <c r="M187" i="179"/>
  <c r="I187" i="179"/>
  <c r="L187" i="179"/>
  <c r="H187" i="179"/>
  <c r="O182" i="179"/>
  <c r="O186" i="179"/>
  <c r="O175" i="179"/>
  <c r="E187" i="179"/>
  <c r="Q417" i="180"/>
  <c r="O187" i="186"/>
  <c r="O9" i="179"/>
  <c r="L767" i="180"/>
  <c r="K752" i="180"/>
  <c r="N747" i="180"/>
  <c r="L746" i="180"/>
  <c r="I746" i="180"/>
  <c r="L742" i="180"/>
  <c r="N741" i="180"/>
  <c r="L741" i="180"/>
  <c r="I740" i="180"/>
  <c r="H742" i="180"/>
  <c r="I742" i="180"/>
  <c r="J742" i="180"/>
  <c r="K742" i="180"/>
  <c r="M742" i="180"/>
  <c r="N742" i="180"/>
  <c r="O742" i="180"/>
  <c r="P742" i="180"/>
  <c r="G742" i="180"/>
  <c r="Q742" i="187"/>
  <c r="K736" i="180"/>
  <c r="K735" i="180"/>
  <c r="I728" i="180"/>
  <c r="Q728" i="187"/>
  <c r="H727" i="180"/>
  <c r="I727" i="180"/>
  <c r="J727" i="180"/>
  <c r="L727" i="180"/>
  <c r="M727" i="180"/>
  <c r="N727" i="180"/>
  <c r="O727" i="180"/>
  <c r="P727" i="180"/>
  <c r="I726" i="180"/>
  <c r="H726" i="180"/>
  <c r="K726" i="180"/>
  <c r="I717" i="180"/>
  <c r="I714" i="180"/>
  <c r="H714" i="180"/>
  <c r="G714" i="180"/>
  <c r="K711" i="180"/>
  <c r="I710" i="180"/>
  <c r="I707" i="180"/>
  <c r="I706" i="180"/>
  <c r="H706" i="180"/>
  <c r="H705" i="180"/>
  <c r="G705" i="180"/>
  <c r="O693" i="180"/>
  <c r="I693" i="180"/>
  <c r="N679" i="180"/>
  <c r="I679" i="180"/>
  <c r="I678" i="180"/>
  <c r="K673" i="180"/>
  <c r="P672" i="180"/>
  <c r="K671" i="180"/>
  <c r="L667" i="180"/>
  <c r="L665" i="180"/>
  <c r="K656" i="180"/>
  <c r="I656" i="180"/>
  <c r="I654" i="180"/>
  <c r="I653" i="180"/>
  <c r="H653" i="180"/>
  <c r="G653" i="180"/>
  <c r="I651" i="180"/>
  <c r="I650" i="180"/>
  <c r="I649" i="180"/>
  <c r="L644" i="180"/>
  <c r="L645" i="180"/>
  <c r="N641" i="180"/>
  <c r="N639" i="180"/>
  <c r="I634" i="180"/>
  <c r="H634" i="180"/>
  <c r="J634" i="180"/>
  <c r="K634" i="180"/>
  <c r="L634" i="180"/>
  <c r="M634" i="180"/>
  <c r="N634" i="180"/>
  <c r="O634" i="180"/>
  <c r="P634" i="180"/>
  <c r="G634" i="180"/>
  <c r="Q634" i="187"/>
  <c r="I630" i="180"/>
  <c r="I629" i="180"/>
  <c r="N626" i="180"/>
  <c r="I626" i="180"/>
  <c r="I622" i="180"/>
  <c r="L621" i="180"/>
  <c r="I621" i="180"/>
  <c r="L620" i="180"/>
  <c r="I620" i="180"/>
  <c r="I619" i="180"/>
  <c r="I618" i="180"/>
  <c r="H618" i="180"/>
  <c r="J618" i="180"/>
  <c r="K618" i="180"/>
  <c r="M618" i="180"/>
  <c r="N618" i="180"/>
  <c r="O618" i="180"/>
  <c r="P618" i="180"/>
  <c r="G618" i="180"/>
  <c r="L617" i="180"/>
  <c r="M616" i="180"/>
  <c r="Q618" i="187"/>
  <c r="Q619" i="187"/>
  <c r="L614" i="180"/>
  <c r="I614" i="180"/>
  <c r="I613" i="180"/>
  <c r="I612" i="180"/>
  <c r="H612" i="180"/>
  <c r="G612" i="180"/>
  <c r="I611" i="180"/>
  <c r="H611" i="180"/>
  <c r="G611" i="180"/>
  <c r="I610" i="180"/>
  <c r="I609" i="180"/>
  <c r="H614" i="180"/>
  <c r="J614" i="180"/>
  <c r="K614" i="180"/>
  <c r="M614" i="180"/>
  <c r="N614" i="180"/>
  <c r="O614" i="180"/>
  <c r="P614" i="180"/>
  <c r="G614" i="180"/>
  <c r="H613" i="180"/>
  <c r="J613" i="180"/>
  <c r="K613" i="180"/>
  <c r="L613" i="180"/>
  <c r="M613" i="180"/>
  <c r="N613" i="180"/>
  <c r="O613" i="180"/>
  <c r="P613" i="180"/>
  <c r="G613" i="180"/>
  <c r="Q613" i="187"/>
  <c r="Q614" i="187"/>
  <c r="L603" i="180"/>
  <c r="I603" i="180"/>
  <c r="M602" i="180"/>
  <c r="I601" i="180"/>
  <c r="M600" i="180"/>
  <c r="I600" i="180"/>
  <c r="Q604" i="187"/>
  <c r="H604" i="180"/>
  <c r="J604" i="180"/>
  <c r="K604" i="180"/>
  <c r="N604" i="180"/>
  <c r="O604" i="180"/>
  <c r="P604" i="180"/>
  <c r="G604" i="180"/>
  <c r="M596" i="180"/>
  <c r="L596" i="180"/>
  <c r="I596" i="180"/>
  <c r="M595" i="180"/>
  <c r="L595" i="180"/>
  <c r="I595" i="180"/>
  <c r="H595" i="180"/>
  <c r="G595" i="180"/>
  <c r="I594" i="180"/>
  <c r="H594" i="180"/>
  <c r="G594" i="180"/>
  <c r="M594" i="180"/>
  <c r="L594" i="180"/>
  <c r="M593" i="180"/>
  <c r="I593" i="180"/>
  <c r="H593" i="180"/>
  <c r="G593" i="180"/>
  <c r="M592" i="180"/>
  <c r="L592" i="180"/>
  <c r="I592" i="180"/>
  <c r="H592" i="180"/>
  <c r="G592" i="180"/>
  <c r="L591" i="180"/>
  <c r="I591" i="180"/>
  <c r="H591" i="180"/>
  <c r="G591" i="180"/>
  <c r="L589" i="180"/>
  <c r="I589" i="180"/>
  <c r="M588" i="180"/>
  <c r="H588" i="180"/>
  <c r="G588" i="180"/>
  <c r="L587" i="180"/>
  <c r="I587" i="180"/>
  <c r="H587" i="180"/>
  <c r="G587" i="180"/>
  <c r="M586" i="180"/>
  <c r="L586" i="180"/>
  <c r="I586" i="180"/>
  <c r="H586" i="180"/>
  <c r="G586" i="180"/>
  <c r="L585" i="180"/>
  <c r="G585" i="180"/>
  <c r="H585" i="180"/>
  <c r="I585" i="180"/>
  <c r="L584" i="180"/>
  <c r="I584" i="180"/>
  <c r="H584" i="180"/>
  <c r="G584" i="180"/>
  <c r="H583" i="180"/>
  <c r="G583" i="180"/>
  <c r="L582" i="180"/>
  <c r="I582" i="180"/>
  <c r="L581" i="180"/>
  <c r="I581" i="180"/>
  <c r="H581" i="180"/>
  <c r="G581" i="180"/>
  <c r="L580" i="180"/>
  <c r="I580" i="180"/>
  <c r="H580" i="180"/>
  <c r="G580" i="180"/>
  <c r="L579" i="180"/>
  <c r="I579" i="180"/>
  <c r="H579" i="180"/>
  <c r="G579" i="180"/>
  <c r="M577" i="180"/>
  <c r="I577" i="180"/>
  <c r="H577" i="180"/>
  <c r="G577" i="180"/>
  <c r="L576" i="180"/>
  <c r="H576" i="180"/>
  <c r="G576" i="180"/>
  <c r="L575" i="180"/>
  <c r="I575" i="180"/>
  <c r="H575" i="180"/>
  <c r="G575" i="180"/>
  <c r="L574" i="180"/>
  <c r="I574" i="180"/>
  <c r="H574" i="180"/>
  <c r="G574" i="180"/>
  <c r="M573" i="180"/>
  <c r="H573" i="180"/>
  <c r="G573" i="180"/>
  <c r="M572" i="180"/>
  <c r="I572" i="180"/>
  <c r="L571" i="180"/>
  <c r="Q567" i="187"/>
  <c r="Q568" i="187"/>
  <c r="L568" i="180"/>
  <c r="I568" i="180"/>
  <c r="H568" i="180"/>
  <c r="G568" i="180"/>
  <c r="L567" i="180"/>
  <c r="I567" i="180"/>
  <c r="H567" i="180"/>
  <c r="G567" i="180"/>
  <c r="J568" i="180"/>
  <c r="K568" i="180"/>
  <c r="M568" i="180"/>
  <c r="N568" i="180"/>
  <c r="O568" i="180"/>
  <c r="P568" i="180"/>
  <c r="J567" i="180"/>
  <c r="K567" i="180"/>
  <c r="M567" i="180"/>
  <c r="N567" i="180"/>
  <c r="O567" i="180"/>
  <c r="P567" i="180"/>
  <c r="L564" i="180"/>
  <c r="L563" i="180"/>
  <c r="M562" i="180"/>
  <c r="M561" i="180"/>
  <c r="L561" i="180"/>
  <c r="L560" i="180"/>
  <c r="M560" i="180"/>
  <c r="I559" i="180"/>
  <c r="H559" i="180"/>
  <c r="J559" i="180"/>
  <c r="K559" i="180"/>
  <c r="N559" i="180"/>
  <c r="O559" i="180"/>
  <c r="P559" i="180"/>
  <c r="G559" i="180"/>
  <c r="L557" i="180"/>
  <c r="Q559" i="187"/>
  <c r="M549" i="180"/>
  <c r="L549" i="180"/>
  <c r="L548" i="180"/>
  <c r="M547" i="180"/>
  <c r="I544" i="180"/>
  <c r="L541" i="180"/>
  <c r="H541" i="180"/>
  <c r="I541" i="180"/>
  <c r="J541" i="180"/>
  <c r="K541" i="180"/>
  <c r="M541" i="180"/>
  <c r="N541" i="180"/>
  <c r="O541" i="180"/>
  <c r="P541" i="180"/>
  <c r="G541" i="180"/>
  <c r="L537" i="180"/>
  <c r="L536" i="180"/>
  <c r="L535" i="180"/>
  <c r="L534" i="180"/>
  <c r="H537" i="180"/>
  <c r="I537" i="180"/>
  <c r="J537" i="180"/>
  <c r="K537" i="180"/>
  <c r="M537" i="180"/>
  <c r="N537" i="180"/>
  <c r="O537" i="180"/>
  <c r="P537" i="180"/>
  <c r="H536" i="180"/>
  <c r="I536" i="180"/>
  <c r="J536" i="180"/>
  <c r="K536" i="180"/>
  <c r="M536" i="180"/>
  <c r="N536" i="180"/>
  <c r="O536" i="180"/>
  <c r="P536" i="180"/>
  <c r="G536" i="180"/>
  <c r="G537" i="180"/>
  <c r="M532" i="180"/>
  <c r="L532" i="180"/>
  <c r="Q541" i="187"/>
  <c r="Q536" i="187"/>
  <c r="Q537" i="187"/>
  <c r="N527" i="180"/>
  <c r="I527" i="180"/>
  <c r="M526" i="180"/>
  <c r="I526" i="180"/>
  <c r="L522" i="180"/>
  <c r="L521" i="180"/>
  <c r="L519" i="180"/>
  <c r="L515" i="180"/>
  <c r="M514" i="180"/>
  <c r="L514" i="180"/>
  <c r="L513" i="180"/>
  <c r="L512" i="180"/>
  <c r="L511" i="180"/>
  <c r="M510" i="180"/>
  <c r="O187" i="179" l="1"/>
  <c r="Q742" i="180"/>
  <c r="Q634" i="180"/>
  <c r="Q618" i="180"/>
  <c r="Q613" i="180"/>
  <c r="Q614" i="180"/>
  <c r="Q604" i="180"/>
  <c r="Q568" i="180"/>
  <c r="Q567" i="180"/>
  <c r="Q559" i="180"/>
  <c r="Q541" i="180"/>
  <c r="Q537" i="180"/>
  <c r="Q536" i="180"/>
  <c r="M508" i="180"/>
  <c r="L508" i="180"/>
  <c r="M506" i="180"/>
  <c r="L506" i="180"/>
  <c r="L504" i="180"/>
  <c r="I504" i="180"/>
  <c r="H504" i="180"/>
  <c r="J504" i="180"/>
  <c r="K504" i="180"/>
  <c r="M504" i="180"/>
  <c r="N504" i="180"/>
  <c r="O504" i="180"/>
  <c r="P504" i="180"/>
  <c r="G504" i="180"/>
  <c r="H501" i="180"/>
  <c r="I501" i="180"/>
  <c r="J501" i="180"/>
  <c r="K501" i="180"/>
  <c r="M501" i="180"/>
  <c r="N501" i="180"/>
  <c r="O501" i="180"/>
  <c r="P501" i="180"/>
  <c r="G501" i="180"/>
  <c r="M498" i="180"/>
  <c r="L498" i="180"/>
  <c r="L497" i="180"/>
  <c r="L495" i="180"/>
  <c r="M494" i="180"/>
  <c r="I494" i="180"/>
  <c r="Q501" i="187"/>
  <c r="Q504" i="187"/>
  <c r="M484" i="180"/>
  <c r="I490" i="180"/>
  <c r="K488" i="180"/>
  <c r="I485" i="180"/>
  <c r="I484" i="180"/>
  <c r="L478" i="180"/>
  <c r="I478" i="180"/>
  <c r="I477" i="180"/>
  <c r="M470" i="180"/>
  <c r="L470" i="180"/>
  <c r="N469" i="180"/>
  <c r="L469" i="180"/>
  <c r="Q464" i="187"/>
  <c r="L464" i="180"/>
  <c r="H464" i="180"/>
  <c r="I464" i="180"/>
  <c r="J464" i="180"/>
  <c r="K464" i="180"/>
  <c r="M464" i="180"/>
  <c r="N464" i="180"/>
  <c r="O464" i="180"/>
  <c r="P464" i="180"/>
  <c r="G464" i="180"/>
  <c r="L463" i="180"/>
  <c r="M459" i="180"/>
  <c r="L459" i="180"/>
  <c r="L458" i="180"/>
  <c r="L457" i="180"/>
  <c r="M457" i="180"/>
  <c r="L456" i="180"/>
  <c r="L455" i="180"/>
  <c r="L452" i="180"/>
  <c r="L451" i="180"/>
  <c r="M450" i="180"/>
  <c r="L450" i="180"/>
  <c r="L445" i="180"/>
  <c r="L444" i="180"/>
  <c r="M443" i="180"/>
  <c r="M442" i="180"/>
  <c r="M441" i="180"/>
  <c r="L440" i="180"/>
  <c r="M439" i="180"/>
  <c r="M438" i="180"/>
  <c r="M437" i="180"/>
  <c r="L437" i="180"/>
  <c r="I437" i="180"/>
  <c r="M436" i="180"/>
  <c r="L436" i="180"/>
  <c r="M435" i="180"/>
  <c r="L434" i="180"/>
  <c r="I434" i="180"/>
  <c r="M433" i="180"/>
  <c r="L432" i="180"/>
  <c r="M432" i="180"/>
  <c r="M431" i="180"/>
  <c r="M430" i="180"/>
  <c r="I430" i="180"/>
  <c r="H446" i="180"/>
  <c r="J446" i="180"/>
  <c r="K446" i="180"/>
  <c r="M446" i="180"/>
  <c r="N446" i="180"/>
  <c r="O446" i="180"/>
  <c r="P446" i="180"/>
  <c r="G446" i="180"/>
  <c r="H445" i="180"/>
  <c r="I445" i="180"/>
  <c r="J445" i="180"/>
  <c r="K445" i="180"/>
  <c r="M445" i="180"/>
  <c r="N445" i="180"/>
  <c r="O445" i="180"/>
  <c r="P445" i="180"/>
  <c r="H444" i="180"/>
  <c r="I444" i="180"/>
  <c r="J444" i="180"/>
  <c r="K444" i="180"/>
  <c r="M444" i="180"/>
  <c r="N444" i="180"/>
  <c r="O444" i="180"/>
  <c r="P444" i="180"/>
  <c r="H443" i="180"/>
  <c r="I443" i="180"/>
  <c r="J443" i="180"/>
  <c r="K443" i="180"/>
  <c r="L443" i="180"/>
  <c r="N443" i="180"/>
  <c r="O443" i="180"/>
  <c r="P443" i="180"/>
  <c r="H442" i="180"/>
  <c r="I442" i="180"/>
  <c r="J442" i="180"/>
  <c r="K442" i="180"/>
  <c r="L442" i="180"/>
  <c r="N442" i="180"/>
  <c r="O442" i="180"/>
  <c r="P442" i="180"/>
  <c r="H441" i="180"/>
  <c r="I441" i="180"/>
  <c r="J441" i="180"/>
  <c r="K441" i="180"/>
  <c r="L441" i="180"/>
  <c r="N441" i="180"/>
  <c r="O441" i="180"/>
  <c r="P441" i="180"/>
  <c r="H440" i="180"/>
  <c r="I440" i="180"/>
  <c r="J440" i="180"/>
  <c r="K440" i="180"/>
  <c r="M440" i="180"/>
  <c r="N440" i="180"/>
  <c r="O440" i="180"/>
  <c r="P440" i="180"/>
  <c r="H439" i="180"/>
  <c r="I439" i="180"/>
  <c r="J439" i="180"/>
  <c r="K439" i="180"/>
  <c r="L439" i="180"/>
  <c r="N439" i="180"/>
  <c r="O439" i="180"/>
  <c r="P439" i="180"/>
  <c r="H438" i="180"/>
  <c r="I438" i="180"/>
  <c r="J438" i="180"/>
  <c r="K438" i="180"/>
  <c r="L438" i="180"/>
  <c r="N438" i="180"/>
  <c r="O438" i="180"/>
  <c r="P438" i="180"/>
  <c r="G438" i="180"/>
  <c r="G439" i="180"/>
  <c r="G440" i="180"/>
  <c r="G441" i="180"/>
  <c r="G442" i="180"/>
  <c r="G443" i="180"/>
  <c r="G444" i="180"/>
  <c r="G445" i="180"/>
  <c r="Q438" i="187"/>
  <c r="Q439" i="187"/>
  <c r="Q440" i="187"/>
  <c r="Q441" i="187"/>
  <c r="Q442" i="187"/>
  <c r="Q443" i="187"/>
  <c r="Q444" i="187"/>
  <c r="Q445" i="187"/>
  <c r="Q446" i="187"/>
  <c r="M416" i="180"/>
  <c r="L415" i="180"/>
  <c r="M415" i="180"/>
  <c r="M414" i="180"/>
  <c r="M413" i="180"/>
  <c r="L411" i="180"/>
  <c r="M411" i="180"/>
  <c r="M410" i="180"/>
  <c r="M409" i="180"/>
  <c r="M408" i="180"/>
  <c r="M407" i="180"/>
  <c r="M406" i="180"/>
  <c r="M405" i="180"/>
  <c r="L404" i="180"/>
  <c r="M404" i="180"/>
  <c r="M403" i="180"/>
  <c r="M402" i="180"/>
  <c r="L401" i="180"/>
  <c r="M399" i="180"/>
  <c r="M398" i="180"/>
  <c r="L397" i="180"/>
  <c r="M397" i="180"/>
  <c r="M396" i="180"/>
  <c r="M395" i="180"/>
  <c r="M393" i="180"/>
  <c r="M391" i="180"/>
  <c r="L391" i="180"/>
  <c r="L389" i="180"/>
  <c r="M389" i="180"/>
  <c r="M388" i="180"/>
  <c r="M387" i="180"/>
  <c r="M386" i="180"/>
  <c r="L386" i="180"/>
  <c r="L385" i="180"/>
  <c r="L384" i="180"/>
  <c r="M381" i="180"/>
  <c r="M379" i="180"/>
  <c r="M377" i="180"/>
  <c r="I377" i="180"/>
  <c r="L376" i="180"/>
  <c r="M376" i="180"/>
  <c r="M375" i="180"/>
  <c r="L375" i="180"/>
  <c r="I374" i="180"/>
  <c r="M374" i="180"/>
  <c r="M373" i="180"/>
  <c r="L373" i="180"/>
  <c r="M372" i="180"/>
  <c r="M371" i="180"/>
  <c r="L371" i="180"/>
  <c r="M370" i="180"/>
  <c r="I370" i="180"/>
  <c r="M369" i="180"/>
  <c r="L369" i="180"/>
  <c r="M368" i="180"/>
  <c r="L368" i="180"/>
  <c r="M365" i="180"/>
  <c r="L362" i="180"/>
  <c r="L361" i="180"/>
  <c r="L359" i="180"/>
  <c r="M356" i="180"/>
  <c r="H356" i="180"/>
  <c r="I356" i="180"/>
  <c r="J356" i="180"/>
  <c r="K356" i="180"/>
  <c r="L356" i="180"/>
  <c r="N356" i="180"/>
  <c r="O356" i="180"/>
  <c r="P356" i="180"/>
  <c r="G356" i="180"/>
  <c r="L354" i="180"/>
  <c r="M353" i="180"/>
  <c r="L353" i="180"/>
  <c r="L350" i="180"/>
  <c r="L349" i="180"/>
  <c r="I349" i="180"/>
  <c r="I341" i="180"/>
  <c r="I339" i="180"/>
  <c r="K336" i="180"/>
  <c r="H336" i="180"/>
  <c r="G336" i="180"/>
  <c r="I333" i="180"/>
  <c r="I331" i="180"/>
  <c r="K327" i="180"/>
  <c r="I323" i="180"/>
  <c r="I321" i="180"/>
  <c r="I319" i="180"/>
  <c r="I317" i="180"/>
  <c r="I315" i="180"/>
  <c r="I313" i="180"/>
  <c r="I310" i="180"/>
  <c r="I309" i="180"/>
  <c r="I305" i="180"/>
  <c r="H305" i="180"/>
  <c r="J305" i="180"/>
  <c r="K305" i="180"/>
  <c r="L305" i="180"/>
  <c r="M305" i="180"/>
  <c r="N305" i="180"/>
  <c r="O305" i="180"/>
  <c r="P305" i="180"/>
  <c r="G305" i="180"/>
  <c r="Q305" i="187"/>
  <c r="I303" i="180"/>
  <c r="H303" i="180"/>
  <c r="J303" i="180"/>
  <c r="K303" i="180"/>
  <c r="L303" i="180"/>
  <c r="M303" i="180"/>
  <c r="N303" i="180"/>
  <c r="O303" i="180"/>
  <c r="P303" i="180"/>
  <c r="G303" i="180"/>
  <c r="Q303" i="187"/>
  <c r="I301" i="180"/>
  <c r="I300" i="180"/>
  <c r="I296" i="180"/>
  <c r="I294" i="180"/>
  <c r="I290" i="180"/>
  <c r="I289" i="180"/>
  <c r="I288" i="180"/>
  <c r="I287" i="180"/>
  <c r="I285" i="180"/>
  <c r="I284" i="180"/>
  <c r="I283" i="180"/>
  <c r="I282" i="180"/>
  <c r="I280" i="180"/>
  <c r="I279" i="180"/>
  <c r="I277" i="180"/>
  <c r="I276" i="180"/>
  <c r="I271" i="180"/>
  <c r="I270" i="180"/>
  <c r="I269" i="180"/>
  <c r="I267" i="180"/>
  <c r="I264" i="180"/>
  <c r="I263" i="180"/>
  <c r="I262" i="180"/>
  <c r="I261" i="180"/>
  <c r="I259" i="180"/>
  <c r="H259" i="180"/>
  <c r="J259" i="180"/>
  <c r="K259" i="180"/>
  <c r="L259" i="180"/>
  <c r="M259" i="180"/>
  <c r="N259" i="180"/>
  <c r="O259" i="180"/>
  <c r="P259" i="180"/>
  <c r="G259" i="180"/>
  <c r="Q259" i="187"/>
  <c r="K258" i="180"/>
  <c r="I258" i="180"/>
  <c r="K255" i="180"/>
  <c r="I255" i="180"/>
  <c r="I253" i="180"/>
  <c r="I243" i="180"/>
  <c r="I240" i="180"/>
  <c r="I239" i="180"/>
  <c r="I235" i="180"/>
  <c r="L227" i="180"/>
  <c r="I221" i="180"/>
  <c r="M216" i="180"/>
  <c r="N215" i="180"/>
  <c r="M214" i="180"/>
  <c r="N213" i="180"/>
  <c r="L213" i="180"/>
  <c r="N208" i="180"/>
  <c r="L207" i="180"/>
  <c r="N206" i="180"/>
  <c r="L206" i="180"/>
  <c r="H208" i="180"/>
  <c r="I208" i="180"/>
  <c r="J208" i="180"/>
  <c r="K208" i="180"/>
  <c r="L208" i="180"/>
  <c r="M208" i="180"/>
  <c r="O208" i="180"/>
  <c r="P208" i="180"/>
  <c r="H207" i="180"/>
  <c r="I207" i="180"/>
  <c r="J207" i="180"/>
  <c r="K207" i="180"/>
  <c r="M207" i="180"/>
  <c r="N207" i="180"/>
  <c r="O207" i="180"/>
  <c r="P207" i="180"/>
  <c r="G207" i="180"/>
  <c r="G208" i="180"/>
  <c r="Q207" i="187"/>
  <c r="Q208" i="187"/>
  <c r="M203" i="180"/>
  <c r="N203" i="180"/>
  <c r="L196" i="180"/>
  <c r="N195" i="180"/>
  <c r="L193" i="180"/>
  <c r="L192" i="180"/>
  <c r="Q195" i="187"/>
  <c r="Q196" i="187"/>
  <c r="H196" i="180"/>
  <c r="I196" i="180"/>
  <c r="J196" i="180"/>
  <c r="K196" i="180"/>
  <c r="M196" i="180"/>
  <c r="N196" i="180"/>
  <c r="O196" i="180"/>
  <c r="P196" i="180"/>
  <c r="H195" i="180"/>
  <c r="I195" i="180"/>
  <c r="J195" i="180"/>
  <c r="K195" i="180"/>
  <c r="L195" i="180"/>
  <c r="M195" i="180"/>
  <c r="O195" i="180"/>
  <c r="P195" i="180"/>
  <c r="G195" i="180"/>
  <c r="G196" i="180"/>
  <c r="N189" i="180"/>
  <c r="L189" i="180"/>
  <c r="M188" i="180"/>
  <c r="L188" i="180"/>
  <c r="N187" i="180"/>
  <c r="M184" i="180"/>
  <c r="Q501" i="180" l="1"/>
  <c r="Q504" i="180"/>
  <c r="Q464" i="180"/>
  <c r="Q442" i="180"/>
  <c r="Q438" i="180"/>
  <c r="Q446" i="180"/>
  <c r="Q441" i="180"/>
  <c r="Q445" i="180"/>
  <c r="Q444" i="180"/>
  <c r="Q443" i="180"/>
  <c r="Q440" i="180"/>
  <c r="Q439" i="180"/>
  <c r="Q356" i="180"/>
  <c r="Q305" i="180"/>
  <c r="Q303" i="180"/>
  <c r="Q259" i="180"/>
  <c r="Q207" i="180"/>
  <c r="Q208" i="180"/>
  <c r="Q196" i="180"/>
  <c r="Q195" i="180"/>
  <c r="N181" i="180"/>
  <c r="L181" i="180"/>
  <c r="I180" i="180"/>
  <c r="N177" i="180"/>
  <c r="N176" i="180"/>
  <c r="N175" i="180"/>
  <c r="N174" i="180"/>
  <c r="L174" i="180"/>
  <c r="H179" i="180"/>
  <c r="I179" i="180"/>
  <c r="J179" i="180"/>
  <c r="K179" i="180"/>
  <c r="L179" i="180"/>
  <c r="M179" i="180"/>
  <c r="O179" i="180"/>
  <c r="P179" i="180"/>
  <c r="H178" i="180"/>
  <c r="I178" i="180"/>
  <c r="J178" i="180"/>
  <c r="K178" i="180"/>
  <c r="L178" i="180"/>
  <c r="M178" i="180"/>
  <c r="O178" i="180"/>
  <c r="P178" i="180"/>
  <c r="H177" i="180"/>
  <c r="I177" i="180"/>
  <c r="J177" i="180"/>
  <c r="K177" i="180"/>
  <c r="L177" i="180"/>
  <c r="M177" i="180"/>
  <c r="O177" i="180"/>
  <c r="P177" i="180"/>
  <c r="H176" i="180"/>
  <c r="I176" i="180"/>
  <c r="J176" i="180"/>
  <c r="K176" i="180"/>
  <c r="L176" i="180"/>
  <c r="M176" i="180"/>
  <c r="O176" i="180"/>
  <c r="P176" i="180"/>
  <c r="H175" i="180"/>
  <c r="I175" i="180"/>
  <c r="J175" i="180"/>
  <c r="K175" i="180"/>
  <c r="L175" i="180"/>
  <c r="M175" i="180"/>
  <c r="O175" i="180"/>
  <c r="P175" i="180"/>
  <c r="H174" i="180"/>
  <c r="I174" i="180"/>
  <c r="J174" i="180"/>
  <c r="K174" i="180"/>
  <c r="M174" i="180"/>
  <c r="O174" i="180"/>
  <c r="P174" i="180"/>
  <c r="J61" i="180"/>
  <c r="I165" i="180"/>
  <c r="H165" i="180"/>
  <c r="K162" i="180"/>
  <c r="K161" i="180"/>
  <c r="K160" i="180"/>
  <c r="K159" i="180"/>
  <c r="K157" i="180"/>
  <c r="K155" i="180"/>
  <c r="K154" i="180"/>
  <c r="K153" i="180"/>
  <c r="K152" i="180"/>
  <c r="K151" i="180"/>
  <c r="K148" i="180"/>
  <c r="K146" i="180"/>
  <c r="K145" i="180"/>
  <c r="K144" i="180"/>
  <c r="K142" i="180"/>
  <c r="K140" i="180"/>
  <c r="K139" i="180"/>
  <c r="K138" i="180"/>
  <c r="K136" i="180"/>
  <c r="H136" i="180"/>
  <c r="K135" i="180"/>
  <c r="K134" i="180"/>
  <c r="K133" i="180"/>
  <c r="K132" i="180"/>
  <c r="K131" i="180"/>
  <c r="K130" i="180"/>
  <c r="K129" i="180"/>
  <c r="K125" i="180"/>
  <c r="I125" i="180"/>
  <c r="H125" i="180"/>
  <c r="G125" i="180"/>
  <c r="I124" i="180"/>
  <c r="H124" i="180"/>
  <c r="G124" i="180"/>
  <c r="K122" i="180"/>
  <c r="K117" i="180"/>
  <c r="K111" i="180"/>
  <c r="I111" i="180"/>
  <c r="H111" i="180"/>
  <c r="G111" i="180"/>
  <c r="H106" i="180"/>
  <c r="G106" i="180"/>
  <c r="I104" i="180"/>
  <c r="K100" i="180"/>
  <c r="K99" i="180"/>
  <c r="H100" i="180"/>
  <c r="I100" i="180"/>
  <c r="J100" i="180"/>
  <c r="L100" i="180"/>
  <c r="M100" i="180"/>
  <c r="N100" i="180"/>
  <c r="O100" i="180"/>
  <c r="P100" i="180"/>
  <c r="H99" i="180"/>
  <c r="I99" i="180"/>
  <c r="J99" i="180"/>
  <c r="L99" i="180"/>
  <c r="M99" i="180"/>
  <c r="N99" i="180"/>
  <c r="O99" i="180"/>
  <c r="P99" i="180"/>
  <c r="G99" i="180"/>
  <c r="G100" i="180"/>
  <c r="Q99" i="187"/>
  <c r="Q100" i="187"/>
  <c r="K92" i="180"/>
  <c r="K86" i="180"/>
  <c r="K85" i="180"/>
  <c r="K84" i="180"/>
  <c r="K83" i="180"/>
  <c r="K82" i="180"/>
  <c r="K80" i="180"/>
  <c r="I76" i="180"/>
  <c r="K75" i="180"/>
  <c r="K74" i="180"/>
  <c r="I73" i="180"/>
  <c r="J66" i="180"/>
  <c r="I60" i="180"/>
  <c r="Q53" i="187"/>
  <c r="I53" i="180"/>
  <c r="H53" i="180"/>
  <c r="J53" i="180"/>
  <c r="K53" i="180"/>
  <c r="L53" i="180"/>
  <c r="M53" i="180"/>
  <c r="N53" i="180"/>
  <c r="O53" i="180"/>
  <c r="P53" i="180"/>
  <c r="G53" i="180"/>
  <c r="H52" i="180"/>
  <c r="G52" i="180"/>
  <c r="Q34" i="187"/>
  <c r="Q35" i="187"/>
  <c r="N44" i="180"/>
  <c r="N42" i="180"/>
  <c r="K37" i="180"/>
  <c r="I37" i="180"/>
  <c r="H37" i="180"/>
  <c r="G37" i="180"/>
  <c r="I35" i="180"/>
  <c r="I34" i="180"/>
  <c r="H35" i="180"/>
  <c r="J35" i="180"/>
  <c r="K35" i="180"/>
  <c r="L35" i="180"/>
  <c r="M35" i="180"/>
  <c r="N35" i="180"/>
  <c r="O35" i="180"/>
  <c r="P35" i="180"/>
  <c r="H34" i="180"/>
  <c r="J34" i="180"/>
  <c r="K34" i="180"/>
  <c r="L34" i="180"/>
  <c r="M34" i="180"/>
  <c r="N34" i="180"/>
  <c r="O34" i="180"/>
  <c r="P34" i="180"/>
  <c r="G34" i="180"/>
  <c r="G35" i="180"/>
  <c r="Q99" i="180" l="1"/>
  <c r="Q100" i="180"/>
  <c r="Q53" i="180"/>
  <c r="Q34" i="180"/>
  <c r="Q35" i="180"/>
  <c r="J26" i="180" l="1"/>
  <c r="J24" i="180"/>
  <c r="I24" i="180"/>
  <c r="J22" i="180"/>
  <c r="J18" i="180"/>
  <c r="J14" i="180"/>
  <c r="J13" i="180"/>
  <c r="J12" i="180"/>
  <c r="J9" i="180"/>
  <c r="J7" i="180"/>
  <c r="H19" i="138"/>
  <c r="M18" i="138"/>
  <c r="E18" i="138"/>
  <c r="M17" i="138"/>
  <c r="M15" i="138"/>
  <c r="H15" i="138"/>
  <c r="H14" i="138"/>
  <c r="H13" i="138"/>
  <c r="E12" i="138"/>
  <c r="H11" i="138"/>
  <c r="E11" i="138"/>
  <c r="H10" i="138"/>
  <c r="E10" i="138"/>
  <c r="H9" i="138"/>
  <c r="E9" i="138"/>
  <c r="H8" i="138"/>
  <c r="E8" i="138"/>
  <c r="H5" i="138"/>
  <c r="E5" i="138"/>
  <c r="H4" i="138"/>
  <c r="K20" i="139"/>
  <c r="I20" i="139"/>
  <c r="J19" i="139"/>
  <c r="F18" i="139"/>
  <c r="E18" i="139"/>
  <c r="I16" i="139"/>
  <c r="K15" i="139"/>
  <c r="J15" i="139"/>
  <c r="I15" i="139"/>
  <c r="K13" i="139"/>
  <c r="J4" i="139"/>
  <c r="J3" i="139" l="1"/>
  <c r="Q727" i="187"/>
  <c r="Q30" i="187"/>
  <c r="Q32" i="187"/>
  <c r="C14" i="107"/>
  <c r="C11" i="107"/>
  <c r="C10" i="107"/>
  <c r="C9" i="107"/>
  <c r="C7" i="107"/>
  <c r="C6" i="107"/>
  <c r="C5" i="107"/>
  <c r="C4" i="107"/>
  <c r="C3" i="107"/>
  <c r="E171" i="179"/>
  <c r="O169" i="179"/>
  <c r="G168" i="179"/>
  <c r="G167" i="179"/>
  <c r="G165" i="179"/>
  <c r="E163" i="179"/>
  <c r="N157" i="179"/>
  <c r="H154" i="179"/>
  <c r="L151" i="179"/>
  <c r="H147" i="179"/>
  <c r="H143" i="179"/>
  <c r="N139" i="179"/>
  <c r="M139" i="179"/>
  <c r="H124" i="179"/>
  <c r="O116" i="186"/>
  <c r="H119" i="179"/>
  <c r="I116" i="179"/>
  <c r="H116" i="179"/>
  <c r="F116" i="179"/>
  <c r="G116" i="179"/>
  <c r="J116" i="179"/>
  <c r="K116" i="179"/>
  <c r="L116" i="179"/>
  <c r="M116" i="179"/>
  <c r="N116" i="179"/>
  <c r="E116" i="179"/>
  <c r="O108" i="186"/>
  <c r="O109" i="186"/>
  <c r="H115" i="179"/>
  <c r="M74" i="179"/>
  <c r="K109" i="179"/>
  <c r="M108" i="179"/>
  <c r="F109" i="179"/>
  <c r="G109" i="179"/>
  <c r="H109" i="179"/>
  <c r="I109" i="179"/>
  <c r="J109" i="179"/>
  <c r="L109" i="179"/>
  <c r="M109" i="179"/>
  <c r="N109" i="179"/>
  <c r="F108" i="179"/>
  <c r="G108" i="179"/>
  <c r="H108" i="179"/>
  <c r="I108" i="179"/>
  <c r="J108" i="179"/>
  <c r="K108" i="179"/>
  <c r="L108" i="179"/>
  <c r="N108" i="179"/>
  <c r="E108" i="179"/>
  <c r="E109" i="179"/>
  <c r="N107" i="179"/>
  <c r="M107" i="179"/>
  <c r="M106" i="179"/>
  <c r="M105" i="179"/>
  <c r="M104" i="179"/>
  <c r="M103" i="179"/>
  <c r="G103" i="179"/>
  <c r="I103" i="179"/>
  <c r="J103" i="179"/>
  <c r="K103" i="179"/>
  <c r="L103" i="179"/>
  <c r="N103" i="179"/>
  <c r="O103" i="186"/>
  <c r="M102" i="179"/>
  <c r="M101" i="179"/>
  <c r="N100" i="179"/>
  <c r="M100" i="179"/>
  <c r="F100" i="179"/>
  <c r="N99" i="179"/>
  <c r="M99" i="179"/>
  <c r="F99" i="179"/>
  <c r="N98" i="179"/>
  <c r="M98" i="179"/>
  <c r="F98" i="179"/>
  <c r="E98" i="179"/>
  <c r="F96" i="179"/>
  <c r="E96" i="179"/>
  <c r="F95" i="179"/>
  <c r="E95" i="179"/>
  <c r="M94" i="179"/>
  <c r="G96" i="179"/>
  <c r="H96" i="179"/>
  <c r="I96" i="179"/>
  <c r="J96" i="179"/>
  <c r="K96" i="179"/>
  <c r="L96" i="179"/>
  <c r="M96" i="179"/>
  <c r="N96" i="179"/>
  <c r="G95" i="179"/>
  <c r="H95" i="179"/>
  <c r="I95" i="179"/>
  <c r="J95" i="179"/>
  <c r="K95" i="179"/>
  <c r="L95" i="179"/>
  <c r="M95" i="179"/>
  <c r="N95" i="179"/>
  <c r="F94" i="179"/>
  <c r="G94" i="179"/>
  <c r="H94" i="179"/>
  <c r="I94" i="179"/>
  <c r="J94" i="179"/>
  <c r="K94" i="179"/>
  <c r="L94" i="179"/>
  <c r="N94" i="179"/>
  <c r="E94" i="179"/>
  <c r="O94" i="186"/>
  <c r="O95" i="186"/>
  <c r="O96" i="186"/>
  <c r="M93" i="179"/>
  <c r="F93" i="179"/>
  <c r="M92" i="179"/>
  <c r="L92" i="179"/>
  <c r="M91" i="179"/>
  <c r="F91" i="179"/>
  <c r="M90" i="179"/>
  <c r="F90" i="179"/>
  <c r="M89" i="179"/>
  <c r="M88" i="179"/>
  <c r="L86" i="179"/>
  <c r="N87" i="179"/>
  <c r="M85" i="179"/>
  <c r="F85" i="179"/>
  <c r="E85" i="179"/>
  <c r="M84" i="179"/>
  <c r="H84" i="179"/>
  <c r="E83" i="179"/>
  <c r="E82" i="179"/>
  <c r="M79" i="179"/>
  <c r="M77" i="179"/>
  <c r="F77" i="179"/>
  <c r="M76" i="179"/>
  <c r="M75" i="179"/>
  <c r="M73" i="179"/>
  <c r="M72" i="179"/>
  <c r="M71" i="179"/>
  <c r="M68" i="179"/>
  <c r="M67" i="179"/>
  <c r="E66" i="179"/>
  <c r="M63" i="179"/>
  <c r="H63" i="179"/>
  <c r="M62" i="179"/>
  <c r="M61" i="179"/>
  <c r="H61" i="179"/>
  <c r="H60" i="179"/>
  <c r="L57" i="186"/>
  <c r="M57" i="186"/>
  <c r="H56" i="179"/>
  <c r="M51" i="179"/>
  <c r="F51" i="179"/>
  <c r="H48" i="179"/>
  <c r="C12" i="107" l="1"/>
  <c r="C8" i="107"/>
  <c r="O116" i="179"/>
  <c r="O108" i="179"/>
  <c r="O109" i="179"/>
  <c r="O103" i="179"/>
  <c r="O94" i="179"/>
  <c r="O96" i="179"/>
  <c r="O95" i="179"/>
  <c r="O87" i="179"/>
  <c r="H42" i="179"/>
  <c r="F38" i="179"/>
  <c r="G38" i="179"/>
  <c r="H38" i="179"/>
  <c r="I38" i="179"/>
  <c r="J38" i="179"/>
  <c r="K38" i="179"/>
  <c r="L38" i="179"/>
  <c r="N38" i="179"/>
  <c r="E38" i="179"/>
  <c r="I39" i="186"/>
  <c r="J39" i="186"/>
  <c r="K39" i="186"/>
  <c r="L39" i="186"/>
  <c r="M39" i="186"/>
  <c r="N39" i="186"/>
  <c r="H39" i="186"/>
  <c r="O38" i="186"/>
  <c r="E22" i="179"/>
  <c r="E21" i="179"/>
  <c r="H18" i="179"/>
  <c r="M15" i="179"/>
  <c r="F22" i="179"/>
  <c r="G22" i="179"/>
  <c r="H22" i="179"/>
  <c r="I22" i="179"/>
  <c r="J22" i="179"/>
  <c r="K22" i="179"/>
  <c r="L22" i="179"/>
  <c r="M22" i="179"/>
  <c r="N22" i="179"/>
  <c r="F21" i="179"/>
  <c r="G21" i="179"/>
  <c r="H21" i="179"/>
  <c r="I21" i="179"/>
  <c r="J21" i="179"/>
  <c r="K21" i="179"/>
  <c r="L21" i="179"/>
  <c r="M21" i="179"/>
  <c r="N21" i="179"/>
  <c r="F18" i="179"/>
  <c r="G18" i="179"/>
  <c r="I18" i="179"/>
  <c r="J18" i="179"/>
  <c r="K18" i="179"/>
  <c r="L18" i="179"/>
  <c r="M18" i="179"/>
  <c r="N18" i="179"/>
  <c r="F15" i="179"/>
  <c r="G15" i="179"/>
  <c r="H15" i="179"/>
  <c r="I15" i="179"/>
  <c r="J15" i="179"/>
  <c r="K15" i="179"/>
  <c r="L15" i="179"/>
  <c r="N15" i="179"/>
  <c r="E15" i="179"/>
  <c r="E18" i="179"/>
  <c r="O15" i="186"/>
  <c r="O18" i="186"/>
  <c r="O21" i="186"/>
  <c r="O22" i="186"/>
  <c r="C13" i="107" l="1"/>
  <c r="C15" i="107" s="1"/>
  <c r="O38" i="179"/>
  <c r="O22" i="179"/>
  <c r="O21" i="179"/>
  <c r="O15" i="179"/>
  <c r="O18" i="179"/>
  <c r="C8" i="157" l="1"/>
  <c r="C17" i="135"/>
  <c r="C24" i="135" s="1"/>
  <c r="B17" i="135"/>
  <c r="B24" i="135" s="1"/>
  <c r="G727" i="180" l="1"/>
  <c r="Q727" i="180" s="1"/>
  <c r="D37" i="157" l="1"/>
  <c r="E36" i="157"/>
  <c r="D29" i="157"/>
  <c r="D19" i="157"/>
  <c r="D12" i="157"/>
  <c r="D8" i="157"/>
  <c r="H674" i="180"/>
  <c r="I674" i="180"/>
  <c r="J674" i="180"/>
  <c r="K674" i="180"/>
  <c r="L674" i="180"/>
  <c r="M674" i="180"/>
  <c r="N674" i="180"/>
  <c r="O674" i="180"/>
  <c r="P674" i="180"/>
  <c r="G674" i="180"/>
  <c r="Q674" i="187"/>
  <c r="F163" i="179"/>
  <c r="G163" i="179"/>
  <c r="H163" i="179"/>
  <c r="I163" i="179"/>
  <c r="J163" i="179"/>
  <c r="K163" i="179"/>
  <c r="L163" i="179"/>
  <c r="M163" i="179"/>
  <c r="N163" i="179"/>
  <c r="O163" i="186"/>
  <c r="O163" i="179" l="1"/>
  <c r="Q674" i="180"/>
  <c r="D30" i="157"/>
  <c r="D38" i="157" s="1"/>
  <c r="H707" i="180" l="1"/>
  <c r="J707" i="180"/>
  <c r="K707" i="180"/>
  <c r="L707" i="180"/>
  <c r="M707" i="180"/>
  <c r="N707" i="180"/>
  <c r="O707" i="180"/>
  <c r="P707" i="180"/>
  <c r="G707" i="180"/>
  <c r="Q707" i="187"/>
  <c r="Q707" i="180" l="1"/>
  <c r="Q115" i="187"/>
  <c r="H115" i="180"/>
  <c r="J115" i="180"/>
  <c r="L115" i="180"/>
  <c r="M115" i="180"/>
  <c r="N115" i="180"/>
  <c r="O115" i="180"/>
  <c r="P115" i="180"/>
  <c r="G115" i="180"/>
  <c r="O128" i="186"/>
  <c r="F128" i="179"/>
  <c r="G128" i="179"/>
  <c r="H128" i="179"/>
  <c r="J128" i="179"/>
  <c r="K128" i="179"/>
  <c r="L128" i="179"/>
  <c r="M128" i="179"/>
  <c r="N128" i="179"/>
  <c r="E128" i="179"/>
  <c r="Q115" i="180" l="1"/>
  <c r="O128" i="179"/>
  <c r="I4" i="135"/>
  <c r="I5" i="135"/>
  <c r="I6" i="135"/>
  <c r="I7" i="135"/>
  <c r="I9" i="135"/>
  <c r="I10" i="135"/>
  <c r="I13" i="135"/>
  <c r="I14" i="135"/>
  <c r="I15" i="135"/>
  <c r="I16" i="135"/>
  <c r="I17" i="135"/>
  <c r="I18" i="135"/>
  <c r="I19" i="135"/>
  <c r="I22" i="135"/>
  <c r="I23" i="135"/>
  <c r="I26" i="135"/>
  <c r="I3" i="135"/>
  <c r="D4" i="135"/>
  <c r="D5" i="135"/>
  <c r="D6" i="135"/>
  <c r="D8" i="135"/>
  <c r="D10" i="135"/>
  <c r="D13" i="135"/>
  <c r="D14" i="135"/>
  <c r="D15" i="135"/>
  <c r="D16" i="135"/>
  <c r="D19" i="135"/>
  <c r="D20" i="135"/>
  <c r="D21" i="135"/>
  <c r="D26" i="135"/>
  <c r="D3" i="135"/>
  <c r="G20" i="135"/>
  <c r="G24" i="135" s="1"/>
  <c r="G8" i="135"/>
  <c r="G11" i="135" s="1"/>
  <c r="B7" i="135"/>
  <c r="B11" i="135" s="1"/>
  <c r="E6" i="157"/>
  <c r="E7" i="157"/>
  <c r="E10" i="157"/>
  <c r="E11" i="157"/>
  <c r="E14" i="157"/>
  <c r="E16" i="157"/>
  <c r="E17" i="157"/>
  <c r="E18" i="157"/>
  <c r="E20" i="157"/>
  <c r="E22" i="157"/>
  <c r="E23" i="157"/>
  <c r="E25" i="157"/>
  <c r="E27" i="157"/>
  <c r="E28" i="157"/>
  <c r="E33" i="157"/>
  <c r="E34" i="157"/>
  <c r="E35" i="157"/>
  <c r="C37" i="157"/>
  <c r="C29" i="157"/>
  <c r="E29" i="157" s="1"/>
  <c r="C24" i="157"/>
  <c r="E24" i="157" s="1"/>
  <c r="C19" i="157"/>
  <c r="E19" i="157" s="1"/>
  <c r="C12" i="157"/>
  <c r="E12" i="157" s="1"/>
  <c r="Q152" i="187"/>
  <c r="D17" i="135" l="1"/>
  <c r="D24" i="135" s="1"/>
  <c r="C30" i="157"/>
  <c r="C38" i="157" s="1"/>
  <c r="E38" i="157" s="1"/>
  <c r="E37" i="157"/>
  <c r="B25" i="135"/>
  <c r="B27" i="135" s="1"/>
  <c r="E8" i="157"/>
  <c r="G25" i="135"/>
  <c r="G27" i="135" s="1"/>
  <c r="K764" i="180"/>
  <c r="K750" i="180"/>
  <c r="H767" i="180"/>
  <c r="I767" i="180"/>
  <c r="J767" i="180"/>
  <c r="K767" i="180"/>
  <c r="M767" i="180"/>
  <c r="N767" i="180"/>
  <c r="O767" i="180"/>
  <c r="P767" i="180"/>
  <c r="H766" i="180"/>
  <c r="I766" i="180"/>
  <c r="J766" i="180"/>
  <c r="K766" i="180"/>
  <c r="L766" i="180"/>
  <c r="N766" i="180"/>
  <c r="O766" i="180"/>
  <c r="P766" i="180"/>
  <c r="H764" i="180"/>
  <c r="I764" i="180"/>
  <c r="J764" i="180"/>
  <c r="L764" i="180"/>
  <c r="M764" i="180"/>
  <c r="N764" i="180"/>
  <c r="O764" i="180"/>
  <c r="P764" i="180"/>
  <c r="H757" i="180"/>
  <c r="I757" i="180"/>
  <c r="J757" i="180"/>
  <c r="L757" i="180"/>
  <c r="M757" i="180"/>
  <c r="N757" i="180"/>
  <c r="O757" i="180"/>
  <c r="P757" i="180"/>
  <c r="H756" i="180"/>
  <c r="I756" i="180"/>
  <c r="J756" i="180"/>
  <c r="L756" i="180"/>
  <c r="M756" i="180"/>
  <c r="N756" i="180"/>
  <c r="O756" i="180"/>
  <c r="P756" i="180"/>
  <c r="H755" i="180"/>
  <c r="I755" i="180"/>
  <c r="J755" i="180"/>
  <c r="L755" i="180"/>
  <c r="M755" i="180"/>
  <c r="N755" i="180"/>
  <c r="O755" i="180"/>
  <c r="P755" i="180"/>
  <c r="H754" i="180"/>
  <c r="I754" i="180"/>
  <c r="J754" i="180"/>
  <c r="L754" i="180"/>
  <c r="M754" i="180"/>
  <c r="N754" i="180"/>
  <c r="O754" i="180"/>
  <c r="P754" i="180"/>
  <c r="H753" i="180"/>
  <c r="I753" i="180"/>
  <c r="J753" i="180"/>
  <c r="L753" i="180"/>
  <c r="M753" i="180"/>
  <c r="N753" i="180"/>
  <c r="O753" i="180"/>
  <c r="P753" i="180"/>
  <c r="H752" i="180"/>
  <c r="I752" i="180"/>
  <c r="J752" i="180"/>
  <c r="L752" i="180"/>
  <c r="M752" i="180"/>
  <c r="N752" i="180"/>
  <c r="O752" i="180"/>
  <c r="P752" i="180"/>
  <c r="G752" i="180"/>
  <c r="G753" i="180"/>
  <c r="G754" i="180"/>
  <c r="G755" i="180"/>
  <c r="G756" i="180"/>
  <c r="G757" i="180"/>
  <c r="G764" i="180"/>
  <c r="G766" i="180"/>
  <c r="G767" i="180"/>
  <c r="H750" i="180"/>
  <c r="I750" i="180"/>
  <c r="J750" i="180"/>
  <c r="L750" i="180"/>
  <c r="M750" i="180"/>
  <c r="N750" i="180"/>
  <c r="O750" i="180"/>
  <c r="P750" i="180"/>
  <c r="G750" i="180"/>
  <c r="H747" i="180"/>
  <c r="J747" i="180"/>
  <c r="K747" i="180"/>
  <c r="M747" i="180"/>
  <c r="O747" i="180"/>
  <c r="P747" i="180"/>
  <c r="H746" i="180"/>
  <c r="J746" i="180"/>
  <c r="K746" i="180"/>
  <c r="M746" i="180"/>
  <c r="N746" i="180"/>
  <c r="O746" i="180"/>
  <c r="P746" i="180"/>
  <c r="H741" i="180"/>
  <c r="I741" i="180"/>
  <c r="J741" i="180"/>
  <c r="K741" i="180"/>
  <c r="M741" i="180"/>
  <c r="O741" i="180"/>
  <c r="P741" i="180"/>
  <c r="G741" i="180"/>
  <c r="G746" i="180"/>
  <c r="G747" i="180"/>
  <c r="H740" i="180"/>
  <c r="J740" i="180"/>
  <c r="K740" i="180"/>
  <c r="M740" i="180"/>
  <c r="N740" i="180"/>
  <c r="O740" i="180"/>
  <c r="P740" i="180"/>
  <c r="G740" i="180"/>
  <c r="I733" i="180"/>
  <c r="K730" i="180"/>
  <c r="G726" i="180"/>
  <c r="K723" i="180"/>
  <c r="I719" i="180"/>
  <c r="K716" i="180"/>
  <c r="K712" i="180"/>
  <c r="I709" i="180"/>
  <c r="K708" i="180"/>
  <c r="Q746" i="180" l="1"/>
  <c r="E30" i="157"/>
  <c r="K706" i="180"/>
  <c r="G706" i="180"/>
  <c r="P706" i="180"/>
  <c r="P708" i="180"/>
  <c r="P709" i="180"/>
  <c r="P710" i="180"/>
  <c r="P711" i="180"/>
  <c r="P712" i="180"/>
  <c r="P713" i="180"/>
  <c r="P714" i="180"/>
  <c r="P716" i="180"/>
  <c r="P717" i="180"/>
  <c r="P719" i="180"/>
  <c r="P720" i="180"/>
  <c r="P722" i="180"/>
  <c r="P723" i="180"/>
  <c r="P725" i="180"/>
  <c r="P726" i="180"/>
  <c r="P728" i="180"/>
  <c r="P730" i="180"/>
  <c r="P732" i="180"/>
  <c r="P733" i="180"/>
  <c r="P734" i="180"/>
  <c r="P735" i="180"/>
  <c r="P736" i="180"/>
  <c r="O706" i="180"/>
  <c r="O708" i="180"/>
  <c r="O709" i="180"/>
  <c r="O710" i="180"/>
  <c r="O711" i="180"/>
  <c r="O712" i="180"/>
  <c r="O713" i="180"/>
  <c r="O714" i="180"/>
  <c r="O716" i="180"/>
  <c r="O717" i="180"/>
  <c r="O719" i="180"/>
  <c r="O720" i="180"/>
  <c r="O722" i="180"/>
  <c r="O723" i="180"/>
  <c r="O725" i="180"/>
  <c r="O726" i="180"/>
  <c r="O728" i="180"/>
  <c r="O730" i="180"/>
  <c r="O732" i="180"/>
  <c r="O733" i="180"/>
  <c r="O734" i="180"/>
  <c r="O735" i="180"/>
  <c r="O736" i="180"/>
  <c r="N706" i="180"/>
  <c r="N708" i="180"/>
  <c r="N709" i="180"/>
  <c r="N710" i="180"/>
  <c r="N711" i="180"/>
  <c r="N712" i="180"/>
  <c r="N713" i="180"/>
  <c r="N714" i="180"/>
  <c r="N716" i="180"/>
  <c r="N717" i="180"/>
  <c r="N722" i="180"/>
  <c r="N723" i="180"/>
  <c r="N725" i="180"/>
  <c r="N726" i="180"/>
  <c r="N728" i="180"/>
  <c r="N730" i="180"/>
  <c r="N732" i="180"/>
  <c r="N733" i="180"/>
  <c r="N734" i="180"/>
  <c r="N735" i="180"/>
  <c r="N736" i="180"/>
  <c r="M706" i="180"/>
  <c r="M708" i="180"/>
  <c r="M709" i="180"/>
  <c r="M710" i="180"/>
  <c r="M711" i="180"/>
  <c r="M712" i="180"/>
  <c r="M713" i="180"/>
  <c r="M714" i="180"/>
  <c r="M716" i="180"/>
  <c r="M717" i="180"/>
  <c r="M719" i="180"/>
  <c r="M720" i="180"/>
  <c r="M722" i="180"/>
  <c r="M723" i="180"/>
  <c r="M725" i="180"/>
  <c r="M726" i="180"/>
  <c r="M728" i="180"/>
  <c r="M730" i="180"/>
  <c r="M732" i="180"/>
  <c r="M733" i="180"/>
  <c r="M734" i="180"/>
  <c r="M735" i="180"/>
  <c r="M736" i="180"/>
  <c r="L706" i="180"/>
  <c r="L708" i="180"/>
  <c r="L709" i="180"/>
  <c r="L710" i="180"/>
  <c r="L711" i="180"/>
  <c r="L712" i="180"/>
  <c r="L713" i="180"/>
  <c r="L714" i="180"/>
  <c r="L716" i="180"/>
  <c r="L717" i="180"/>
  <c r="L719" i="180"/>
  <c r="L722" i="180"/>
  <c r="L723" i="180"/>
  <c r="L725" i="180"/>
  <c r="L726" i="180"/>
  <c r="L728" i="180"/>
  <c r="L730" i="180"/>
  <c r="L732" i="180"/>
  <c r="L733" i="180"/>
  <c r="L734" i="180"/>
  <c r="L735" i="180"/>
  <c r="L736" i="180"/>
  <c r="K709" i="180"/>
  <c r="K710" i="180"/>
  <c r="K714" i="180"/>
  <c r="K717" i="180"/>
  <c r="K728" i="180"/>
  <c r="K732" i="180"/>
  <c r="K733" i="180"/>
  <c r="J706" i="180"/>
  <c r="J708" i="180"/>
  <c r="J709" i="180"/>
  <c r="J710" i="180"/>
  <c r="J711" i="180"/>
  <c r="J712" i="180"/>
  <c r="J713" i="180"/>
  <c r="J714" i="180"/>
  <c r="J716" i="180"/>
  <c r="J717" i="180"/>
  <c r="J719" i="180"/>
  <c r="J720" i="180"/>
  <c r="J722" i="180"/>
  <c r="J723" i="180"/>
  <c r="J725" i="180"/>
  <c r="J726" i="180"/>
  <c r="J728" i="180"/>
  <c r="J730" i="180"/>
  <c r="J732" i="180"/>
  <c r="J733" i="180"/>
  <c r="J734" i="180"/>
  <c r="J735" i="180"/>
  <c r="J736" i="180"/>
  <c r="I708" i="180"/>
  <c r="I712" i="180"/>
  <c r="I713" i="180"/>
  <c r="I716" i="180"/>
  <c r="I722" i="180"/>
  <c r="I723" i="180"/>
  <c r="I725" i="180"/>
  <c r="I730" i="180"/>
  <c r="I734" i="180"/>
  <c r="I735" i="180"/>
  <c r="I736" i="180"/>
  <c r="H708" i="180"/>
  <c r="H709" i="180"/>
  <c r="H710" i="180"/>
  <c r="H711" i="180"/>
  <c r="H712" i="180"/>
  <c r="H713" i="180"/>
  <c r="H716" i="180"/>
  <c r="H717" i="180"/>
  <c r="H719" i="180"/>
  <c r="H722" i="180"/>
  <c r="H723" i="180"/>
  <c r="H725" i="180"/>
  <c r="H728" i="180"/>
  <c r="H730" i="180"/>
  <c r="H732" i="180"/>
  <c r="H733" i="180"/>
  <c r="H734" i="180"/>
  <c r="H735" i="180"/>
  <c r="H736" i="180"/>
  <c r="G708" i="180"/>
  <c r="G709" i="180"/>
  <c r="G710" i="180"/>
  <c r="G711" i="180"/>
  <c r="G712" i="180"/>
  <c r="G713" i="180"/>
  <c r="G716" i="180"/>
  <c r="G717" i="180"/>
  <c r="G719" i="180"/>
  <c r="G722" i="180"/>
  <c r="G723" i="180"/>
  <c r="G725" i="180"/>
  <c r="G728" i="180"/>
  <c r="G730" i="180"/>
  <c r="G732" i="180"/>
  <c r="G733" i="180"/>
  <c r="G734" i="180"/>
  <c r="G735" i="180"/>
  <c r="G736" i="180"/>
  <c r="J705" i="180"/>
  <c r="L705" i="180"/>
  <c r="M705" i="180"/>
  <c r="N705" i="180"/>
  <c r="O705" i="180"/>
  <c r="P705" i="180"/>
  <c r="K687" i="180"/>
  <c r="K685" i="180"/>
  <c r="K684" i="180"/>
  <c r="I682" i="180"/>
  <c r="I676" i="180"/>
  <c r="P673" i="180"/>
  <c r="P676" i="180"/>
  <c r="P677" i="180"/>
  <c r="P678" i="180"/>
  <c r="P679" i="180"/>
  <c r="P682" i="180"/>
  <c r="P684" i="180"/>
  <c r="P685" i="180"/>
  <c r="P687" i="180"/>
  <c r="P689" i="180"/>
  <c r="P691" i="180"/>
  <c r="P693" i="180"/>
  <c r="P696" i="180"/>
  <c r="P698" i="180"/>
  <c r="O672" i="180"/>
  <c r="O673" i="180"/>
  <c r="O676" i="180"/>
  <c r="O677" i="180"/>
  <c r="O678" i="180"/>
  <c r="O679" i="180"/>
  <c r="O682" i="180"/>
  <c r="O684" i="180"/>
  <c r="O685" i="180"/>
  <c r="O687" i="180"/>
  <c r="O689" i="180"/>
  <c r="O691" i="180"/>
  <c r="O694" i="180"/>
  <c r="O696" i="180"/>
  <c r="O698" i="180"/>
  <c r="N672" i="180"/>
  <c r="N673" i="180"/>
  <c r="N676" i="180"/>
  <c r="N677" i="180"/>
  <c r="N678" i="180"/>
  <c r="N682" i="180"/>
  <c r="N684" i="180"/>
  <c r="N685" i="180"/>
  <c r="N687" i="180"/>
  <c r="N689" i="180"/>
  <c r="N691" i="180"/>
  <c r="N693" i="180"/>
  <c r="N694" i="180"/>
  <c r="N696" i="180"/>
  <c r="N698" i="180"/>
  <c r="M672" i="180"/>
  <c r="M673" i="180"/>
  <c r="M676" i="180"/>
  <c r="M677" i="180"/>
  <c r="M678" i="180"/>
  <c r="M679" i="180"/>
  <c r="M682" i="180"/>
  <c r="M684" i="180"/>
  <c r="M685" i="180"/>
  <c r="M687" i="180"/>
  <c r="M689" i="180"/>
  <c r="M691" i="180"/>
  <c r="M693" i="180"/>
  <c r="M694" i="180"/>
  <c r="M696" i="180"/>
  <c r="M698" i="180"/>
  <c r="L672" i="180"/>
  <c r="L673" i="180"/>
  <c r="L676" i="180"/>
  <c r="L677" i="180"/>
  <c r="L678" i="180"/>
  <c r="L679" i="180"/>
  <c r="L682" i="180"/>
  <c r="L684" i="180"/>
  <c r="L685" i="180"/>
  <c r="L687" i="180"/>
  <c r="L689" i="180"/>
  <c r="L691" i="180"/>
  <c r="L693" i="180"/>
  <c r="L694" i="180"/>
  <c r="L696" i="180"/>
  <c r="L698" i="180"/>
  <c r="K672" i="180"/>
  <c r="K676" i="180"/>
  <c r="K677" i="180"/>
  <c r="K678" i="180"/>
  <c r="K679" i="180"/>
  <c r="K682" i="180"/>
  <c r="K691" i="180"/>
  <c r="K693" i="180"/>
  <c r="K694" i="180"/>
  <c r="J672" i="180"/>
  <c r="J673" i="180"/>
  <c r="J676" i="180"/>
  <c r="J677" i="180"/>
  <c r="J678" i="180"/>
  <c r="J679" i="180"/>
  <c r="J682" i="180"/>
  <c r="J684" i="180"/>
  <c r="J685" i="180"/>
  <c r="J687" i="180"/>
  <c r="J689" i="180"/>
  <c r="J691" i="180"/>
  <c r="J693" i="180"/>
  <c r="J694" i="180"/>
  <c r="J696" i="180"/>
  <c r="J698" i="180"/>
  <c r="I672" i="180"/>
  <c r="I673" i="180"/>
  <c r="I684" i="180"/>
  <c r="I685" i="180"/>
  <c r="I687" i="180"/>
  <c r="I689" i="180"/>
  <c r="I694" i="180"/>
  <c r="I696" i="180"/>
  <c r="I698" i="180"/>
  <c r="H672" i="180"/>
  <c r="H673" i="180"/>
  <c r="H676" i="180"/>
  <c r="H677" i="180"/>
  <c r="H678" i="180"/>
  <c r="H679" i="180"/>
  <c r="H682" i="180"/>
  <c r="H684" i="180"/>
  <c r="H685" i="180"/>
  <c r="H687" i="180"/>
  <c r="H689" i="180"/>
  <c r="H691" i="180"/>
  <c r="H693" i="180"/>
  <c r="H694" i="180"/>
  <c r="H696" i="180"/>
  <c r="H698" i="180"/>
  <c r="G672" i="180"/>
  <c r="G673" i="180"/>
  <c r="G676" i="180"/>
  <c r="G677" i="180"/>
  <c r="G678" i="180"/>
  <c r="G679" i="180"/>
  <c r="G682" i="180"/>
  <c r="G684" i="180"/>
  <c r="G685" i="180"/>
  <c r="G687" i="180"/>
  <c r="G689" i="180"/>
  <c r="G691" i="180"/>
  <c r="G693" i="180"/>
  <c r="G694" i="180"/>
  <c r="G696" i="180"/>
  <c r="G698" i="180"/>
  <c r="H671" i="180"/>
  <c r="I671" i="180"/>
  <c r="J671" i="180"/>
  <c r="L671" i="180"/>
  <c r="M671" i="180"/>
  <c r="N671" i="180"/>
  <c r="O671" i="180"/>
  <c r="P671" i="180"/>
  <c r="G671" i="180"/>
  <c r="H667" i="180"/>
  <c r="I667" i="180"/>
  <c r="J667" i="180"/>
  <c r="K667" i="180"/>
  <c r="M667" i="180"/>
  <c r="N667" i="180"/>
  <c r="O667" i="180"/>
  <c r="P667" i="180"/>
  <c r="G667" i="180"/>
  <c r="H665" i="180"/>
  <c r="I665" i="180"/>
  <c r="J665" i="180"/>
  <c r="K665" i="180"/>
  <c r="M665" i="180"/>
  <c r="N665" i="180"/>
  <c r="O665" i="180"/>
  <c r="P665" i="180"/>
  <c r="G665" i="180"/>
  <c r="I662" i="180"/>
  <c r="I661" i="180"/>
  <c r="I660" i="180"/>
  <c r="K658" i="180"/>
  <c r="K657" i="180"/>
  <c r="P650" i="180"/>
  <c r="P651" i="180"/>
  <c r="P653" i="180"/>
  <c r="P654" i="180"/>
  <c r="P656" i="180"/>
  <c r="P657" i="180"/>
  <c r="P658" i="180"/>
  <c r="P660" i="180"/>
  <c r="P661" i="180"/>
  <c r="P662" i="180"/>
  <c r="O650" i="180"/>
  <c r="O651" i="180"/>
  <c r="O653" i="180"/>
  <c r="O654" i="180"/>
  <c r="O656" i="180"/>
  <c r="O657" i="180"/>
  <c r="O658" i="180"/>
  <c r="O660" i="180"/>
  <c r="O661" i="180"/>
  <c r="O662" i="180"/>
  <c r="N650" i="180"/>
  <c r="N651" i="180"/>
  <c r="N653" i="180"/>
  <c r="N654" i="180"/>
  <c r="N656" i="180"/>
  <c r="N657" i="180"/>
  <c r="N658" i="180"/>
  <c r="N660" i="180"/>
  <c r="N661" i="180"/>
  <c r="N662" i="180"/>
  <c r="M650" i="180"/>
  <c r="M651" i="180"/>
  <c r="M653" i="180"/>
  <c r="M654" i="180"/>
  <c r="M656" i="180"/>
  <c r="M657" i="180"/>
  <c r="M658" i="180"/>
  <c r="M660" i="180"/>
  <c r="M661" i="180"/>
  <c r="M662" i="180"/>
  <c r="L653" i="180"/>
  <c r="L654" i="180"/>
  <c r="L656" i="180"/>
  <c r="L657" i="180"/>
  <c r="L658" i="180"/>
  <c r="L660" i="180"/>
  <c r="L661" i="180"/>
  <c r="L662" i="180"/>
  <c r="K650" i="180"/>
  <c r="K651" i="180"/>
  <c r="K653" i="180"/>
  <c r="K654" i="180"/>
  <c r="K660" i="180"/>
  <c r="K661" i="180"/>
  <c r="K662" i="180"/>
  <c r="J650" i="180"/>
  <c r="J651" i="180"/>
  <c r="J653" i="180"/>
  <c r="J654" i="180"/>
  <c r="J656" i="180"/>
  <c r="J657" i="180"/>
  <c r="J658" i="180"/>
  <c r="J660" i="180"/>
  <c r="J661" i="180"/>
  <c r="J662" i="180"/>
  <c r="I657" i="180"/>
  <c r="I658" i="180"/>
  <c r="H650" i="180"/>
  <c r="H651" i="180"/>
  <c r="H654" i="180"/>
  <c r="H656" i="180"/>
  <c r="H657" i="180"/>
  <c r="H658" i="180"/>
  <c r="H660" i="180"/>
  <c r="H661" i="180"/>
  <c r="H662" i="180"/>
  <c r="G650" i="180"/>
  <c r="G651" i="180"/>
  <c r="G654" i="180"/>
  <c r="G656" i="180"/>
  <c r="G657" i="180"/>
  <c r="G658" i="180"/>
  <c r="G660" i="180"/>
  <c r="G661" i="180"/>
  <c r="G662" i="180"/>
  <c r="H649" i="180"/>
  <c r="J649" i="180"/>
  <c r="K649" i="180"/>
  <c r="L649" i="180"/>
  <c r="M649" i="180"/>
  <c r="N649" i="180"/>
  <c r="O649" i="180"/>
  <c r="P649" i="180"/>
  <c r="G649" i="180"/>
  <c r="H645" i="180"/>
  <c r="J645" i="180"/>
  <c r="K645" i="180"/>
  <c r="M645" i="180"/>
  <c r="N645" i="180"/>
  <c r="O645" i="180"/>
  <c r="P645" i="180"/>
  <c r="H644" i="180"/>
  <c r="J644" i="180"/>
  <c r="K644" i="180"/>
  <c r="M644" i="180"/>
  <c r="N644" i="180"/>
  <c r="O644" i="180"/>
  <c r="H643" i="180"/>
  <c r="I643" i="180"/>
  <c r="J643" i="180"/>
  <c r="K643" i="180"/>
  <c r="M643" i="180"/>
  <c r="N643" i="180"/>
  <c r="O643" i="180"/>
  <c r="P643" i="180"/>
  <c r="H641" i="180"/>
  <c r="I641" i="180"/>
  <c r="J641" i="180"/>
  <c r="K641" i="180"/>
  <c r="L641" i="180"/>
  <c r="M641" i="180"/>
  <c r="O641" i="180"/>
  <c r="P641" i="180"/>
  <c r="H640" i="180"/>
  <c r="J640" i="180"/>
  <c r="K640" i="180"/>
  <c r="M640" i="180"/>
  <c r="N640" i="180"/>
  <c r="O640" i="180"/>
  <c r="P640" i="180"/>
  <c r="G640" i="180"/>
  <c r="G641" i="180"/>
  <c r="G643" i="180"/>
  <c r="G644" i="180"/>
  <c r="G645" i="180"/>
  <c r="H639" i="180"/>
  <c r="I639" i="180"/>
  <c r="J639" i="180"/>
  <c r="K639" i="180"/>
  <c r="L639" i="180"/>
  <c r="M639" i="180"/>
  <c r="O639" i="180"/>
  <c r="P639" i="180"/>
  <c r="G639" i="180"/>
  <c r="I636" i="180"/>
  <c r="I633" i="180"/>
  <c r="I631" i="180"/>
  <c r="I628" i="180"/>
  <c r="I627" i="180"/>
  <c r="H636" i="180"/>
  <c r="J636" i="180"/>
  <c r="K636" i="180"/>
  <c r="L636" i="180"/>
  <c r="M636" i="180"/>
  <c r="N636" i="180"/>
  <c r="O636" i="180"/>
  <c r="P636" i="180"/>
  <c r="H633" i="180"/>
  <c r="J633" i="180"/>
  <c r="K633" i="180"/>
  <c r="L633" i="180"/>
  <c r="M633" i="180"/>
  <c r="N633" i="180"/>
  <c r="O633" i="180"/>
  <c r="P633" i="180"/>
  <c r="H632" i="180"/>
  <c r="J632" i="180"/>
  <c r="K632" i="180"/>
  <c r="L632" i="180"/>
  <c r="M632" i="180"/>
  <c r="N632" i="180"/>
  <c r="O632" i="180"/>
  <c r="P632" i="180"/>
  <c r="H631" i="180"/>
  <c r="J631" i="180"/>
  <c r="K631" i="180"/>
  <c r="L631" i="180"/>
  <c r="M631" i="180"/>
  <c r="N631" i="180"/>
  <c r="O631" i="180"/>
  <c r="P631" i="180"/>
  <c r="H630" i="180"/>
  <c r="J630" i="180"/>
  <c r="K630" i="180"/>
  <c r="L630" i="180"/>
  <c r="M630" i="180"/>
  <c r="N630" i="180"/>
  <c r="O630" i="180"/>
  <c r="P630" i="180"/>
  <c r="H629" i="180"/>
  <c r="J629" i="180"/>
  <c r="K629" i="180"/>
  <c r="L629" i="180"/>
  <c r="M629" i="180"/>
  <c r="N629" i="180"/>
  <c r="O629" i="180"/>
  <c r="P629" i="180"/>
  <c r="H628" i="180"/>
  <c r="J628" i="180"/>
  <c r="K628" i="180"/>
  <c r="L628" i="180"/>
  <c r="M628" i="180"/>
  <c r="N628" i="180"/>
  <c r="O628" i="180"/>
  <c r="P628" i="180"/>
  <c r="H627" i="180"/>
  <c r="J627" i="180"/>
  <c r="K627" i="180"/>
  <c r="L627" i="180"/>
  <c r="M627" i="180"/>
  <c r="N627" i="180"/>
  <c r="O627" i="180"/>
  <c r="P627" i="180"/>
  <c r="H626" i="180"/>
  <c r="J626" i="180"/>
  <c r="K626" i="180"/>
  <c r="L626" i="180"/>
  <c r="M626" i="180"/>
  <c r="O626" i="180"/>
  <c r="P626" i="180"/>
  <c r="G627" i="180"/>
  <c r="G628" i="180"/>
  <c r="G629" i="180"/>
  <c r="G630" i="180"/>
  <c r="G631" i="180"/>
  <c r="G632" i="180"/>
  <c r="G633" i="180"/>
  <c r="G636" i="180"/>
  <c r="G626" i="180"/>
  <c r="H610" i="180"/>
  <c r="G610" i="180"/>
  <c r="H609" i="180"/>
  <c r="G609" i="180"/>
  <c r="H599" i="180"/>
  <c r="G599" i="180"/>
  <c r="G699" i="180" l="1"/>
  <c r="G702" i="180" s="1"/>
  <c r="O738" i="180"/>
  <c r="M738" i="180"/>
  <c r="J738" i="180"/>
  <c r="P738" i="180"/>
  <c r="N738" i="180"/>
  <c r="L738" i="180"/>
  <c r="I738" i="180"/>
  <c r="G738" i="180"/>
  <c r="H738" i="180"/>
  <c r="K738" i="180"/>
  <c r="M589" i="180"/>
  <c r="Q508" i="187" l="1"/>
  <c r="P495" i="180"/>
  <c r="P497" i="180"/>
  <c r="P498" i="180"/>
  <c r="P500" i="180"/>
  <c r="P503" i="180"/>
  <c r="P506" i="180"/>
  <c r="P508" i="180"/>
  <c r="P510" i="180"/>
  <c r="P511" i="180"/>
  <c r="P512" i="180"/>
  <c r="P513" i="180"/>
  <c r="P514" i="180"/>
  <c r="P515" i="180"/>
  <c r="P516" i="180"/>
  <c r="P517" i="180"/>
  <c r="P518" i="180"/>
  <c r="P519" i="180"/>
  <c r="P520" i="180"/>
  <c r="P521" i="180"/>
  <c r="P522" i="180"/>
  <c r="P526" i="180"/>
  <c r="P527" i="180"/>
  <c r="P528" i="180"/>
  <c r="P529" i="180"/>
  <c r="P530" i="180"/>
  <c r="P532" i="180"/>
  <c r="P534" i="180"/>
  <c r="P535" i="180"/>
  <c r="P539" i="180"/>
  <c r="P540" i="180"/>
  <c r="P544" i="180"/>
  <c r="P547" i="180"/>
  <c r="P548" i="180"/>
  <c r="P549" i="180"/>
  <c r="P550" i="180"/>
  <c r="P551" i="180"/>
  <c r="P557" i="180"/>
  <c r="P558" i="180"/>
  <c r="P560" i="180"/>
  <c r="P561" i="180"/>
  <c r="P562" i="180"/>
  <c r="P563" i="180"/>
  <c r="P564" i="180"/>
  <c r="P570" i="180"/>
  <c r="P571" i="180"/>
  <c r="P572" i="180"/>
  <c r="P573" i="180"/>
  <c r="P574" i="180"/>
  <c r="P575" i="180"/>
  <c r="P576" i="180"/>
  <c r="P577" i="180"/>
  <c r="P578" i="180"/>
  <c r="P579" i="180"/>
  <c r="P580" i="180"/>
  <c r="P581" i="180"/>
  <c r="P582" i="180"/>
  <c r="P583" i="180"/>
  <c r="P584" i="180"/>
  <c r="P585" i="180"/>
  <c r="P586" i="180"/>
  <c r="P587" i="180"/>
  <c r="P588" i="180"/>
  <c r="P589" i="180"/>
  <c r="P590" i="180"/>
  <c r="P591" i="180"/>
  <c r="P592" i="180"/>
  <c r="P593" i="180"/>
  <c r="P594" i="180"/>
  <c r="P595" i="180"/>
  <c r="P596" i="180"/>
  <c r="P599" i="180"/>
  <c r="P600" i="180"/>
  <c r="P601" i="180"/>
  <c r="P602" i="180"/>
  <c r="P603" i="180"/>
  <c r="P609" i="180"/>
  <c r="P610" i="180"/>
  <c r="P611" i="180"/>
  <c r="P612" i="180"/>
  <c r="P616" i="180"/>
  <c r="P617" i="180"/>
  <c r="P619" i="180"/>
  <c r="P620" i="180"/>
  <c r="P621" i="180"/>
  <c r="P622" i="180"/>
  <c r="O495" i="180"/>
  <c r="O497" i="180"/>
  <c r="O498" i="180"/>
  <c r="O500" i="180"/>
  <c r="O503" i="180"/>
  <c r="O506" i="180"/>
  <c r="O508" i="180"/>
  <c r="O510" i="180"/>
  <c r="O511" i="180"/>
  <c r="O512" i="180"/>
  <c r="O513" i="180"/>
  <c r="O514" i="180"/>
  <c r="O515" i="180"/>
  <c r="O516" i="180"/>
  <c r="O517" i="180"/>
  <c r="O518" i="180"/>
  <c r="O519" i="180"/>
  <c r="O520" i="180"/>
  <c r="O521" i="180"/>
  <c r="O522" i="180"/>
  <c r="O526" i="180"/>
  <c r="O527" i="180"/>
  <c r="O528" i="180"/>
  <c r="O529" i="180"/>
  <c r="O530" i="180"/>
  <c r="O532" i="180"/>
  <c r="O534" i="180"/>
  <c r="O535" i="180"/>
  <c r="O539" i="180"/>
  <c r="O540" i="180"/>
  <c r="O544" i="180"/>
  <c r="O547" i="180"/>
  <c r="O548" i="180"/>
  <c r="O549" i="180"/>
  <c r="O550" i="180"/>
  <c r="O551" i="180"/>
  <c r="O557" i="180"/>
  <c r="O558" i="180"/>
  <c r="O560" i="180"/>
  <c r="O561" i="180"/>
  <c r="O562" i="180"/>
  <c r="O563" i="180"/>
  <c r="O564" i="180"/>
  <c r="O570" i="180"/>
  <c r="O571" i="180"/>
  <c r="O572" i="180"/>
  <c r="O573" i="180"/>
  <c r="O574" i="180"/>
  <c r="O575" i="180"/>
  <c r="O576" i="180"/>
  <c r="O577" i="180"/>
  <c r="O578" i="180"/>
  <c r="O579" i="180"/>
  <c r="O580" i="180"/>
  <c r="O581" i="180"/>
  <c r="O582" i="180"/>
  <c r="O583" i="180"/>
  <c r="O584" i="180"/>
  <c r="O585" i="180"/>
  <c r="O586" i="180"/>
  <c r="O587" i="180"/>
  <c r="O588" i="180"/>
  <c r="O589" i="180"/>
  <c r="O590" i="180"/>
  <c r="O591" i="180"/>
  <c r="O592" i="180"/>
  <c r="O593" i="180"/>
  <c r="O594" i="180"/>
  <c r="O595" i="180"/>
  <c r="O596" i="180"/>
  <c r="O599" i="180"/>
  <c r="O600" i="180"/>
  <c r="O601" i="180"/>
  <c r="O602" i="180"/>
  <c r="O603" i="180"/>
  <c r="O609" i="180"/>
  <c r="O610" i="180"/>
  <c r="O611" i="180"/>
  <c r="O612" i="180"/>
  <c r="O616" i="180"/>
  <c r="O617" i="180"/>
  <c r="O619" i="180"/>
  <c r="O620" i="180"/>
  <c r="O621" i="180"/>
  <c r="O622" i="180"/>
  <c r="N495" i="180"/>
  <c r="N497" i="180"/>
  <c r="N498" i="180"/>
  <c r="N500" i="180"/>
  <c r="N503" i="180"/>
  <c r="N506" i="180"/>
  <c r="N508" i="180"/>
  <c r="N510" i="180"/>
  <c r="N511" i="180"/>
  <c r="N512" i="180"/>
  <c r="N513" i="180"/>
  <c r="N514" i="180"/>
  <c r="N515" i="180"/>
  <c r="N516" i="180"/>
  <c r="N519" i="180"/>
  <c r="N520" i="180"/>
  <c r="N521" i="180"/>
  <c r="N522" i="180"/>
  <c r="N526" i="180"/>
  <c r="N528" i="180"/>
  <c r="N529" i="180"/>
  <c r="N530" i="180"/>
  <c r="N532" i="180"/>
  <c r="N534" i="180"/>
  <c r="N535" i="180"/>
  <c r="N539" i="180"/>
  <c r="N540" i="180"/>
  <c r="N544" i="180"/>
  <c r="N547" i="180"/>
  <c r="N548" i="180"/>
  <c r="N549" i="180"/>
  <c r="N550" i="180"/>
  <c r="N551" i="180"/>
  <c r="N557" i="180"/>
  <c r="N558" i="180"/>
  <c r="N560" i="180"/>
  <c r="N561" i="180"/>
  <c r="N562" i="180"/>
  <c r="N563" i="180"/>
  <c r="N564" i="180"/>
  <c r="N570" i="180"/>
  <c r="N571" i="180"/>
  <c r="N572" i="180"/>
  <c r="N573" i="180"/>
  <c r="N574" i="180"/>
  <c r="N575" i="180"/>
  <c r="N576" i="180"/>
  <c r="N578" i="180"/>
  <c r="N579" i="180"/>
  <c r="N580" i="180"/>
  <c r="N581" i="180"/>
  <c r="N582" i="180"/>
  <c r="N583" i="180"/>
  <c r="N584" i="180"/>
  <c r="N585" i="180"/>
  <c r="N586" i="180"/>
  <c r="N587" i="180"/>
  <c r="N588" i="180"/>
  <c r="N589" i="180"/>
  <c r="N590" i="180"/>
  <c r="N591" i="180"/>
  <c r="N592" i="180"/>
  <c r="N593" i="180"/>
  <c r="N594" i="180"/>
  <c r="N595" i="180"/>
  <c r="N596" i="180"/>
  <c r="N599" i="180"/>
  <c r="N600" i="180"/>
  <c r="N601" i="180"/>
  <c r="N602" i="180"/>
  <c r="N603" i="180"/>
  <c r="N609" i="180"/>
  <c r="N610" i="180"/>
  <c r="N611" i="180"/>
  <c r="N616" i="180"/>
  <c r="N617" i="180"/>
  <c r="N619" i="180"/>
  <c r="N620" i="180"/>
  <c r="N621" i="180"/>
  <c r="N622" i="180"/>
  <c r="M497" i="180"/>
  <c r="M503" i="180"/>
  <c r="M511" i="180"/>
  <c r="M512" i="180"/>
  <c r="M513" i="180"/>
  <c r="M515" i="180"/>
  <c r="M516" i="180"/>
  <c r="M517" i="180"/>
  <c r="M518" i="180"/>
  <c r="M519" i="180"/>
  <c r="M520" i="180"/>
  <c r="M521" i="180"/>
  <c r="M522" i="180"/>
  <c r="M527" i="180"/>
  <c r="M528" i="180"/>
  <c r="M529" i="180"/>
  <c r="M530" i="180"/>
  <c r="M534" i="180"/>
  <c r="M535" i="180"/>
  <c r="M539" i="180"/>
  <c r="M540" i="180"/>
  <c r="M544" i="180"/>
  <c r="M563" i="180"/>
  <c r="M574" i="180"/>
  <c r="M575" i="180"/>
  <c r="M576" i="180"/>
  <c r="M578" i="180"/>
  <c r="M579" i="180"/>
  <c r="M580" i="180"/>
  <c r="M581" i="180"/>
  <c r="M582" i="180"/>
  <c r="M583" i="180"/>
  <c r="M584" i="180"/>
  <c r="M585" i="180"/>
  <c r="M587" i="180"/>
  <c r="M590" i="180"/>
  <c r="M591" i="180"/>
  <c r="M603" i="180"/>
  <c r="M609" i="180"/>
  <c r="M610" i="180"/>
  <c r="M611" i="180"/>
  <c r="M612" i="180"/>
  <c r="M617" i="180"/>
  <c r="M619" i="180"/>
  <c r="M620" i="180"/>
  <c r="M621" i="180"/>
  <c r="M622" i="180"/>
  <c r="L526" i="180"/>
  <c r="L544" i="180"/>
  <c r="L547" i="180"/>
  <c r="L550" i="180"/>
  <c r="L551" i="180"/>
  <c r="L558" i="180"/>
  <c r="L562" i="180"/>
  <c r="L583" i="180"/>
  <c r="L593" i="180"/>
  <c r="L602" i="180"/>
  <c r="L609" i="180"/>
  <c r="L610" i="180"/>
  <c r="L611" i="180"/>
  <c r="L622" i="180"/>
  <c r="K495" i="180"/>
  <c r="K497" i="180"/>
  <c r="K498" i="180"/>
  <c r="K500" i="180"/>
  <c r="K503" i="180"/>
  <c r="K506" i="180"/>
  <c r="K508" i="180"/>
  <c r="K510" i="180"/>
  <c r="K511" i="180"/>
  <c r="K512" i="180"/>
  <c r="K513" i="180"/>
  <c r="K514" i="180"/>
  <c r="K515" i="180"/>
  <c r="K516" i="180"/>
  <c r="K517" i="180"/>
  <c r="K518" i="180"/>
  <c r="K519" i="180"/>
  <c r="K520" i="180"/>
  <c r="K521" i="180"/>
  <c r="K522" i="180"/>
  <c r="K526" i="180"/>
  <c r="K527" i="180"/>
  <c r="K528" i="180"/>
  <c r="K529" i="180"/>
  <c r="K530" i="180"/>
  <c r="K532" i="180"/>
  <c r="K534" i="180"/>
  <c r="K535" i="180"/>
  <c r="K539" i="180"/>
  <c r="K540" i="180"/>
  <c r="K544" i="180"/>
  <c r="K547" i="180"/>
  <c r="K548" i="180"/>
  <c r="K549" i="180"/>
  <c r="K550" i="180"/>
  <c r="K551" i="180"/>
  <c r="K557" i="180"/>
  <c r="K558" i="180"/>
  <c r="K560" i="180"/>
  <c r="K561" i="180"/>
  <c r="K562" i="180"/>
  <c r="K563" i="180"/>
  <c r="K564" i="180"/>
  <c r="K570" i="180"/>
  <c r="K571" i="180"/>
  <c r="K572" i="180"/>
  <c r="K573" i="180"/>
  <c r="K574" i="180"/>
  <c r="K575" i="180"/>
  <c r="K576" i="180"/>
  <c r="K577" i="180"/>
  <c r="K578" i="180"/>
  <c r="K579" i="180"/>
  <c r="K580" i="180"/>
  <c r="K581" i="180"/>
  <c r="K582" i="180"/>
  <c r="K583" i="180"/>
  <c r="K584" i="180"/>
  <c r="K585" i="180"/>
  <c r="K586" i="180"/>
  <c r="K587" i="180"/>
  <c r="K588" i="180"/>
  <c r="K589" i="180"/>
  <c r="K590" i="180"/>
  <c r="K591" i="180"/>
  <c r="K592" i="180"/>
  <c r="K593" i="180"/>
  <c r="K594" i="180"/>
  <c r="K595" i="180"/>
  <c r="K596" i="180"/>
  <c r="K599" i="180"/>
  <c r="K600" i="180"/>
  <c r="K601" i="180"/>
  <c r="K602" i="180"/>
  <c r="K603" i="180"/>
  <c r="K609" i="180"/>
  <c r="K610" i="180"/>
  <c r="K611" i="180"/>
  <c r="K612" i="180"/>
  <c r="K616" i="180"/>
  <c r="K617" i="180"/>
  <c r="K619" i="180"/>
  <c r="K620" i="180"/>
  <c r="K621" i="180"/>
  <c r="J495" i="180"/>
  <c r="J497" i="180"/>
  <c r="J498" i="180"/>
  <c r="J500" i="180"/>
  <c r="J503" i="180"/>
  <c r="J506" i="180"/>
  <c r="J508" i="180"/>
  <c r="J510" i="180"/>
  <c r="J511" i="180"/>
  <c r="J512" i="180"/>
  <c r="J513" i="180"/>
  <c r="J514" i="180"/>
  <c r="J515" i="180"/>
  <c r="J516" i="180"/>
  <c r="J517" i="180"/>
  <c r="J518" i="180"/>
  <c r="J519" i="180"/>
  <c r="J520" i="180"/>
  <c r="J521" i="180"/>
  <c r="J522" i="180"/>
  <c r="J526" i="180"/>
  <c r="J527" i="180"/>
  <c r="J528" i="180"/>
  <c r="J529" i="180"/>
  <c r="J530" i="180"/>
  <c r="J532" i="180"/>
  <c r="J534" i="180"/>
  <c r="J535" i="180"/>
  <c r="J539" i="180"/>
  <c r="J540" i="180"/>
  <c r="J544" i="180"/>
  <c r="J547" i="180"/>
  <c r="J548" i="180"/>
  <c r="J549" i="180"/>
  <c r="J550" i="180"/>
  <c r="J551" i="180"/>
  <c r="J557" i="180"/>
  <c r="J558" i="180"/>
  <c r="J560" i="180"/>
  <c r="J561" i="180"/>
  <c r="J562" i="180"/>
  <c r="J563" i="180"/>
  <c r="J564" i="180"/>
  <c r="J570" i="180"/>
  <c r="J571" i="180"/>
  <c r="J572" i="180"/>
  <c r="J573" i="180"/>
  <c r="J574" i="180"/>
  <c r="J575" i="180"/>
  <c r="J576" i="180"/>
  <c r="J577" i="180"/>
  <c r="J578" i="180"/>
  <c r="J579" i="180"/>
  <c r="J580" i="180"/>
  <c r="J581" i="180"/>
  <c r="J582" i="180"/>
  <c r="J583" i="180"/>
  <c r="J584" i="180"/>
  <c r="J585" i="180"/>
  <c r="J586" i="180"/>
  <c r="J587" i="180"/>
  <c r="J588" i="180"/>
  <c r="J589" i="180"/>
  <c r="J590" i="180"/>
  <c r="J591" i="180"/>
  <c r="J592" i="180"/>
  <c r="J593" i="180"/>
  <c r="J594" i="180"/>
  <c r="J595" i="180"/>
  <c r="J596" i="180"/>
  <c r="J599" i="180"/>
  <c r="J600" i="180"/>
  <c r="J601" i="180"/>
  <c r="J602" i="180"/>
  <c r="J603" i="180"/>
  <c r="J609" i="180"/>
  <c r="J610" i="180"/>
  <c r="J611" i="180"/>
  <c r="J612" i="180"/>
  <c r="J616" i="180"/>
  <c r="J617" i="180"/>
  <c r="J619" i="180"/>
  <c r="J620" i="180"/>
  <c r="J621" i="180"/>
  <c r="J622" i="180"/>
  <c r="I495" i="180"/>
  <c r="I497" i="180"/>
  <c r="I498" i="180"/>
  <c r="I506" i="180"/>
  <c r="I508" i="180"/>
  <c r="I510" i="180"/>
  <c r="I511" i="180"/>
  <c r="I512" i="180"/>
  <c r="I513" i="180"/>
  <c r="I514" i="180"/>
  <c r="I515" i="180"/>
  <c r="I516" i="180"/>
  <c r="I517" i="180"/>
  <c r="I518" i="180"/>
  <c r="I519" i="180"/>
  <c r="I520" i="180"/>
  <c r="I521" i="180"/>
  <c r="I522" i="180"/>
  <c r="I528" i="180"/>
  <c r="I529" i="180"/>
  <c r="I532" i="180"/>
  <c r="I534" i="180"/>
  <c r="I535" i="180"/>
  <c r="I539" i="180"/>
  <c r="I540" i="180"/>
  <c r="I547" i="180"/>
  <c r="I548" i="180"/>
  <c r="I549" i="180"/>
  <c r="I550" i="180"/>
  <c r="I551" i="180"/>
  <c r="I557" i="180"/>
  <c r="I558" i="180"/>
  <c r="I560" i="180"/>
  <c r="I561" i="180"/>
  <c r="I562" i="180"/>
  <c r="I563" i="180"/>
  <c r="I564" i="180"/>
  <c r="I583" i="180"/>
  <c r="I602" i="180"/>
  <c r="I616" i="180"/>
  <c r="I617" i="180"/>
  <c r="H495" i="180"/>
  <c r="H497" i="180"/>
  <c r="H498" i="180"/>
  <c r="H500" i="180"/>
  <c r="H503" i="180"/>
  <c r="H506" i="180"/>
  <c r="H508" i="180"/>
  <c r="H510" i="180"/>
  <c r="H511" i="180"/>
  <c r="H512" i="180"/>
  <c r="H513" i="180"/>
  <c r="H514" i="180"/>
  <c r="H515" i="180"/>
  <c r="H516" i="180"/>
  <c r="H517" i="180"/>
  <c r="H518" i="180"/>
  <c r="H519" i="180"/>
  <c r="H520" i="180"/>
  <c r="H521" i="180"/>
  <c r="H522" i="180"/>
  <c r="H526" i="180"/>
  <c r="H527" i="180"/>
  <c r="H528" i="180"/>
  <c r="H529" i="180"/>
  <c r="H530" i="180"/>
  <c r="H532" i="180"/>
  <c r="H534" i="180"/>
  <c r="H535" i="180"/>
  <c r="H539" i="180"/>
  <c r="H540" i="180"/>
  <c r="H544" i="180"/>
  <c r="H547" i="180"/>
  <c r="H548" i="180"/>
  <c r="H549" i="180"/>
  <c r="H550" i="180"/>
  <c r="H551" i="180"/>
  <c r="H557" i="180"/>
  <c r="H558" i="180"/>
  <c r="H560" i="180"/>
  <c r="H561" i="180"/>
  <c r="H562" i="180"/>
  <c r="H563" i="180"/>
  <c r="H564" i="180"/>
  <c r="H578" i="180"/>
  <c r="H589" i="180"/>
  <c r="H590" i="180"/>
  <c r="H596" i="180"/>
  <c r="H600" i="180"/>
  <c r="H601" i="180"/>
  <c r="H602" i="180"/>
  <c r="H603" i="180"/>
  <c r="H616" i="180"/>
  <c r="H617" i="180"/>
  <c r="H619" i="180"/>
  <c r="H620" i="180"/>
  <c r="H621" i="180"/>
  <c r="H622" i="180"/>
  <c r="G495" i="180"/>
  <c r="G497" i="180"/>
  <c r="G498" i="180"/>
  <c r="G500" i="180"/>
  <c r="G503" i="180"/>
  <c r="G506" i="180"/>
  <c r="G508" i="180"/>
  <c r="G510" i="180"/>
  <c r="G511" i="180"/>
  <c r="G512" i="180"/>
  <c r="G513" i="180"/>
  <c r="G514" i="180"/>
  <c r="G515" i="180"/>
  <c r="G516" i="180"/>
  <c r="G517" i="180"/>
  <c r="G518" i="180"/>
  <c r="G519" i="180"/>
  <c r="G520" i="180"/>
  <c r="G521" i="180"/>
  <c r="G522" i="180"/>
  <c r="G526" i="180"/>
  <c r="G527" i="180"/>
  <c r="G528" i="180"/>
  <c r="G529" i="180"/>
  <c r="G530" i="180"/>
  <c r="G532" i="180"/>
  <c r="G534" i="180"/>
  <c r="G535" i="180"/>
  <c r="G539" i="180"/>
  <c r="G540" i="180"/>
  <c r="G544" i="180"/>
  <c r="G547" i="180"/>
  <c r="G548" i="180"/>
  <c r="G549" i="180"/>
  <c r="G550" i="180"/>
  <c r="G551" i="180"/>
  <c r="G557" i="180"/>
  <c r="G558" i="180"/>
  <c r="G560" i="180"/>
  <c r="G561" i="180"/>
  <c r="G562" i="180"/>
  <c r="G563" i="180"/>
  <c r="G564" i="180"/>
  <c r="G578" i="180"/>
  <c r="G589" i="180"/>
  <c r="G590" i="180"/>
  <c r="G596" i="180"/>
  <c r="G600" i="180"/>
  <c r="G601" i="180"/>
  <c r="G602" i="180"/>
  <c r="G603" i="180"/>
  <c r="G616" i="180"/>
  <c r="G617" i="180"/>
  <c r="G619" i="180"/>
  <c r="G620" i="180"/>
  <c r="G621" i="180"/>
  <c r="G622" i="180"/>
  <c r="H494" i="180"/>
  <c r="J494" i="180"/>
  <c r="K494" i="180"/>
  <c r="L494" i="180"/>
  <c r="N494" i="180"/>
  <c r="O494" i="180"/>
  <c r="P494" i="180"/>
  <c r="G494" i="180"/>
  <c r="H490" i="180"/>
  <c r="J490" i="180"/>
  <c r="K490" i="180"/>
  <c r="L490" i="180"/>
  <c r="M490" i="180"/>
  <c r="N490" i="180"/>
  <c r="O490" i="180"/>
  <c r="P490" i="180"/>
  <c r="H488" i="180"/>
  <c r="I488" i="180"/>
  <c r="J488" i="180"/>
  <c r="L488" i="180"/>
  <c r="M488" i="180"/>
  <c r="N488" i="180"/>
  <c r="O488" i="180"/>
  <c r="P488" i="180"/>
  <c r="H485" i="180"/>
  <c r="J485" i="180"/>
  <c r="K485" i="180"/>
  <c r="L485" i="180"/>
  <c r="M485" i="180"/>
  <c r="N485" i="180"/>
  <c r="O485" i="180"/>
  <c r="P485" i="180"/>
  <c r="H484" i="180"/>
  <c r="J484" i="180"/>
  <c r="K484" i="180"/>
  <c r="L484" i="180"/>
  <c r="N484" i="180"/>
  <c r="O484" i="180"/>
  <c r="P484" i="180"/>
  <c r="H483" i="180"/>
  <c r="J483" i="180"/>
  <c r="K483" i="180"/>
  <c r="M483" i="180"/>
  <c r="O483" i="180"/>
  <c r="P483" i="180"/>
  <c r="G483" i="180"/>
  <c r="G484" i="180"/>
  <c r="G485" i="180"/>
  <c r="G488" i="180"/>
  <c r="G490" i="180"/>
  <c r="H482" i="180"/>
  <c r="J482" i="180"/>
  <c r="K482" i="180"/>
  <c r="M482" i="180"/>
  <c r="N482" i="180"/>
  <c r="O482" i="180"/>
  <c r="P482" i="180"/>
  <c r="G482" i="180"/>
  <c r="Q508" i="180" l="1"/>
  <c r="M412" i="180"/>
  <c r="M390" i="180"/>
  <c r="P348" i="180"/>
  <c r="P349" i="180"/>
  <c r="P350" i="180"/>
  <c r="P353" i="180"/>
  <c r="P354" i="180"/>
  <c r="P355" i="180"/>
  <c r="P359" i="180"/>
  <c r="P360" i="180"/>
  <c r="P361" i="180"/>
  <c r="P362" i="180"/>
  <c r="P365" i="180"/>
  <c r="P367" i="180"/>
  <c r="P368" i="180"/>
  <c r="P369" i="180"/>
  <c r="P370" i="180"/>
  <c r="P371" i="180"/>
  <c r="P372" i="180"/>
  <c r="P373" i="180"/>
  <c r="P374" i="180"/>
  <c r="P375" i="180"/>
  <c r="P376" i="180"/>
  <c r="P377" i="180"/>
  <c r="P378" i="180"/>
  <c r="P379" i="180"/>
  <c r="P380" i="180"/>
  <c r="P381" i="180"/>
  <c r="P382" i="180"/>
  <c r="P383" i="180"/>
  <c r="P384" i="180"/>
  <c r="P385" i="180"/>
  <c r="P386" i="180"/>
  <c r="P387" i="180"/>
  <c r="P388" i="180"/>
  <c r="P389" i="180"/>
  <c r="P390" i="180"/>
  <c r="P391" i="180"/>
  <c r="P392" i="180"/>
  <c r="P393" i="180"/>
  <c r="P394" i="180"/>
  <c r="P395" i="180"/>
  <c r="P396" i="180"/>
  <c r="P397" i="180"/>
  <c r="P398" i="180"/>
  <c r="P399" i="180"/>
  <c r="P400" i="180"/>
  <c r="P401" i="180"/>
  <c r="P402" i="180"/>
  <c r="P403" i="180"/>
  <c r="P404" i="180"/>
  <c r="P405" i="180"/>
  <c r="P406" i="180"/>
  <c r="P407" i="180"/>
  <c r="P408" i="180"/>
  <c r="P409" i="180"/>
  <c r="P410" i="180"/>
  <c r="P411" i="180"/>
  <c r="P412" i="180"/>
  <c r="P413" i="180"/>
  <c r="P414" i="180"/>
  <c r="P415" i="180"/>
  <c r="P416" i="180"/>
  <c r="P430" i="180"/>
  <c r="P431" i="180"/>
  <c r="P432" i="180"/>
  <c r="P433" i="180"/>
  <c r="P434" i="180"/>
  <c r="P435" i="180"/>
  <c r="P436" i="180"/>
  <c r="P437" i="180"/>
  <c r="P448" i="180"/>
  <c r="P449" i="180"/>
  <c r="P450" i="180"/>
  <c r="P451" i="180"/>
  <c r="P452" i="180"/>
  <c r="P453" i="180"/>
  <c r="P454" i="180"/>
  <c r="P455" i="180"/>
  <c r="P456" i="180"/>
  <c r="P457" i="180"/>
  <c r="P458" i="180"/>
  <c r="P459" i="180"/>
  <c r="P463" i="180"/>
  <c r="P467" i="180"/>
  <c r="P469" i="180"/>
  <c r="P470" i="180"/>
  <c r="P477" i="180"/>
  <c r="P478" i="180"/>
  <c r="O348" i="180"/>
  <c r="O349" i="180"/>
  <c r="O350" i="180"/>
  <c r="O353" i="180"/>
  <c r="O354" i="180"/>
  <c r="O355" i="180"/>
  <c r="O359" i="180"/>
  <c r="O360" i="180"/>
  <c r="O361" i="180"/>
  <c r="O362" i="180"/>
  <c r="O365" i="180"/>
  <c r="O367" i="180"/>
  <c r="O368" i="180"/>
  <c r="O369" i="180"/>
  <c r="O370" i="180"/>
  <c r="O371" i="180"/>
  <c r="O372" i="180"/>
  <c r="O373" i="180"/>
  <c r="O374" i="180"/>
  <c r="O375" i="180"/>
  <c r="O376" i="180"/>
  <c r="O377" i="180"/>
  <c r="O378" i="180"/>
  <c r="O379" i="180"/>
  <c r="O380" i="180"/>
  <c r="O381" i="180"/>
  <c r="O382" i="180"/>
  <c r="O383" i="180"/>
  <c r="O384" i="180"/>
  <c r="O385" i="180"/>
  <c r="O386" i="180"/>
  <c r="O387" i="180"/>
  <c r="O388" i="180"/>
  <c r="O389" i="180"/>
  <c r="O390" i="180"/>
  <c r="O391" i="180"/>
  <c r="O392" i="180"/>
  <c r="O393" i="180"/>
  <c r="O394" i="180"/>
  <c r="O395" i="180"/>
  <c r="O396" i="180"/>
  <c r="O397" i="180"/>
  <c r="O398" i="180"/>
  <c r="O399" i="180"/>
  <c r="O400" i="180"/>
  <c r="O401" i="180"/>
  <c r="O402" i="180"/>
  <c r="O403" i="180"/>
  <c r="O404" i="180"/>
  <c r="O405" i="180"/>
  <c r="O406" i="180"/>
  <c r="O407" i="180"/>
  <c r="O408" i="180"/>
  <c r="O409" i="180"/>
  <c r="O410" i="180"/>
  <c r="O411" i="180"/>
  <c r="O412" i="180"/>
  <c r="O413" i="180"/>
  <c r="O414" i="180"/>
  <c r="O415" i="180"/>
  <c r="O416" i="180"/>
  <c r="O430" i="180"/>
  <c r="O431" i="180"/>
  <c r="O432" i="180"/>
  <c r="O433" i="180"/>
  <c r="O434" i="180"/>
  <c r="O435" i="180"/>
  <c r="O436" i="180"/>
  <c r="O437" i="180"/>
  <c r="O448" i="180"/>
  <c r="O449" i="180"/>
  <c r="O450" i="180"/>
  <c r="O451" i="180"/>
  <c r="O452" i="180"/>
  <c r="O453" i="180"/>
  <c r="O454" i="180"/>
  <c r="O455" i="180"/>
  <c r="O456" i="180"/>
  <c r="O457" i="180"/>
  <c r="O458" i="180"/>
  <c r="O459" i="180"/>
  <c r="O463" i="180"/>
  <c r="O467" i="180"/>
  <c r="O469" i="180"/>
  <c r="O470" i="180"/>
  <c r="O477" i="180"/>
  <c r="O478" i="180"/>
  <c r="N348" i="180"/>
  <c r="N349" i="180"/>
  <c r="N350" i="180"/>
  <c r="N353" i="180"/>
  <c r="N354" i="180"/>
  <c r="N355" i="180"/>
  <c r="N359" i="180"/>
  <c r="N360" i="180"/>
  <c r="N361" i="180"/>
  <c r="N362" i="180"/>
  <c r="N365" i="180"/>
  <c r="N367" i="180"/>
  <c r="N368" i="180"/>
  <c r="N369" i="180"/>
  <c r="N370" i="180"/>
  <c r="N371" i="180"/>
  <c r="N372" i="180"/>
  <c r="N373" i="180"/>
  <c r="N374" i="180"/>
  <c r="N375" i="180"/>
  <c r="N376" i="180"/>
  <c r="N377" i="180"/>
  <c r="N378" i="180"/>
  <c r="N379" i="180"/>
  <c r="N380" i="180"/>
  <c r="N381" i="180"/>
  <c r="N382" i="180"/>
  <c r="N383" i="180"/>
  <c r="N384" i="180"/>
  <c r="N385" i="180"/>
  <c r="N386" i="180"/>
  <c r="N387" i="180"/>
  <c r="N388" i="180"/>
  <c r="N389" i="180"/>
  <c r="N390" i="180"/>
  <c r="N391" i="180"/>
  <c r="N392" i="180"/>
  <c r="N393" i="180"/>
  <c r="N394" i="180"/>
  <c r="N395" i="180"/>
  <c r="N396" i="180"/>
  <c r="N397" i="180"/>
  <c r="N398" i="180"/>
  <c r="N399" i="180"/>
  <c r="N400" i="180"/>
  <c r="N401" i="180"/>
  <c r="N402" i="180"/>
  <c r="N403" i="180"/>
  <c r="N404" i="180"/>
  <c r="N405" i="180"/>
  <c r="N406" i="180"/>
  <c r="N407" i="180"/>
  <c r="N408" i="180"/>
  <c r="N409" i="180"/>
  <c r="N410" i="180"/>
  <c r="N411" i="180"/>
  <c r="N412" i="180"/>
  <c r="N413" i="180"/>
  <c r="N414" i="180"/>
  <c r="N415" i="180"/>
  <c r="N416" i="180"/>
  <c r="N430" i="180"/>
  <c r="N431" i="180"/>
  <c r="N432" i="180"/>
  <c r="N433" i="180"/>
  <c r="N434" i="180"/>
  <c r="N435" i="180"/>
  <c r="N436" i="180"/>
  <c r="N437" i="180"/>
  <c r="N448" i="180"/>
  <c r="N449" i="180"/>
  <c r="N450" i="180"/>
  <c r="N451" i="180"/>
  <c r="N453" i="180"/>
  <c r="N454" i="180"/>
  <c r="N455" i="180"/>
  <c r="N457" i="180"/>
  <c r="N458" i="180"/>
  <c r="N459" i="180"/>
  <c r="N463" i="180"/>
  <c r="N467" i="180"/>
  <c r="N470" i="180"/>
  <c r="N477" i="180"/>
  <c r="N478" i="180"/>
  <c r="M348" i="180"/>
  <c r="M349" i="180"/>
  <c r="M354" i="180"/>
  <c r="M355" i="180"/>
  <c r="M359" i="180"/>
  <c r="M360" i="180"/>
  <c r="M361" i="180"/>
  <c r="M362" i="180"/>
  <c r="M367" i="180"/>
  <c r="M434" i="180"/>
  <c r="M448" i="180"/>
  <c r="M449" i="180"/>
  <c r="M451" i="180"/>
  <c r="M452" i="180"/>
  <c r="M453" i="180"/>
  <c r="M454" i="180"/>
  <c r="M455" i="180"/>
  <c r="M456" i="180"/>
  <c r="M463" i="180"/>
  <c r="M469" i="180"/>
  <c r="M477" i="180"/>
  <c r="M478" i="180"/>
  <c r="L370" i="180"/>
  <c r="L372" i="180"/>
  <c r="L374" i="180"/>
  <c r="L377" i="180"/>
  <c r="L378" i="180"/>
  <c r="L379" i="180"/>
  <c r="L380" i="180"/>
  <c r="L381" i="180"/>
  <c r="L382" i="180"/>
  <c r="L383" i="180"/>
  <c r="L388" i="180"/>
  <c r="L390" i="180"/>
  <c r="L392" i="180"/>
  <c r="L393" i="180"/>
  <c r="L394" i="180"/>
  <c r="L395" i="180"/>
  <c r="L396" i="180"/>
  <c r="L398" i="180"/>
  <c r="L399" i="180"/>
  <c r="L400" i="180"/>
  <c r="L402" i="180"/>
  <c r="L403" i="180"/>
  <c r="L405" i="180"/>
  <c r="L406" i="180"/>
  <c r="L407" i="180"/>
  <c r="L408" i="180"/>
  <c r="L409" i="180"/>
  <c r="L410" i="180"/>
  <c r="L412" i="180"/>
  <c r="L413" i="180"/>
  <c r="L414" i="180"/>
  <c r="L416" i="180"/>
  <c r="L430" i="180"/>
  <c r="L431" i="180"/>
  <c r="L435" i="180"/>
  <c r="K348" i="180"/>
  <c r="K349" i="180"/>
  <c r="K350" i="180"/>
  <c r="K353" i="180"/>
  <c r="K354" i="180"/>
  <c r="K355" i="180"/>
  <c r="K359" i="180"/>
  <c r="K360" i="180"/>
  <c r="K361" i="180"/>
  <c r="K362" i="180"/>
  <c r="K365" i="180"/>
  <c r="K367" i="180"/>
  <c r="K368" i="180"/>
  <c r="K369" i="180"/>
  <c r="K370" i="180"/>
  <c r="K371" i="180"/>
  <c r="K372" i="180"/>
  <c r="K373" i="180"/>
  <c r="K374" i="180"/>
  <c r="K375" i="180"/>
  <c r="K376" i="180"/>
  <c r="K377" i="180"/>
  <c r="K378" i="180"/>
  <c r="K379" i="180"/>
  <c r="K380" i="180"/>
  <c r="K381" i="180"/>
  <c r="K382" i="180"/>
  <c r="K383" i="180"/>
  <c r="K384" i="180"/>
  <c r="K385" i="180"/>
  <c r="K386" i="180"/>
  <c r="K387" i="180"/>
  <c r="K388" i="180"/>
  <c r="K389" i="180"/>
  <c r="K390" i="180"/>
  <c r="K391" i="180"/>
  <c r="K392" i="180"/>
  <c r="K393" i="180"/>
  <c r="K394" i="180"/>
  <c r="K395" i="180"/>
  <c r="K396" i="180"/>
  <c r="K397" i="180"/>
  <c r="K398" i="180"/>
  <c r="K399" i="180"/>
  <c r="K400" i="180"/>
  <c r="K401" i="180"/>
  <c r="K402" i="180"/>
  <c r="K403" i="180"/>
  <c r="K404" i="180"/>
  <c r="K405" i="180"/>
  <c r="K406" i="180"/>
  <c r="K407" i="180"/>
  <c r="K408" i="180"/>
  <c r="K409" i="180"/>
  <c r="K410" i="180"/>
  <c r="K411" i="180"/>
  <c r="K412" i="180"/>
  <c r="K413" i="180"/>
  <c r="K414" i="180"/>
  <c r="K415" i="180"/>
  <c r="K416" i="180"/>
  <c r="K430" i="180"/>
  <c r="K431" i="180"/>
  <c r="K432" i="180"/>
  <c r="K433" i="180"/>
  <c r="K434" i="180"/>
  <c r="K435" i="180"/>
  <c r="K436" i="180"/>
  <c r="K437" i="180"/>
  <c r="K448" i="180"/>
  <c r="K449" i="180"/>
  <c r="K450" i="180"/>
  <c r="K451" i="180"/>
  <c r="K452" i="180"/>
  <c r="K453" i="180"/>
  <c r="K454" i="180"/>
  <c r="K455" i="180"/>
  <c r="K456" i="180"/>
  <c r="K457" i="180"/>
  <c r="K458" i="180"/>
  <c r="K459" i="180"/>
  <c r="K463" i="180"/>
  <c r="K467" i="180"/>
  <c r="K469" i="180"/>
  <c r="K470" i="180"/>
  <c r="K477" i="180"/>
  <c r="K478" i="180"/>
  <c r="J348" i="180"/>
  <c r="J349" i="180"/>
  <c r="J350" i="180"/>
  <c r="J353" i="180"/>
  <c r="J354" i="180"/>
  <c r="J355" i="180"/>
  <c r="J359" i="180"/>
  <c r="J360" i="180"/>
  <c r="J361" i="180"/>
  <c r="J362" i="180"/>
  <c r="J365" i="180"/>
  <c r="J367" i="180"/>
  <c r="J368" i="180"/>
  <c r="J369" i="180"/>
  <c r="J370" i="180"/>
  <c r="J371" i="180"/>
  <c r="J372" i="180"/>
  <c r="J373" i="180"/>
  <c r="J374" i="180"/>
  <c r="J375" i="180"/>
  <c r="J376" i="180"/>
  <c r="J377" i="180"/>
  <c r="J378" i="180"/>
  <c r="J379" i="180"/>
  <c r="J380" i="180"/>
  <c r="J381" i="180"/>
  <c r="J382" i="180"/>
  <c r="J383" i="180"/>
  <c r="J384" i="180"/>
  <c r="J385" i="180"/>
  <c r="J386" i="180"/>
  <c r="J387" i="180"/>
  <c r="J388" i="180"/>
  <c r="J389" i="180"/>
  <c r="J390" i="180"/>
  <c r="J391" i="180"/>
  <c r="J392" i="180"/>
  <c r="J393" i="180"/>
  <c r="J394" i="180"/>
  <c r="J395" i="180"/>
  <c r="J396" i="180"/>
  <c r="J397" i="180"/>
  <c r="J398" i="180"/>
  <c r="J399" i="180"/>
  <c r="J400" i="180"/>
  <c r="J401" i="180"/>
  <c r="J402" i="180"/>
  <c r="J403" i="180"/>
  <c r="J404" i="180"/>
  <c r="J405" i="180"/>
  <c r="J406" i="180"/>
  <c r="J407" i="180"/>
  <c r="J408" i="180"/>
  <c r="J409" i="180"/>
  <c r="J410" i="180"/>
  <c r="J411" i="180"/>
  <c r="J412" i="180"/>
  <c r="J413" i="180"/>
  <c r="J414" i="180"/>
  <c r="J415" i="180"/>
  <c r="J416" i="180"/>
  <c r="J430" i="180"/>
  <c r="J431" i="180"/>
  <c r="J432" i="180"/>
  <c r="J433" i="180"/>
  <c r="J434" i="180"/>
  <c r="J435" i="180"/>
  <c r="J436" i="180"/>
  <c r="J437" i="180"/>
  <c r="J448" i="180"/>
  <c r="J449" i="180"/>
  <c r="J450" i="180"/>
  <c r="J451" i="180"/>
  <c r="J452" i="180"/>
  <c r="J453" i="180"/>
  <c r="J454" i="180"/>
  <c r="J455" i="180"/>
  <c r="J456" i="180"/>
  <c r="J457" i="180"/>
  <c r="J458" i="180"/>
  <c r="J459" i="180"/>
  <c r="J463" i="180"/>
  <c r="J467" i="180"/>
  <c r="J469" i="180"/>
  <c r="J470" i="180"/>
  <c r="J477" i="180"/>
  <c r="J478" i="180"/>
  <c r="I348" i="180"/>
  <c r="I350" i="180"/>
  <c r="I353" i="180"/>
  <c r="I354" i="180"/>
  <c r="I355" i="180"/>
  <c r="I359" i="180"/>
  <c r="I360" i="180"/>
  <c r="I361" i="180"/>
  <c r="I362" i="180"/>
  <c r="I365" i="180"/>
  <c r="I368" i="180"/>
  <c r="I369" i="180"/>
  <c r="I371" i="180"/>
  <c r="I372" i="180"/>
  <c r="I373" i="180"/>
  <c r="I375" i="180"/>
  <c r="I376" i="180"/>
  <c r="I378" i="180"/>
  <c r="I379" i="180"/>
  <c r="I380" i="180"/>
  <c r="I381" i="180"/>
  <c r="I382" i="180"/>
  <c r="I383" i="180"/>
  <c r="I384" i="180"/>
  <c r="I385" i="180"/>
  <c r="I386" i="180"/>
  <c r="I387" i="180"/>
  <c r="I388" i="180"/>
  <c r="I389" i="180"/>
  <c r="I390" i="180"/>
  <c r="I391" i="180"/>
  <c r="I392" i="180"/>
  <c r="I393" i="180"/>
  <c r="I394" i="180"/>
  <c r="I395" i="180"/>
  <c r="I396" i="180"/>
  <c r="I397" i="180"/>
  <c r="I398" i="180"/>
  <c r="I399" i="180"/>
  <c r="I400" i="180"/>
  <c r="I401" i="180"/>
  <c r="I402" i="180"/>
  <c r="I403" i="180"/>
  <c r="I404" i="180"/>
  <c r="I405" i="180"/>
  <c r="I406" i="180"/>
  <c r="I407" i="180"/>
  <c r="I408" i="180"/>
  <c r="I409" i="180"/>
  <c r="I410" i="180"/>
  <c r="I411" i="180"/>
  <c r="I412" i="180"/>
  <c r="I413" i="180"/>
  <c r="I414" i="180"/>
  <c r="I415" i="180"/>
  <c r="I416" i="180"/>
  <c r="I431" i="180"/>
  <c r="I432" i="180"/>
  <c r="I435" i="180"/>
  <c r="I436" i="180"/>
  <c r="I448" i="180"/>
  <c r="I449" i="180"/>
  <c r="I450" i="180"/>
  <c r="I451" i="180"/>
  <c r="I452" i="180"/>
  <c r="I453" i="180"/>
  <c r="I454" i="180"/>
  <c r="I455" i="180"/>
  <c r="I456" i="180"/>
  <c r="I457" i="180"/>
  <c r="I458" i="180"/>
  <c r="I459" i="180"/>
  <c r="I463" i="180"/>
  <c r="I469" i="180"/>
  <c r="I470" i="180"/>
  <c r="H348" i="180"/>
  <c r="H349" i="180"/>
  <c r="H350" i="180"/>
  <c r="H353" i="180"/>
  <c r="H354" i="180"/>
  <c r="H355" i="180"/>
  <c r="H359" i="180"/>
  <c r="H360" i="180"/>
  <c r="H361" i="180"/>
  <c r="H362" i="180"/>
  <c r="H365" i="180"/>
  <c r="H367" i="180"/>
  <c r="H368" i="180"/>
  <c r="H369" i="180"/>
  <c r="H370" i="180"/>
  <c r="H371" i="180"/>
  <c r="H372" i="180"/>
  <c r="H373" i="180"/>
  <c r="H374" i="180"/>
  <c r="H375" i="180"/>
  <c r="H376" i="180"/>
  <c r="H377" i="180"/>
  <c r="H378" i="180"/>
  <c r="H379" i="180"/>
  <c r="H380" i="180"/>
  <c r="H381" i="180"/>
  <c r="H382" i="180"/>
  <c r="H383" i="180"/>
  <c r="H384" i="180"/>
  <c r="H385" i="180"/>
  <c r="H386" i="180"/>
  <c r="H387" i="180"/>
  <c r="H388" i="180"/>
  <c r="H389" i="180"/>
  <c r="H390" i="180"/>
  <c r="H391" i="180"/>
  <c r="H392" i="180"/>
  <c r="H393" i="180"/>
  <c r="H394" i="180"/>
  <c r="H395" i="180"/>
  <c r="H396" i="180"/>
  <c r="H397" i="180"/>
  <c r="H398" i="180"/>
  <c r="H399" i="180"/>
  <c r="H400" i="180"/>
  <c r="H401" i="180"/>
  <c r="H402" i="180"/>
  <c r="H403" i="180"/>
  <c r="H404" i="180"/>
  <c r="H405" i="180"/>
  <c r="H406" i="180"/>
  <c r="H407" i="180"/>
  <c r="H408" i="180"/>
  <c r="H409" i="180"/>
  <c r="H410" i="180"/>
  <c r="H411" i="180"/>
  <c r="H412" i="180"/>
  <c r="H413" i="180"/>
  <c r="H414" i="180"/>
  <c r="H415" i="180"/>
  <c r="H416" i="180"/>
  <c r="H430" i="180"/>
  <c r="H431" i="180"/>
  <c r="H432" i="180"/>
  <c r="H433" i="180"/>
  <c r="H434" i="180"/>
  <c r="H435" i="180"/>
  <c r="H436" i="180"/>
  <c r="H437" i="180"/>
  <c r="H448" i="180"/>
  <c r="H449" i="180"/>
  <c r="H450" i="180"/>
  <c r="H451" i="180"/>
  <c r="H452" i="180"/>
  <c r="H453" i="180"/>
  <c r="H454" i="180"/>
  <c r="H455" i="180"/>
  <c r="H456" i="180"/>
  <c r="H457" i="180"/>
  <c r="H458" i="180"/>
  <c r="H459" i="180"/>
  <c r="H463" i="180"/>
  <c r="H467" i="180"/>
  <c r="H469" i="180"/>
  <c r="H470" i="180"/>
  <c r="H477" i="180"/>
  <c r="H478" i="180"/>
  <c r="G348" i="180"/>
  <c r="G349" i="180"/>
  <c r="G350" i="180"/>
  <c r="G353" i="180"/>
  <c r="G354" i="180"/>
  <c r="G355" i="180"/>
  <c r="G359" i="180"/>
  <c r="G360" i="180"/>
  <c r="G361" i="180"/>
  <c r="G362" i="180"/>
  <c r="G365" i="180"/>
  <c r="G367" i="180"/>
  <c r="G368" i="180"/>
  <c r="G369" i="180"/>
  <c r="G370" i="180"/>
  <c r="G371" i="180"/>
  <c r="G372" i="180"/>
  <c r="G373" i="180"/>
  <c r="G374" i="180"/>
  <c r="G375" i="180"/>
  <c r="G376" i="180"/>
  <c r="G377" i="180"/>
  <c r="G378" i="180"/>
  <c r="G379" i="180"/>
  <c r="G380" i="180"/>
  <c r="G381" i="180"/>
  <c r="G382" i="180"/>
  <c r="G383" i="180"/>
  <c r="G384" i="180"/>
  <c r="G385" i="180"/>
  <c r="G386" i="180"/>
  <c r="G387" i="180"/>
  <c r="G388" i="180"/>
  <c r="G389" i="180"/>
  <c r="G390" i="180"/>
  <c r="G391" i="180"/>
  <c r="G392" i="180"/>
  <c r="G393" i="180"/>
  <c r="G394" i="180"/>
  <c r="G395" i="180"/>
  <c r="G396" i="180"/>
  <c r="G397" i="180"/>
  <c r="G398" i="180"/>
  <c r="G399" i="180"/>
  <c r="G400" i="180"/>
  <c r="G401" i="180"/>
  <c r="G402" i="180"/>
  <c r="G403" i="180"/>
  <c r="G404" i="180"/>
  <c r="G405" i="180"/>
  <c r="G406" i="180"/>
  <c r="G407" i="180"/>
  <c r="G408" i="180"/>
  <c r="G409" i="180"/>
  <c r="G410" i="180"/>
  <c r="G411" i="180"/>
  <c r="G412" i="180"/>
  <c r="G413" i="180"/>
  <c r="G414" i="180"/>
  <c r="G415" i="180"/>
  <c r="G416" i="180"/>
  <c r="G430" i="180"/>
  <c r="G431" i="180"/>
  <c r="G432" i="180"/>
  <c r="G433" i="180"/>
  <c r="G434" i="180"/>
  <c r="G435" i="180"/>
  <c r="G436" i="180"/>
  <c r="G437" i="180"/>
  <c r="G448" i="180"/>
  <c r="G449" i="180"/>
  <c r="G450" i="180"/>
  <c r="G451" i="180"/>
  <c r="G452" i="180"/>
  <c r="G453" i="180"/>
  <c r="G454" i="180"/>
  <c r="G455" i="180"/>
  <c r="G456" i="180"/>
  <c r="G457" i="180"/>
  <c r="G458" i="180"/>
  <c r="G459" i="180"/>
  <c r="G463" i="180"/>
  <c r="G467" i="180"/>
  <c r="G469" i="180"/>
  <c r="G470" i="180"/>
  <c r="G477" i="180"/>
  <c r="G478" i="180"/>
  <c r="H347" i="180"/>
  <c r="I347" i="180"/>
  <c r="J347" i="180"/>
  <c r="K347" i="180"/>
  <c r="L347" i="180"/>
  <c r="N347" i="180"/>
  <c r="O347" i="180"/>
  <c r="P347" i="180"/>
  <c r="G347" i="180"/>
  <c r="K343" i="180"/>
  <c r="I337" i="180"/>
  <c r="I335" i="180"/>
  <c r="I334" i="180"/>
  <c r="I329" i="180"/>
  <c r="I328" i="180"/>
  <c r="I322" i="180"/>
  <c r="I316" i="180"/>
  <c r="I314" i="180"/>
  <c r="I311" i="180"/>
  <c r="I308" i="180"/>
  <c r="I307" i="180"/>
  <c r="I306" i="180"/>
  <c r="K299" i="180"/>
  <c r="I293" i="180"/>
  <c r="I292" i="180"/>
  <c r="I291" i="180"/>
  <c r="I268" i="180"/>
  <c r="I265" i="180"/>
  <c r="I260" i="180"/>
  <c r="I254" i="180"/>
  <c r="I252" i="180"/>
  <c r="I251" i="180"/>
  <c r="I250" i="180"/>
  <c r="I249" i="180"/>
  <c r="I248" i="180"/>
  <c r="I247" i="180"/>
  <c r="I246" i="180"/>
  <c r="I245" i="180"/>
  <c r="I244" i="180"/>
  <c r="I242" i="180"/>
  <c r="I237" i="180"/>
  <c r="I236" i="180"/>
  <c r="P233" i="180"/>
  <c r="P234" i="180"/>
  <c r="P235" i="180"/>
  <c r="P236" i="180"/>
  <c r="P237" i="180"/>
  <c r="P238" i="180"/>
  <c r="P239" i="180"/>
  <c r="P240" i="180"/>
  <c r="P241" i="180"/>
  <c r="P242" i="180"/>
  <c r="P243" i="180"/>
  <c r="P244" i="180"/>
  <c r="P245" i="180"/>
  <c r="P246" i="180"/>
  <c r="P247" i="180"/>
  <c r="P248" i="180"/>
  <c r="P249" i="180"/>
  <c r="P250" i="180"/>
  <c r="P251" i="180"/>
  <c r="P252" i="180"/>
  <c r="P253" i="180"/>
  <c r="P254" i="180"/>
  <c r="P255" i="180"/>
  <c r="P257" i="180"/>
  <c r="P258" i="180"/>
  <c r="P260" i="180"/>
  <c r="P261" i="180"/>
  <c r="P262" i="180"/>
  <c r="P263" i="180"/>
  <c r="P264" i="180"/>
  <c r="P265" i="180"/>
  <c r="P266" i="180"/>
  <c r="P267" i="180"/>
  <c r="P268" i="180"/>
  <c r="P269" i="180"/>
  <c r="P270" i="180"/>
  <c r="P271" i="180"/>
  <c r="P273" i="180"/>
  <c r="P275" i="180"/>
  <c r="P276" i="180"/>
  <c r="P277" i="180"/>
  <c r="P279" i="180"/>
  <c r="P280" i="180"/>
  <c r="P281" i="180"/>
  <c r="P282" i="180"/>
  <c r="P283" i="180"/>
  <c r="P284" i="180"/>
  <c r="P285" i="180"/>
  <c r="P286" i="180"/>
  <c r="P287" i="180"/>
  <c r="P288" i="180"/>
  <c r="P289" i="180"/>
  <c r="P290" i="180"/>
  <c r="P291" i="180"/>
  <c r="P292" i="180"/>
  <c r="P293" i="180"/>
  <c r="P294" i="180"/>
  <c r="P296" i="180"/>
  <c r="P298" i="180"/>
  <c r="P299" i="180"/>
  <c r="P300" i="180"/>
  <c r="P301" i="180"/>
  <c r="P304" i="180"/>
  <c r="P306" i="180"/>
  <c r="P307" i="180"/>
  <c r="P308" i="180"/>
  <c r="P309" i="180"/>
  <c r="P310" i="180"/>
  <c r="P311" i="180"/>
  <c r="P312" i="180"/>
  <c r="P313" i="180"/>
  <c r="P314" i="180"/>
  <c r="P315" i="180"/>
  <c r="P316" i="180"/>
  <c r="P317" i="180"/>
  <c r="P319" i="180"/>
  <c r="P321" i="180"/>
  <c r="P322" i="180"/>
  <c r="P323" i="180"/>
  <c r="P324" i="180"/>
  <c r="P327" i="180"/>
  <c r="P328" i="180"/>
  <c r="P329" i="180"/>
  <c r="P331" i="180"/>
  <c r="P332" i="180"/>
  <c r="P333" i="180"/>
  <c r="P334" i="180"/>
  <c r="P335" i="180"/>
  <c r="P336" i="180"/>
  <c r="P337" i="180"/>
  <c r="P339" i="180"/>
  <c r="P341" i="180"/>
  <c r="P343" i="180"/>
  <c r="O233" i="180"/>
  <c r="O234" i="180"/>
  <c r="O235" i="180"/>
  <c r="O236" i="180"/>
  <c r="O237" i="180"/>
  <c r="O238" i="180"/>
  <c r="O239" i="180"/>
  <c r="O240" i="180"/>
  <c r="O241" i="180"/>
  <c r="O242" i="180"/>
  <c r="O243" i="180"/>
  <c r="O244" i="180"/>
  <c r="O245" i="180"/>
  <c r="O246" i="180"/>
  <c r="O247" i="180"/>
  <c r="O248" i="180"/>
  <c r="O249" i="180"/>
  <c r="O250" i="180"/>
  <c r="O251" i="180"/>
  <c r="O252" i="180"/>
  <c r="O253" i="180"/>
  <c r="O254" i="180"/>
  <c r="O255" i="180"/>
  <c r="O257" i="180"/>
  <c r="O258" i="180"/>
  <c r="O260" i="180"/>
  <c r="O261" i="180"/>
  <c r="O262" i="180"/>
  <c r="O263" i="180"/>
  <c r="O264" i="180"/>
  <c r="O265" i="180"/>
  <c r="O266" i="180"/>
  <c r="O267" i="180"/>
  <c r="O268" i="180"/>
  <c r="O269" i="180"/>
  <c r="O270" i="180"/>
  <c r="O271" i="180"/>
  <c r="O273" i="180"/>
  <c r="O275" i="180"/>
  <c r="O276" i="180"/>
  <c r="O277" i="180"/>
  <c r="O279" i="180"/>
  <c r="O280" i="180"/>
  <c r="O281" i="180"/>
  <c r="O282" i="180"/>
  <c r="O283" i="180"/>
  <c r="O284" i="180"/>
  <c r="O285" i="180"/>
  <c r="O286" i="180"/>
  <c r="O287" i="180"/>
  <c r="O288" i="180"/>
  <c r="O289" i="180"/>
  <c r="O290" i="180"/>
  <c r="O291" i="180"/>
  <c r="O292" i="180"/>
  <c r="O293" i="180"/>
  <c r="O294" i="180"/>
  <c r="O296" i="180"/>
  <c r="O298" i="180"/>
  <c r="O299" i="180"/>
  <c r="O300" i="180"/>
  <c r="O301" i="180"/>
  <c r="O304" i="180"/>
  <c r="O306" i="180"/>
  <c r="O307" i="180"/>
  <c r="O308" i="180"/>
  <c r="O309" i="180"/>
  <c r="O310" i="180"/>
  <c r="O311" i="180"/>
  <c r="O312" i="180"/>
  <c r="O313" i="180"/>
  <c r="O314" i="180"/>
  <c r="O315" i="180"/>
  <c r="O316" i="180"/>
  <c r="O317" i="180"/>
  <c r="O319" i="180"/>
  <c r="O321" i="180"/>
  <c r="O322" i="180"/>
  <c r="O323" i="180"/>
  <c r="O324" i="180"/>
  <c r="O327" i="180"/>
  <c r="O328" i="180"/>
  <c r="O329" i="180"/>
  <c r="O331" i="180"/>
  <c r="O332" i="180"/>
  <c r="O333" i="180"/>
  <c r="O334" i="180"/>
  <c r="O335" i="180"/>
  <c r="O336" i="180"/>
  <c r="O337" i="180"/>
  <c r="O339" i="180"/>
  <c r="O341" i="180"/>
  <c r="O343" i="180"/>
  <c r="N233" i="180"/>
  <c r="N234" i="180"/>
  <c r="N235" i="180"/>
  <c r="N236" i="180"/>
  <c r="N237" i="180"/>
  <c r="N238" i="180"/>
  <c r="N239" i="180"/>
  <c r="N240" i="180"/>
  <c r="N241" i="180"/>
  <c r="N242" i="180"/>
  <c r="N243" i="180"/>
  <c r="N244" i="180"/>
  <c r="N245" i="180"/>
  <c r="N246" i="180"/>
  <c r="N247" i="180"/>
  <c r="N248" i="180"/>
  <c r="N249" i="180"/>
  <c r="N250" i="180"/>
  <c r="N251" i="180"/>
  <c r="N252" i="180"/>
  <c r="N253" i="180"/>
  <c r="N254" i="180"/>
  <c r="N255" i="180"/>
  <c r="N257" i="180"/>
  <c r="N258" i="180"/>
  <c r="N260" i="180"/>
  <c r="N261" i="180"/>
  <c r="N262" i="180"/>
  <c r="N263" i="180"/>
  <c r="N264" i="180"/>
  <c r="N265" i="180"/>
  <c r="N266" i="180"/>
  <c r="N267" i="180"/>
  <c r="N268" i="180"/>
  <c r="N269" i="180"/>
  <c r="N270" i="180"/>
  <c r="N271" i="180"/>
  <c r="N273" i="180"/>
  <c r="N275" i="180"/>
  <c r="N276" i="180"/>
  <c r="N277" i="180"/>
  <c r="N279" i="180"/>
  <c r="N280" i="180"/>
  <c r="N281" i="180"/>
  <c r="N282" i="180"/>
  <c r="N283" i="180"/>
  <c r="N284" i="180"/>
  <c r="N285" i="180"/>
  <c r="N286" i="180"/>
  <c r="N287" i="180"/>
  <c r="N288" i="180"/>
  <c r="N289" i="180"/>
  <c r="N290" i="180"/>
  <c r="N291" i="180"/>
  <c r="N292" i="180"/>
  <c r="N293" i="180"/>
  <c r="N294" i="180"/>
  <c r="N296" i="180"/>
  <c r="N298" i="180"/>
  <c r="N299" i="180"/>
  <c r="N300" i="180"/>
  <c r="N301" i="180"/>
  <c r="N304" i="180"/>
  <c r="N306" i="180"/>
  <c r="N307" i="180"/>
  <c r="N308" i="180"/>
  <c r="N309" i="180"/>
  <c r="N310" i="180"/>
  <c r="N311" i="180"/>
  <c r="N312" i="180"/>
  <c r="N313" i="180"/>
  <c r="N314" i="180"/>
  <c r="N315" i="180"/>
  <c r="N316" i="180"/>
  <c r="N317" i="180"/>
  <c r="N319" i="180"/>
  <c r="N321" i="180"/>
  <c r="N322" i="180"/>
  <c r="N323" i="180"/>
  <c r="N324" i="180"/>
  <c r="N327" i="180"/>
  <c r="N328" i="180"/>
  <c r="N329" i="180"/>
  <c r="N331" i="180"/>
  <c r="N332" i="180"/>
  <c r="N333" i="180"/>
  <c r="N334" i="180"/>
  <c r="N335" i="180"/>
  <c r="N336" i="180"/>
  <c r="N337" i="180"/>
  <c r="N339" i="180"/>
  <c r="N341" i="180"/>
  <c r="N343" i="180"/>
  <c r="M233" i="180"/>
  <c r="M234" i="180"/>
  <c r="M235" i="180"/>
  <c r="M236" i="180"/>
  <c r="M237" i="180"/>
  <c r="M238" i="180"/>
  <c r="M239" i="180"/>
  <c r="M240" i="180"/>
  <c r="M241" i="180"/>
  <c r="M242" i="180"/>
  <c r="M243" i="180"/>
  <c r="M244" i="180"/>
  <c r="M245" i="180"/>
  <c r="M246" i="180"/>
  <c r="M247" i="180"/>
  <c r="M248" i="180"/>
  <c r="M249" i="180"/>
  <c r="M250" i="180"/>
  <c r="M251" i="180"/>
  <c r="M252" i="180"/>
  <c r="M253" i="180"/>
  <c r="M254" i="180"/>
  <c r="M255" i="180"/>
  <c r="M257" i="180"/>
  <c r="M258" i="180"/>
  <c r="M260" i="180"/>
  <c r="M261" i="180"/>
  <c r="M262" i="180"/>
  <c r="M263" i="180"/>
  <c r="M264" i="180"/>
  <c r="M265" i="180"/>
  <c r="M266" i="180"/>
  <c r="M267" i="180"/>
  <c r="M268" i="180"/>
  <c r="M269" i="180"/>
  <c r="M270" i="180"/>
  <c r="M271" i="180"/>
  <c r="M273" i="180"/>
  <c r="M275" i="180"/>
  <c r="M276" i="180"/>
  <c r="M277" i="180"/>
  <c r="M279" i="180"/>
  <c r="M280" i="180"/>
  <c r="M281" i="180"/>
  <c r="M282" i="180"/>
  <c r="M283" i="180"/>
  <c r="M284" i="180"/>
  <c r="M285" i="180"/>
  <c r="M286" i="180"/>
  <c r="M287" i="180"/>
  <c r="M288" i="180"/>
  <c r="M289" i="180"/>
  <c r="M290" i="180"/>
  <c r="M291" i="180"/>
  <c r="M292" i="180"/>
  <c r="M293" i="180"/>
  <c r="M294" i="180"/>
  <c r="M296" i="180"/>
  <c r="M298" i="180"/>
  <c r="M299" i="180"/>
  <c r="M300" i="180"/>
  <c r="M301" i="180"/>
  <c r="M306" i="180"/>
  <c r="M307" i="180"/>
  <c r="M308" i="180"/>
  <c r="M309" i="180"/>
  <c r="M310" i="180"/>
  <c r="M311" i="180"/>
  <c r="M312" i="180"/>
  <c r="M313" i="180"/>
  <c r="M314" i="180"/>
  <c r="M315" i="180"/>
  <c r="M316" i="180"/>
  <c r="M317" i="180"/>
  <c r="M319" i="180"/>
  <c r="M321" i="180"/>
  <c r="M322" i="180"/>
  <c r="M323" i="180"/>
  <c r="M324" i="180"/>
  <c r="M327" i="180"/>
  <c r="M328" i="180"/>
  <c r="M329" i="180"/>
  <c r="M331" i="180"/>
  <c r="M332" i="180"/>
  <c r="M333" i="180"/>
  <c r="M334" i="180"/>
  <c r="M335" i="180"/>
  <c r="M336" i="180"/>
  <c r="M337" i="180"/>
  <c r="M339" i="180"/>
  <c r="M341" i="180"/>
  <c r="M343" i="180"/>
  <c r="L233" i="180"/>
  <c r="L234" i="180"/>
  <c r="L235" i="180"/>
  <c r="L236" i="180"/>
  <c r="L237" i="180"/>
  <c r="L239" i="180"/>
  <c r="L240" i="180"/>
  <c r="L241" i="180"/>
  <c r="L242" i="180"/>
  <c r="L243" i="180"/>
  <c r="L244" i="180"/>
  <c r="L245" i="180"/>
  <c r="L246" i="180"/>
  <c r="L247" i="180"/>
  <c r="L248" i="180"/>
  <c r="L249" i="180"/>
  <c r="L250" i="180"/>
  <c r="L251" i="180"/>
  <c r="L252" i="180"/>
  <c r="L253" i="180"/>
  <c r="L254" i="180"/>
  <c r="L255" i="180"/>
  <c r="L257" i="180"/>
  <c r="L258" i="180"/>
  <c r="L260" i="180"/>
  <c r="L261" i="180"/>
  <c r="L262" i="180"/>
  <c r="L263" i="180"/>
  <c r="L264" i="180"/>
  <c r="L265" i="180"/>
  <c r="L266" i="180"/>
  <c r="L267" i="180"/>
  <c r="L268" i="180"/>
  <c r="L269" i="180"/>
  <c r="L270" i="180"/>
  <c r="L271" i="180"/>
  <c r="L273" i="180"/>
  <c r="L275" i="180"/>
  <c r="L276" i="180"/>
  <c r="L277" i="180"/>
  <c r="L279" i="180"/>
  <c r="L280" i="180"/>
  <c r="L281" i="180"/>
  <c r="L282" i="180"/>
  <c r="L283" i="180"/>
  <c r="L284" i="180"/>
  <c r="L285" i="180"/>
  <c r="L286" i="180"/>
  <c r="L287" i="180"/>
  <c r="L288" i="180"/>
  <c r="L289" i="180"/>
  <c r="L290" i="180"/>
  <c r="L291" i="180"/>
  <c r="L292" i="180"/>
  <c r="L293" i="180"/>
  <c r="L294" i="180"/>
  <c r="L296" i="180"/>
  <c r="L298" i="180"/>
  <c r="L299" i="180"/>
  <c r="L300" i="180"/>
  <c r="L301" i="180"/>
  <c r="L304" i="180"/>
  <c r="L306" i="180"/>
  <c r="L307" i="180"/>
  <c r="L308" i="180"/>
  <c r="L309" i="180"/>
  <c r="L310" i="180"/>
  <c r="L311" i="180"/>
  <c r="L312" i="180"/>
  <c r="L313" i="180"/>
  <c r="L314" i="180"/>
  <c r="L315" i="180"/>
  <c r="L316" i="180"/>
  <c r="L317" i="180"/>
  <c r="L319" i="180"/>
  <c r="L321" i="180"/>
  <c r="L322" i="180"/>
  <c r="L323" i="180"/>
  <c r="L327" i="180"/>
  <c r="L328" i="180"/>
  <c r="L329" i="180"/>
  <c r="L331" i="180"/>
  <c r="L332" i="180"/>
  <c r="L333" i="180"/>
  <c r="L334" i="180"/>
  <c r="L335" i="180"/>
  <c r="L336" i="180"/>
  <c r="L337" i="180"/>
  <c r="L339" i="180"/>
  <c r="L341" i="180"/>
  <c r="L343" i="180"/>
  <c r="K233" i="180"/>
  <c r="K234" i="180"/>
  <c r="K235" i="180"/>
  <c r="K236" i="180"/>
  <c r="K237" i="180"/>
  <c r="K238" i="180"/>
  <c r="K239" i="180"/>
  <c r="K240" i="180"/>
  <c r="K241" i="180"/>
  <c r="K242" i="180"/>
  <c r="K243" i="180"/>
  <c r="K244" i="180"/>
  <c r="K245" i="180"/>
  <c r="K246" i="180"/>
  <c r="K247" i="180"/>
  <c r="K248" i="180"/>
  <c r="K249" i="180"/>
  <c r="K250" i="180"/>
  <c r="K251" i="180"/>
  <c r="K252" i="180"/>
  <c r="K253" i="180"/>
  <c r="K254" i="180"/>
  <c r="K257" i="180"/>
  <c r="K260" i="180"/>
  <c r="K261" i="180"/>
  <c r="K262" i="180"/>
  <c r="K263" i="180"/>
  <c r="K264" i="180"/>
  <c r="K265" i="180"/>
  <c r="K266" i="180"/>
  <c r="K267" i="180"/>
  <c r="K268" i="180"/>
  <c r="K269" i="180"/>
  <c r="K270" i="180"/>
  <c r="K271" i="180"/>
  <c r="K275" i="180"/>
  <c r="K276" i="180"/>
  <c r="K277" i="180"/>
  <c r="K279" i="180"/>
  <c r="K280" i="180"/>
  <c r="K281" i="180"/>
  <c r="K282" i="180"/>
  <c r="K283" i="180"/>
  <c r="K284" i="180"/>
  <c r="K285" i="180"/>
  <c r="K286" i="180"/>
  <c r="K287" i="180"/>
  <c r="K288" i="180"/>
  <c r="K289" i="180"/>
  <c r="K290" i="180"/>
  <c r="K291" i="180"/>
  <c r="K292" i="180"/>
  <c r="K293" i="180"/>
  <c r="K294" i="180"/>
  <c r="K296" i="180"/>
  <c r="K298" i="180"/>
  <c r="K300" i="180"/>
  <c r="K301" i="180"/>
  <c r="K304" i="180"/>
  <c r="K306" i="180"/>
  <c r="K307" i="180"/>
  <c r="K308" i="180"/>
  <c r="K309" i="180"/>
  <c r="K310" i="180"/>
  <c r="K311" i="180"/>
  <c r="K313" i="180"/>
  <c r="K314" i="180"/>
  <c r="K315" i="180"/>
  <c r="K316" i="180"/>
  <c r="K317" i="180"/>
  <c r="K319" i="180"/>
  <c r="K321" i="180"/>
  <c r="K322" i="180"/>
  <c r="K323" i="180"/>
  <c r="K324" i="180"/>
  <c r="K328" i="180"/>
  <c r="K329" i="180"/>
  <c r="K331" i="180"/>
  <c r="K332" i="180"/>
  <c r="K333" i="180"/>
  <c r="K334" i="180"/>
  <c r="K335" i="180"/>
  <c r="K337" i="180"/>
  <c r="K339" i="180"/>
  <c r="K341" i="180"/>
  <c r="J233" i="180"/>
  <c r="J234" i="180"/>
  <c r="J235" i="180"/>
  <c r="J236" i="180"/>
  <c r="J237" i="180"/>
  <c r="J238" i="180"/>
  <c r="J239" i="180"/>
  <c r="J240" i="180"/>
  <c r="J241" i="180"/>
  <c r="J242" i="180"/>
  <c r="J243" i="180"/>
  <c r="J244" i="180"/>
  <c r="J245" i="180"/>
  <c r="J246" i="180"/>
  <c r="J247" i="180"/>
  <c r="J248" i="180"/>
  <c r="J249" i="180"/>
  <c r="J250" i="180"/>
  <c r="J251" i="180"/>
  <c r="J252" i="180"/>
  <c r="J253" i="180"/>
  <c r="J254" i="180"/>
  <c r="J255" i="180"/>
  <c r="J257" i="180"/>
  <c r="J258" i="180"/>
  <c r="J260" i="180"/>
  <c r="J261" i="180"/>
  <c r="J262" i="180"/>
  <c r="J263" i="180"/>
  <c r="J264" i="180"/>
  <c r="J265" i="180"/>
  <c r="J266" i="180"/>
  <c r="J267" i="180"/>
  <c r="J268" i="180"/>
  <c r="J269" i="180"/>
  <c r="J270" i="180"/>
  <c r="J271" i="180"/>
  <c r="J273" i="180"/>
  <c r="J275" i="180"/>
  <c r="J276" i="180"/>
  <c r="J277" i="180"/>
  <c r="J279" i="180"/>
  <c r="J280" i="180"/>
  <c r="J281" i="180"/>
  <c r="J282" i="180"/>
  <c r="J283" i="180"/>
  <c r="J284" i="180"/>
  <c r="J285" i="180"/>
  <c r="J286" i="180"/>
  <c r="J287" i="180"/>
  <c r="J288" i="180"/>
  <c r="J289" i="180"/>
  <c r="J290" i="180"/>
  <c r="J291" i="180"/>
  <c r="J292" i="180"/>
  <c r="J293" i="180"/>
  <c r="J294" i="180"/>
  <c r="J296" i="180"/>
  <c r="J298" i="180"/>
  <c r="J299" i="180"/>
  <c r="J300" i="180"/>
  <c r="J301" i="180"/>
  <c r="J304" i="180"/>
  <c r="J306" i="180"/>
  <c r="J307" i="180"/>
  <c r="J308" i="180"/>
  <c r="J309" i="180"/>
  <c r="J310" i="180"/>
  <c r="J311" i="180"/>
  <c r="J312" i="180"/>
  <c r="J313" i="180"/>
  <c r="J314" i="180"/>
  <c r="J315" i="180"/>
  <c r="J316" i="180"/>
  <c r="J317" i="180"/>
  <c r="J319" i="180"/>
  <c r="J321" i="180"/>
  <c r="J322" i="180"/>
  <c r="J323" i="180"/>
  <c r="J324" i="180"/>
  <c r="J327" i="180"/>
  <c r="J328" i="180"/>
  <c r="J329" i="180"/>
  <c r="J331" i="180"/>
  <c r="J332" i="180"/>
  <c r="J333" i="180"/>
  <c r="J334" i="180"/>
  <c r="J335" i="180"/>
  <c r="J336" i="180"/>
  <c r="J337" i="180"/>
  <c r="J339" i="180"/>
  <c r="J341" i="180"/>
  <c r="J343" i="180"/>
  <c r="I273" i="180"/>
  <c r="I299" i="180"/>
  <c r="I327" i="180"/>
  <c r="I343" i="180"/>
  <c r="H233" i="180"/>
  <c r="H234" i="180"/>
  <c r="H235" i="180"/>
  <c r="H236" i="180"/>
  <c r="H237" i="180"/>
  <c r="H238" i="180"/>
  <c r="H239" i="180"/>
  <c r="H240" i="180"/>
  <c r="H241" i="180"/>
  <c r="H242" i="180"/>
  <c r="H243" i="180"/>
  <c r="H244" i="180"/>
  <c r="H245" i="180"/>
  <c r="H246" i="180"/>
  <c r="H247" i="180"/>
  <c r="H248" i="180"/>
  <c r="H249" i="180"/>
  <c r="H250" i="180"/>
  <c r="H251" i="180"/>
  <c r="H252" i="180"/>
  <c r="H253" i="180"/>
  <c r="H254" i="180"/>
  <c r="H255" i="180"/>
  <c r="H257" i="180"/>
  <c r="H258" i="180"/>
  <c r="H260" i="180"/>
  <c r="H261" i="180"/>
  <c r="H262" i="180"/>
  <c r="H263" i="180"/>
  <c r="H264" i="180"/>
  <c r="H265" i="180"/>
  <c r="H266" i="180"/>
  <c r="H267" i="180"/>
  <c r="H268" i="180"/>
  <c r="H269" i="180"/>
  <c r="H270" i="180"/>
  <c r="H271" i="180"/>
  <c r="H273" i="180"/>
  <c r="H275" i="180"/>
  <c r="H276" i="180"/>
  <c r="H277" i="180"/>
  <c r="H279" i="180"/>
  <c r="H280" i="180"/>
  <c r="H281" i="180"/>
  <c r="H282" i="180"/>
  <c r="H283" i="180"/>
  <c r="H284" i="180"/>
  <c r="H285" i="180"/>
  <c r="H286" i="180"/>
  <c r="H287" i="180"/>
  <c r="H288" i="180"/>
  <c r="H289" i="180"/>
  <c r="H290" i="180"/>
  <c r="H291" i="180"/>
  <c r="H292" i="180"/>
  <c r="H293" i="180"/>
  <c r="H294" i="180"/>
  <c r="H296" i="180"/>
  <c r="H298" i="180"/>
  <c r="H299" i="180"/>
  <c r="H300" i="180"/>
  <c r="H301" i="180"/>
  <c r="H304" i="180"/>
  <c r="H306" i="180"/>
  <c r="H307" i="180"/>
  <c r="H308" i="180"/>
  <c r="H309" i="180"/>
  <c r="H310" i="180"/>
  <c r="H311" i="180"/>
  <c r="H312" i="180"/>
  <c r="H313" i="180"/>
  <c r="H314" i="180"/>
  <c r="H315" i="180"/>
  <c r="H316" i="180"/>
  <c r="H317" i="180"/>
  <c r="H319" i="180"/>
  <c r="H321" i="180"/>
  <c r="H322" i="180"/>
  <c r="H323" i="180"/>
  <c r="H324" i="180"/>
  <c r="H327" i="180"/>
  <c r="H328" i="180"/>
  <c r="H329" i="180"/>
  <c r="H331" i="180"/>
  <c r="H332" i="180"/>
  <c r="H333" i="180"/>
  <c r="H334" i="180"/>
  <c r="H335" i="180"/>
  <c r="H337" i="180"/>
  <c r="H339" i="180"/>
  <c r="H341" i="180"/>
  <c r="H343" i="180"/>
  <c r="G233" i="180"/>
  <c r="G234" i="180"/>
  <c r="G235" i="180"/>
  <c r="G236" i="180"/>
  <c r="G237" i="180"/>
  <c r="G238" i="180"/>
  <c r="G239" i="180"/>
  <c r="G240" i="180"/>
  <c r="G241" i="180"/>
  <c r="G242" i="180"/>
  <c r="G243" i="180"/>
  <c r="G244" i="180"/>
  <c r="G245" i="180"/>
  <c r="G246" i="180"/>
  <c r="G247" i="180"/>
  <c r="G248" i="180"/>
  <c r="G249" i="180"/>
  <c r="G250" i="180"/>
  <c r="G251" i="180"/>
  <c r="G252" i="180"/>
  <c r="G253" i="180"/>
  <c r="G254" i="180"/>
  <c r="G255" i="180"/>
  <c r="G257" i="180"/>
  <c r="G258" i="180"/>
  <c r="G260" i="180"/>
  <c r="G261" i="180"/>
  <c r="G262" i="180"/>
  <c r="G263" i="180"/>
  <c r="G264" i="180"/>
  <c r="G265" i="180"/>
  <c r="G266" i="180"/>
  <c r="G267" i="180"/>
  <c r="G268" i="180"/>
  <c r="G269" i="180"/>
  <c r="G270" i="180"/>
  <c r="G271" i="180"/>
  <c r="G273" i="180"/>
  <c r="G275" i="180"/>
  <c r="G276" i="180"/>
  <c r="G277" i="180"/>
  <c r="G279" i="180"/>
  <c r="G280" i="180"/>
  <c r="G281" i="180"/>
  <c r="G282" i="180"/>
  <c r="G283" i="180"/>
  <c r="G284" i="180"/>
  <c r="G285" i="180"/>
  <c r="G286" i="180"/>
  <c r="G287" i="180"/>
  <c r="G288" i="180"/>
  <c r="G289" i="180"/>
  <c r="G290" i="180"/>
  <c r="G291" i="180"/>
  <c r="G292" i="180"/>
  <c r="G293" i="180"/>
  <c r="G294" i="180"/>
  <c r="G296" i="180"/>
  <c r="G298" i="180"/>
  <c r="G299" i="180"/>
  <c r="G300" i="180"/>
  <c r="G301" i="180"/>
  <c r="G304" i="180"/>
  <c r="G306" i="180"/>
  <c r="G307" i="180"/>
  <c r="G308" i="180"/>
  <c r="G309" i="180"/>
  <c r="G310" i="180"/>
  <c r="G311" i="180"/>
  <c r="G312" i="180"/>
  <c r="G313" i="180"/>
  <c r="G314" i="180"/>
  <c r="G315" i="180"/>
  <c r="G316" i="180"/>
  <c r="G317" i="180"/>
  <c r="G319" i="180"/>
  <c r="G321" i="180"/>
  <c r="G322" i="180"/>
  <c r="G323" i="180"/>
  <c r="G324" i="180"/>
  <c r="G327" i="180"/>
  <c r="G328" i="180"/>
  <c r="G329" i="180"/>
  <c r="G331" i="180"/>
  <c r="G332" i="180"/>
  <c r="G333" i="180"/>
  <c r="G334" i="180"/>
  <c r="G335" i="180"/>
  <c r="G337" i="180"/>
  <c r="G339" i="180"/>
  <c r="G341" i="180"/>
  <c r="G343" i="180"/>
  <c r="H232" i="180"/>
  <c r="J232" i="180"/>
  <c r="K232" i="180"/>
  <c r="L232" i="180"/>
  <c r="M232" i="180"/>
  <c r="N232" i="180"/>
  <c r="O232" i="180"/>
  <c r="P232" i="180"/>
  <c r="G232" i="180"/>
  <c r="H228" i="180"/>
  <c r="I228" i="180"/>
  <c r="J228" i="180"/>
  <c r="K228" i="180"/>
  <c r="L228" i="180"/>
  <c r="M228" i="180"/>
  <c r="O228" i="180"/>
  <c r="P228" i="180"/>
  <c r="G228" i="180"/>
  <c r="H227" i="180"/>
  <c r="I227" i="180"/>
  <c r="J227" i="180"/>
  <c r="K227" i="180"/>
  <c r="M227" i="180"/>
  <c r="N227" i="180"/>
  <c r="O227" i="180"/>
  <c r="P227" i="180"/>
  <c r="G227" i="180"/>
  <c r="I222" i="180"/>
  <c r="I220" i="180"/>
  <c r="H223" i="180"/>
  <c r="J223" i="180"/>
  <c r="K223" i="180"/>
  <c r="L223" i="180"/>
  <c r="M223" i="180"/>
  <c r="N223" i="180"/>
  <c r="O223" i="180"/>
  <c r="P223" i="180"/>
  <c r="H222" i="180"/>
  <c r="J222" i="180"/>
  <c r="K222" i="180"/>
  <c r="L222" i="180"/>
  <c r="M222" i="180"/>
  <c r="N222" i="180"/>
  <c r="O222" i="180"/>
  <c r="P222" i="180"/>
  <c r="H221" i="180"/>
  <c r="J221" i="180"/>
  <c r="K221" i="180"/>
  <c r="L221" i="180"/>
  <c r="M221" i="180"/>
  <c r="N221" i="180"/>
  <c r="O221" i="180"/>
  <c r="P221" i="180"/>
  <c r="G221" i="180"/>
  <c r="G222" i="180"/>
  <c r="G223" i="180"/>
  <c r="H220" i="180"/>
  <c r="J220" i="180"/>
  <c r="K220" i="180"/>
  <c r="L220" i="180"/>
  <c r="M220" i="180"/>
  <c r="N220" i="180"/>
  <c r="O220" i="180"/>
  <c r="P220" i="180"/>
  <c r="G220" i="180"/>
  <c r="N186" i="180"/>
  <c r="N185" i="180"/>
  <c r="N184" i="180"/>
  <c r="P180" i="180"/>
  <c r="P181" i="180"/>
  <c r="P182" i="180"/>
  <c r="P184" i="180"/>
  <c r="P185" i="180"/>
  <c r="P186" i="180"/>
  <c r="P187" i="180"/>
  <c r="P188" i="180"/>
  <c r="P189" i="180"/>
  <c r="P192" i="180"/>
  <c r="P193" i="180"/>
  <c r="P194" i="180"/>
  <c r="P203" i="180"/>
  <c r="P206" i="180"/>
  <c r="P213" i="180"/>
  <c r="P214" i="180"/>
  <c r="P215" i="180"/>
  <c r="P216" i="180"/>
  <c r="O180" i="180"/>
  <c r="O181" i="180"/>
  <c r="O182" i="180"/>
  <c r="O184" i="180"/>
  <c r="O185" i="180"/>
  <c r="O186" i="180"/>
  <c r="O187" i="180"/>
  <c r="O188" i="180"/>
  <c r="O189" i="180"/>
  <c r="O192" i="180"/>
  <c r="O193" i="180"/>
  <c r="O194" i="180"/>
  <c r="O203" i="180"/>
  <c r="O206" i="180"/>
  <c r="O213" i="180"/>
  <c r="O214" i="180"/>
  <c r="O215" i="180"/>
  <c r="O216" i="180"/>
  <c r="N180" i="180"/>
  <c r="N182" i="180"/>
  <c r="N188" i="180"/>
  <c r="N193" i="180"/>
  <c r="N194" i="180"/>
  <c r="N214" i="180"/>
  <c r="N216" i="180"/>
  <c r="M181" i="180"/>
  <c r="M185" i="180"/>
  <c r="M186" i="180"/>
  <c r="M187" i="180"/>
  <c r="M189" i="180"/>
  <c r="M206" i="180"/>
  <c r="M213" i="180"/>
  <c r="L180" i="180"/>
  <c r="L182" i="180"/>
  <c r="L184" i="180"/>
  <c r="L185" i="180"/>
  <c r="L186" i="180"/>
  <c r="L187" i="180"/>
  <c r="L194" i="180"/>
  <c r="L203" i="180"/>
  <c r="L214" i="180"/>
  <c r="L216" i="180"/>
  <c r="K180" i="180"/>
  <c r="K181" i="180"/>
  <c r="K182" i="180"/>
  <c r="K184" i="180"/>
  <c r="K185" i="180"/>
  <c r="K186" i="180"/>
  <c r="K187" i="180"/>
  <c r="K188" i="180"/>
  <c r="K189" i="180"/>
  <c r="K192" i="180"/>
  <c r="K193" i="180"/>
  <c r="K194" i="180"/>
  <c r="K203" i="180"/>
  <c r="K206" i="180"/>
  <c r="K213" i="180"/>
  <c r="K214" i="180"/>
  <c r="K215" i="180"/>
  <c r="K216" i="180"/>
  <c r="J180" i="180"/>
  <c r="J181" i="180"/>
  <c r="J182" i="180"/>
  <c r="J184" i="180"/>
  <c r="J185" i="180"/>
  <c r="J186" i="180"/>
  <c r="J187" i="180"/>
  <c r="J188" i="180"/>
  <c r="J189" i="180"/>
  <c r="J192" i="180"/>
  <c r="J193" i="180"/>
  <c r="J194" i="180"/>
  <c r="J203" i="180"/>
  <c r="J206" i="180"/>
  <c r="J213" i="180"/>
  <c r="J214" i="180"/>
  <c r="J215" i="180"/>
  <c r="J216" i="180"/>
  <c r="I181" i="180"/>
  <c r="I182" i="180"/>
  <c r="I184" i="180"/>
  <c r="I185" i="180"/>
  <c r="I186" i="180"/>
  <c r="I187" i="180"/>
  <c r="I188" i="180"/>
  <c r="I189" i="180"/>
  <c r="I192" i="180"/>
  <c r="I193" i="180"/>
  <c r="I194" i="180"/>
  <c r="I203" i="180"/>
  <c r="I206" i="180"/>
  <c r="I213" i="180"/>
  <c r="I214" i="180"/>
  <c r="I215" i="180"/>
  <c r="I216" i="180"/>
  <c r="H180" i="180"/>
  <c r="H181" i="180"/>
  <c r="H182" i="180"/>
  <c r="H184" i="180"/>
  <c r="H185" i="180"/>
  <c r="H186" i="180"/>
  <c r="H187" i="180"/>
  <c r="H188" i="180"/>
  <c r="H189" i="180"/>
  <c r="H192" i="180"/>
  <c r="H193" i="180"/>
  <c r="H194" i="180"/>
  <c r="H203" i="180"/>
  <c r="H206" i="180"/>
  <c r="H213" i="180"/>
  <c r="H214" i="180"/>
  <c r="H215" i="180"/>
  <c r="H216" i="180"/>
  <c r="G175" i="180"/>
  <c r="G176" i="180"/>
  <c r="G177" i="180"/>
  <c r="G178" i="180"/>
  <c r="G179" i="180"/>
  <c r="G180" i="180"/>
  <c r="G181" i="180"/>
  <c r="G182" i="180"/>
  <c r="G184" i="180"/>
  <c r="G185" i="180"/>
  <c r="G186" i="180"/>
  <c r="G187" i="180"/>
  <c r="G188" i="180"/>
  <c r="G189" i="180"/>
  <c r="G192" i="180"/>
  <c r="G193" i="180"/>
  <c r="G194" i="180"/>
  <c r="G203" i="180"/>
  <c r="G206" i="180"/>
  <c r="G213" i="180"/>
  <c r="G214" i="180"/>
  <c r="G215" i="180"/>
  <c r="G216" i="180"/>
  <c r="G174" i="180"/>
  <c r="K168" i="180"/>
  <c r="G165" i="180"/>
  <c r="K158" i="180"/>
  <c r="N136" i="180"/>
  <c r="G136" i="180"/>
  <c r="K126" i="180"/>
  <c r="K120" i="180"/>
  <c r="I112" i="180"/>
  <c r="K109" i="180"/>
  <c r="K108" i="180" l="1"/>
  <c r="I103" i="180"/>
  <c r="K94" i="180"/>
  <c r="K93" i="180"/>
  <c r="K89" i="180"/>
  <c r="K88" i="180"/>
  <c r="K81" i="180"/>
  <c r="K79" i="180"/>
  <c r="K78" i="180"/>
  <c r="K77" i="180"/>
  <c r="K72" i="180"/>
  <c r="K71" i="180"/>
  <c r="K66" i="180"/>
  <c r="I64" i="180"/>
  <c r="H63" i="180"/>
  <c r="G63" i="180"/>
  <c r="K62" i="180"/>
  <c r="H60" i="180"/>
  <c r="G60" i="180"/>
  <c r="K54" i="180"/>
  <c r="K52" i="180"/>
  <c r="K51" i="180"/>
  <c r="K50" i="180"/>
  <c r="P51" i="180"/>
  <c r="P52" i="180"/>
  <c r="P54" i="180"/>
  <c r="P55" i="180"/>
  <c r="P59" i="180"/>
  <c r="P60" i="180"/>
  <c r="P61" i="180"/>
  <c r="P62" i="180"/>
  <c r="P63" i="180"/>
  <c r="P64" i="180"/>
  <c r="P66" i="180"/>
  <c r="P68" i="180"/>
  <c r="P70" i="180"/>
  <c r="P71" i="180"/>
  <c r="P72" i="180"/>
  <c r="P73" i="180"/>
  <c r="P74" i="180"/>
  <c r="P75" i="180"/>
  <c r="P76" i="180"/>
  <c r="P77" i="180"/>
  <c r="P78" i="180"/>
  <c r="P79" i="180"/>
  <c r="P80" i="180"/>
  <c r="P81" i="180"/>
  <c r="P82" i="180"/>
  <c r="P83" i="180"/>
  <c r="P84" i="180"/>
  <c r="P85" i="180"/>
  <c r="P86" i="180"/>
  <c r="P88" i="180"/>
  <c r="P89" i="180"/>
  <c r="P90" i="180"/>
  <c r="P91" i="180"/>
  <c r="P92" i="180"/>
  <c r="P93" i="180"/>
  <c r="P94" i="180"/>
  <c r="P96" i="180"/>
  <c r="P103" i="180"/>
  <c r="P104" i="180"/>
  <c r="P106" i="180"/>
  <c r="P108" i="180"/>
  <c r="P109" i="180"/>
  <c r="P111" i="180"/>
  <c r="P112" i="180"/>
  <c r="P113" i="180"/>
  <c r="P117" i="180"/>
  <c r="P120" i="180"/>
  <c r="P121" i="180"/>
  <c r="P122" i="180"/>
  <c r="P124" i="180"/>
  <c r="P125" i="180"/>
  <c r="P126" i="180"/>
  <c r="P128" i="180"/>
  <c r="P129" i="180"/>
  <c r="P130" i="180"/>
  <c r="P131" i="180"/>
  <c r="P132" i="180"/>
  <c r="P133" i="180"/>
  <c r="P134" i="180"/>
  <c r="P135" i="180"/>
  <c r="P136" i="180"/>
  <c r="P138" i="180"/>
  <c r="P139" i="180"/>
  <c r="P140" i="180"/>
  <c r="P141" i="180"/>
  <c r="P142" i="180"/>
  <c r="P143" i="180"/>
  <c r="P144" i="180"/>
  <c r="P145" i="180"/>
  <c r="P146" i="180"/>
  <c r="P147" i="180"/>
  <c r="P148" i="180"/>
  <c r="P149" i="180"/>
  <c r="P150" i="180"/>
  <c r="P151" i="180"/>
  <c r="P152" i="180"/>
  <c r="P153" i="180"/>
  <c r="P154" i="180"/>
  <c r="P155" i="180"/>
  <c r="P156" i="180"/>
  <c r="P157" i="180"/>
  <c r="P158" i="180"/>
  <c r="P159" i="180"/>
  <c r="P160" i="180"/>
  <c r="P161" i="180"/>
  <c r="P162" i="180"/>
  <c r="P165" i="180"/>
  <c r="P167" i="180"/>
  <c r="P168" i="180"/>
  <c r="P169" i="180"/>
  <c r="O51" i="180"/>
  <c r="O52" i="180"/>
  <c r="O54" i="180"/>
  <c r="O55" i="180"/>
  <c r="O59" i="180"/>
  <c r="O60" i="180"/>
  <c r="O61" i="180"/>
  <c r="O62" i="180"/>
  <c r="O63" i="180"/>
  <c r="O64" i="180"/>
  <c r="O66" i="180"/>
  <c r="O68" i="180"/>
  <c r="O70" i="180"/>
  <c r="O71" i="180"/>
  <c r="O72" i="180"/>
  <c r="O73" i="180"/>
  <c r="O74" i="180"/>
  <c r="O75" i="180"/>
  <c r="O76" i="180"/>
  <c r="O77" i="180"/>
  <c r="O78" i="180"/>
  <c r="O79" i="180"/>
  <c r="O80" i="180"/>
  <c r="O81" i="180"/>
  <c r="O82" i="180"/>
  <c r="O83" i="180"/>
  <c r="O84" i="180"/>
  <c r="O85" i="180"/>
  <c r="O86" i="180"/>
  <c r="O88" i="180"/>
  <c r="O89" i="180"/>
  <c r="O90" i="180"/>
  <c r="O91" i="180"/>
  <c r="O92" i="180"/>
  <c r="O93" i="180"/>
  <c r="O94" i="180"/>
  <c r="O96" i="180"/>
  <c r="O103" i="180"/>
  <c r="O104" i="180"/>
  <c r="O106" i="180"/>
  <c r="O108" i="180"/>
  <c r="O109" i="180"/>
  <c r="O111" i="180"/>
  <c r="O112" i="180"/>
  <c r="O113" i="180"/>
  <c r="O117" i="180"/>
  <c r="O120" i="180"/>
  <c r="O121" i="180"/>
  <c r="O122" i="180"/>
  <c r="O124" i="180"/>
  <c r="O125" i="180"/>
  <c r="O126" i="180"/>
  <c r="O128" i="180"/>
  <c r="O129" i="180"/>
  <c r="O130" i="180"/>
  <c r="O131" i="180"/>
  <c r="O132" i="180"/>
  <c r="O133" i="180"/>
  <c r="O134" i="180"/>
  <c r="O135" i="180"/>
  <c r="O136" i="180"/>
  <c r="O138" i="180"/>
  <c r="O139" i="180"/>
  <c r="O140" i="180"/>
  <c r="O141" i="180"/>
  <c r="O142" i="180"/>
  <c r="O143" i="180"/>
  <c r="O144" i="180"/>
  <c r="O145" i="180"/>
  <c r="O146" i="180"/>
  <c r="O147" i="180"/>
  <c r="O148" i="180"/>
  <c r="O149" i="180"/>
  <c r="O150" i="180"/>
  <c r="O151" i="180"/>
  <c r="O152" i="180"/>
  <c r="O153" i="180"/>
  <c r="O154" i="180"/>
  <c r="O155" i="180"/>
  <c r="O156" i="180"/>
  <c r="O157" i="180"/>
  <c r="O158" i="180"/>
  <c r="O159" i="180"/>
  <c r="O160" i="180"/>
  <c r="O161" i="180"/>
  <c r="O162" i="180"/>
  <c r="O165" i="180"/>
  <c r="O167" i="180"/>
  <c r="O168" i="180"/>
  <c r="O169" i="180"/>
  <c r="N51" i="180"/>
  <c r="N52" i="180"/>
  <c r="N54" i="180"/>
  <c r="N55" i="180"/>
  <c r="N59" i="180"/>
  <c r="N60" i="180"/>
  <c r="N61" i="180"/>
  <c r="N62" i="180"/>
  <c r="N63" i="180"/>
  <c r="N64" i="180"/>
  <c r="N66" i="180"/>
  <c r="N68" i="180"/>
  <c r="N70" i="180"/>
  <c r="N71" i="180"/>
  <c r="N72" i="180"/>
  <c r="N73" i="180"/>
  <c r="N74" i="180"/>
  <c r="N75" i="180"/>
  <c r="N76" i="180"/>
  <c r="N77" i="180"/>
  <c r="N78" i="180"/>
  <c r="N79" i="180"/>
  <c r="N80" i="180"/>
  <c r="N81" i="180"/>
  <c r="N82" i="180"/>
  <c r="N83" i="180"/>
  <c r="N84" i="180"/>
  <c r="N85" i="180"/>
  <c r="N86" i="180"/>
  <c r="N88" i="180"/>
  <c r="N89" i="180"/>
  <c r="N90" i="180"/>
  <c r="N91" i="180"/>
  <c r="N92" i="180"/>
  <c r="N93" i="180"/>
  <c r="N94" i="180"/>
  <c r="N96" i="180"/>
  <c r="N103" i="180"/>
  <c r="N104" i="180"/>
  <c r="N106" i="180"/>
  <c r="N108" i="180"/>
  <c r="N109" i="180"/>
  <c r="N111" i="180"/>
  <c r="N112" i="180"/>
  <c r="N113" i="180"/>
  <c r="N117" i="180"/>
  <c r="N120" i="180"/>
  <c r="N121" i="180"/>
  <c r="N122" i="180"/>
  <c r="N124" i="180"/>
  <c r="N125" i="180"/>
  <c r="N126" i="180"/>
  <c r="N128" i="180"/>
  <c r="N129" i="180"/>
  <c r="N130" i="180"/>
  <c r="N131" i="180"/>
  <c r="N132" i="180"/>
  <c r="N133" i="180"/>
  <c r="N134" i="180"/>
  <c r="N135" i="180"/>
  <c r="N138" i="180"/>
  <c r="N139" i="180"/>
  <c r="N140" i="180"/>
  <c r="N141" i="180"/>
  <c r="N142" i="180"/>
  <c r="N143" i="180"/>
  <c r="N144" i="180"/>
  <c r="N145" i="180"/>
  <c r="N146" i="180"/>
  <c r="N147" i="180"/>
  <c r="N148" i="180"/>
  <c r="N149" i="180"/>
  <c r="N150" i="180"/>
  <c r="N151" i="180"/>
  <c r="N152" i="180"/>
  <c r="N153" i="180"/>
  <c r="N154" i="180"/>
  <c r="N155" i="180"/>
  <c r="N156" i="180"/>
  <c r="N157" i="180"/>
  <c r="N158" i="180"/>
  <c r="N159" i="180"/>
  <c r="N160" i="180"/>
  <c r="N161" i="180"/>
  <c r="N162" i="180"/>
  <c r="N165" i="180"/>
  <c r="N167" i="180"/>
  <c r="N168" i="180"/>
  <c r="N169" i="180"/>
  <c r="M51" i="180"/>
  <c r="M52" i="180"/>
  <c r="M54" i="180"/>
  <c r="M55" i="180"/>
  <c r="M59" i="180"/>
  <c r="M60" i="180"/>
  <c r="M61" i="180"/>
  <c r="M62" i="180"/>
  <c r="M63" i="180"/>
  <c r="M64" i="180"/>
  <c r="M66" i="180"/>
  <c r="M68" i="180"/>
  <c r="M70" i="180"/>
  <c r="M71" i="180"/>
  <c r="M72" i="180"/>
  <c r="M73" i="180"/>
  <c r="M74" i="180"/>
  <c r="M75" i="180"/>
  <c r="M76" i="180"/>
  <c r="M77" i="180"/>
  <c r="M78" i="180"/>
  <c r="M79" i="180"/>
  <c r="M80" i="180"/>
  <c r="M81" i="180"/>
  <c r="M82" i="180"/>
  <c r="M83" i="180"/>
  <c r="M84" i="180"/>
  <c r="M85" i="180"/>
  <c r="M86" i="180"/>
  <c r="M88" i="180"/>
  <c r="M89" i="180"/>
  <c r="M90" i="180"/>
  <c r="M91" i="180"/>
  <c r="M92" i="180"/>
  <c r="M93" i="180"/>
  <c r="M94" i="180"/>
  <c r="M96" i="180"/>
  <c r="M103" i="180"/>
  <c r="M104" i="180"/>
  <c r="M106" i="180"/>
  <c r="M108" i="180"/>
  <c r="M109" i="180"/>
  <c r="M111" i="180"/>
  <c r="M112" i="180"/>
  <c r="M113" i="180"/>
  <c r="M117" i="180"/>
  <c r="M120" i="180"/>
  <c r="M121" i="180"/>
  <c r="M122" i="180"/>
  <c r="M124" i="180"/>
  <c r="M125" i="180"/>
  <c r="M126" i="180"/>
  <c r="M128" i="180"/>
  <c r="M129" i="180"/>
  <c r="M130" i="180"/>
  <c r="M131" i="180"/>
  <c r="M132" i="180"/>
  <c r="M133" i="180"/>
  <c r="M134" i="180"/>
  <c r="M135" i="180"/>
  <c r="M136" i="180"/>
  <c r="M138" i="180"/>
  <c r="M139" i="180"/>
  <c r="M140" i="180"/>
  <c r="M141" i="180"/>
  <c r="M142" i="180"/>
  <c r="M143" i="180"/>
  <c r="M144" i="180"/>
  <c r="M145" i="180"/>
  <c r="M146" i="180"/>
  <c r="M147" i="180"/>
  <c r="M148" i="180"/>
  <c r="M149" i="180"/>
  <c r="M150" i="180"/>
  <c r="M151" i="180"/>
  <c r="M152" i="180"/>
  <c r="M153" i="180"/>
  <c r="M154" i="180"/>
  <c r="M155" i="180"/>
  <c r="M156" i="180"/>
  <c r="M157" i="180"/>
  <c r="M158" i="180"/>
  <c r="M159" i="180"/>
  <c r="M160" i="180"/>
  <c r="M161" i="180"/>
  <c r="M162" i="180"/>
  <c r="M165" i="180"/>
  <c r="M167" i="180"/>
  <c r="M168" i="180"/>
  <c r="M169" i="180"/>
  <c r="L51" i="180"/>
  <c r="L52" i="180"/>
  <c r="L54" i="180"/>
  <c r="L55" i="180"/>
  <c r="L59" i="180"/>
  <c r="L60" i="180"/>
  <c r="L61" i="180"/>
  <c r="L62" i="180"/>
  <c r="L63" i="180"/>
  <c r="L64" i="180"/>
  <c r="L66" i="180"/>
  <c r="L68" i="180"/>
  <c r="L70" i="180"/>
  <c r="L71" i="180"/>
  <c r="L72" i="180"/>
  <c r="L73" i="180"/>
  <c r="L74" i="180"/>
  <c r="L75" i="180"/>
  <c r="L76" i="180"/>
  <c r="L77" i="180"/>
  <c r="L78" i="180"/>
  <c r="L79" i="180"/>
  <c r="L80" i="180"/>
  <c r="L81" i="180"/>
  <c r="L82" i="180"/>
  <c r="L83" i="180"/>
  <c r="L84" i="180"/>
  <c r="L85" i="180"/>
  <c r="L86" i="180"/>
  <c r="L88" i="180"/>
  <c r="L89" i="180"/>
  <c r="L90" i="180"/>
  <c r="L91" i="180"/>
  <c r="L92" i="180"/>
  <c r="L93" i="180"/>
  <c r="L94" i="180"/>
  <c r="L96" i="180"/>
  <c r="L103" i="180"/>
  <c r="L104" i="180"/>
  <c r="L106" i="180"/>
  <c r="L108" i="180"/>
  <c r="L109" i="180"/>
  <c r="L111" i="180"/>
  <c r="L112" i="180"/>
  <c r="L113" i="180"/>
  <c r="L117" i="180"/>
  <c r="L120" i="180"/>
  <c r="L121" i="180"/>
  <c r="L122" i="180"/>
  <c r="L124" i="180"/>
  <c r="L125" i="180"/>
  <c r="L126" i="180"/>
  <c r="L128" i="180"/>
  <c r="L129" i="180"/>
  <c r="L130" i="180"/>
  <c r="L131" i="180"/>
  <c r="L132" i="180"/>
  <c r="L133" i="180"/>
  <c r="L134" i="180"/>
  <c r="L135" i="180"/>
  <c r="L138" i="180"/>
  <c r="L139" i="180"/>
  <c r="L140" i="180"/>
  <c r="L141" i="180"/>
  <c r="L142" i="180"/>
  <c r="L143" i="180"/>
  <c r="L144" i="180"/>
  <c r="L145" i="180"/>
  <c r="L146" i="180"/>
  <c r="L147" i="180"/>
  <c r="L148" i="180"/>
  <c r="L149" i="180"/>
  <c r="L150" i="180"/>
  <c r="L151" i="180"/>
  <c r="L152" i="180"/>
  <c r="L153" i="180"/>
  <c r="L154" i="180"/>
  <c r="L155" i="180"/>
  <c r="L156" i="180"/>
  <c r="L157" i="180"/>
  <c r="L158" i="180"/>
  <c r="L159" i="180"/>
  <c r="L160" i="180"/>
  <c r="L161" i="180"/>
  <c r="L162" i="180"/>
  <c r="L165" i="180"/>
  <c r="L167" i="180"/>
  <c r="L168" i="180"/>
  <c r="L169" i="180"/>
  <c r="K59" i="180"/>
  <c r="K60" i="180"/>
  <c r="K63" i="180"/>
  <c r="K64" i="180"/>
  <c r="K68" i="180"/>
  <c r="K73" i="180"/>
  <c r="K76" i="180"/>
  <c r="K96" i="180"/>
  <c r="K103" i="180"/>
  <c r="K106" i="180"/>
  <c r="K112" i="180"/>
  <c r="K124" i="180"/>
  <c r="J51" i="180"/>
  <c r="J52" i="180"/>
  <c r="J54" i="180"/>
  <c r="J55" i="180"/>
  <c r="J59" i="180"/>
  <c r="J60" i="180"/>
  <c r="J62" i="180"/>
  <c r="J63" i="180"/>
  <c r="J64" i="180"/>
  <c r="J68" i="180"/>
  <c r="J70" i="180"/>
  <c r="J71" i="180"/>
  <c r="J72" i="180"/>
  <c r="J73" i="180"/>
  <c r="J74" i="180"/>
  <c r="J75" i="180"/>
  <c r="J76" i="180"/>
  <c r="J77" i="180"/>
  <c r="J78" i="180"/>
  <c r="J79" i="180"/>
  <c r="J80" i="180"/>
  <c r="J81" i="180"/>
  <c r="J82" i="180"/>
  <c r="J83" i="180"/>
  <c r="J84" i="180"/>
  <c r="J85" i="180"/>
  <c r="J86" i="180"/>
  <c r="J88" i="180"/>
  <c r="J89" i="180"/>
  <c r="J90" i="180"/>
  <c r="J91" i="180"/>
  <c r="J92" i="180"/>
  <c r="J93" i="180"/>
  <c r="J94" i="180"/>
  <c r="J103" i="180"/>
  <c r="J104" i="180"/>
  <c r="J106" i="180"/>
  <c r="J108" i="180"/>
  <c r="J109" i="180"/>
  <c r="J111" i="180"/>
  <c r="J112" i="180"/>
  <c r="J113" i="180"/>
  <c r="J117" i="180"/>
  <c r="J120" i="180"/>
  <c r="J121" i="180"/>
  <c r="J122" i="180"/>
  <c r="J124" i="180"/>
  <c r="J125" i="180"/>
  <c r="J126" i="180"/>
  <c r="J128" i="180"/>
  <c r="J129" i="180"/>
  <c r="J130" i="180"/>
  <c r="J131" i="180"/>
  <c r="J132" i="180"/>
  <c r="J133" i="180"/>
  <c r="J134" i="180"/>
  <c r="J135" i="180"/>
  <c r="J136" i="180"/>
  <c r="J138" i="180"/>
  <c r="J139" i="180"/>
  <c r="J140" i="180"/>
  <c r="J141" i="180"/>
  <c r="J142" i="180"/>
  <c r="J143" i="180"/>
  <c r="J144" i="180"/>
  <c r="J145" i="180"/>
  <c r="J146" i="180"/>
  <c r="J147" i="180"/>
  <c r="J148" i="180"/>
  <c r="J149" i="180"/>
  <c r="J150" i="180"/>
  <c r="J151" i="180"/>
  <c r="J152" i="180"/>
  <c r="J153" i="180"/>
  <c r="J154" i="180"/>
  <c r="J155" i="180"/>
  <c r="J156" i="180"/>
  <c r="J157" i="180"/>
  <c r="J158" i="180"/>
  <c r="J159" i="180"/>
  <c r="J160" i="180"/>
  <c r="J161" i="180"/>
  <c r="J162" i="180"/>
  <c r="J165" i="180"/>
  <c r="J167" i="180"/>
  <c r="J168" i="180"/>
  <c r="J169" i="180"/>
  <c r="I51" i="180"/>
  <c r="I52" i="180"/>
  <c r="I54" i="180"/>
  <c r="I55" i="180"/>
  <c r="I61" i="180"/>
  <c r="I62" i="180"/>
  <c r="I66" i="180"/>
  <c r="I71" i="180"/>
  <c r="I74" i="180"/>
  <c r="I75" i="180"/>
  <c r="I77" i="180"/>
  <c r="I78" i="180"/>
  <c r="I79" i="180"/>
  <c r="I80" i="180"/>
  <c r="I81" i="180"/>
  <c r="I82" i="180"/>
  <c r="I83" i="180"/>
  <c r="I84" i="180"/>
  <c r="I85" i="180"/>
  <c r="I86" i="180"/>
  <c r="I88" i="180"/>
  <c r="I89" i="180"/>
  <c r="I90" i="180"/>
  <c r="I91" i="180"/>
  <c r="I92" i="180"/>
  <c r="I93" i="180"/>
  <c r="I94" i="180"/>
  <c r="I96" i="180"/>
  <c r="I108" i="180"/>
  <c r="I109" i="180"/>
  <c r="I113" i="180"/>
  <c r="I117" i="180"/>
  <c r="I120" i="180"/>
  <c r="I121" i="180"/>
  <c r="I122" i="180"/>
  <c r="I126" i="180"/>
  <c r="I128" i="180"/>
  <c r="I129" i="180"/>
  <c r="I130" i="180"/>
  <c r="I131" i="180"/>
  <c r="I132" i="180"/>
  <c r="I133" i="180"/>
  <c r="I134" i="180"/>
  <c r="I135" i="180"/>
  <c r="I138" i="180"/>
  <c r="I139" i="180"/>
  <c r="I140" i="180"/>
  <c r="I141" i="180"/>
  <c r="I142" i="180"/>
  <c r="I143" i="180"/>
  <c r="I144" i="180"/>
  <c r="I145" i="180"/>
  <c r="I146" i="180"/>
  <c r="I147" i="180"/>
  <c r="I148" i="180"/>
  <c r="I149" i="180"/>
  <c r="I150" i="180"/>
  <c r="I151" i="180"/>
  <c r="I152" i="180"/>
  <c r="I153" i="180"/>
  <c r="I154" i="180"/>
  <c r="I155" i="180"/>
  <c r="I156" i="180"/>
  <c r="I157" i="180"/>
  <c r="I158" i="180"/>
  <c r="I159" i="180"/>
  <c r="I160" i="180"/>
  <c r="I161" i="180"/>
  <c r="I162" i="180"/>
  <c r="I168" i="180"/>
  <c r="I169" i="180"/>
  <c r="H51" i="180"/>
  <c r="H54" i="180"/>
  <c r="H55" i="180"/>
  <c r="H61" i="180"/>
  <c r="H62" i="180"/>
  <c r="H64" i="180"/>
  <c r="H66" i="180"/>
  <c r="H68" i="180"/>
  <c r="H71" i="180"/>
  <c r="H72" i="180"/>
  <c r="H73" i="180"/>
  <c r="H74" i="180"/>
  <c r="H75" i="180"/>
  <c r="H76" i="180"/>
  <c r="H77" i="180"/>
  <c r="H78" i="180"/>
  <c r="H79" i="180"/>
  <c r="H80" i="180"/>
  <c r="H81" i="180"/>
  <c r="H82" i="180"/>
  <c r="H83" i="180"/>
  <c r="H84" i="180"/>
  <c r="H85" i="180"/>
  <c r="H86" i="180"/>
  <c r="H88" i="180"/>
  <c r="H89" i="180"/>
  <c r="H90" i="180"/>
  <c r="H91" i="180"/>
  <c r="H92" i="180"/>
  <c r="H93" i="180"/>
  <c r="H94" i="180"/>
  <c r="H96" i="180"/>
  <c r="H103" i="180"/>
  <c r="H104" i="180"/>
  <c r="H108" i="180"/>
  <c r="H109" i="180"/>
  <c r="H112" i="180"/>
  <c r="H113" i="180"/>
  <c r="H117" i="180"/>
  <c r="H120" i="180"/>
  <c r="H121" i="180"/>
  <c r="H122" i="180"/>
  <c r="H126" i="180"/>
  <c r="H128" i="180"/>
  <c r="H129" i="180"/>
  <c r="H130" i="180"/>
  <c r="H131" i="180"/>
  <c r="H132" i="180"/>
  <c r="H133" i="180"/>
  <c r="H134" i="180"/>
  <c r="H135" i="180"/>
  <c r="H138" i="180"/>
  <c r="H139" i="180"/>
  <c r="H140" i="180"/>
  <c r="H141" i="180"/>
  <c r="H142" i="180"/>
  <c r="H143" i="180"/>
  <c r="H144" i="180"/>
  <c r="H145" i="180"/>
  <c r="H146" i="180"/>
  <c r="H147" i="180"/>
  <c r="H148" i="180"/>
  <c r="H149" i="180"/>
  <c r="H150" i="180"/>
  <c r="H151" i="180"/>
  <c r="H152" i="180"/>
  <c r="H153" i="180"/>
  <c r="H154" i="180"/>
  <c r="H155" i="180"/>
  <c r="H156" i="180"/>
  <c r="H157" i="180"/>
  <c r="H158" i="180"/>
  <c r="H159" i="180"/>
  <c r="H160" i="180"/>
  <c r="H161" i="180"/>
  <c r="H162" i="180"/>
  <c r="H167" i="180"/>
  <c r="H168" i="180"/>
  <c r="H169" i="180"/>
  <c r="G51" i="180"/>
  <c r="G54" i="180"/>
  <c r="G55" i="180"/>
  <c r="G61" i="180"/>
  <c r="G62" i="180"/>
  <c r="G64" i="180"/>
  <c r="G66" i="180"/>
  <c r="G68" i="180"/>
  <c r="G71" i="180"/>
  <c r="G72" i="180"/>
  <c r="G73" i="180"/>
  <c r="G74" i="180"/>
  <c r="G75" i="180"/>
  <c r="G76" i="180"/>
  <c r="G77" i="180"/>
  <c r="G78" i="180"/>
  <c r="G79" i="180"/>
  <c r="G80" i="180"/>
  <c r="G81" i="180"/>
  <c r="G82" i="180"/>
  <c r="G83" i="180"/>
  <c r="G84" i="180"/>
  <c r="G85" i="180"/>
  <c r="G86" i="180"/>
  <c r="G88" i="180"/>
  <c r="G89" i="180"/>
  <c r="G90" i="180"/>
  <c r="G91" i="180"/>
  <c r="G92" i="180"/>
  <c r="G93" i="180"/>
  <c r="G94" i="180"/>
  <c r="G96" i="180"/>
  <c r="G103" i="180"/>
  <c r="G104" i="180"/>
  <c r="G108" i="180"/>
  <c r="G109" i="180"/>
  <c r="G112" i="180"/>
  <c r="G113" i="180"/>
  <c r="G117" i="180"/>
  <c r="G120" i="180"/>
  <c r="G121" i="180"/>
  <c r="G122" i="180"/>
  <c r="G126" i="180"/>
  <c r="G128" i="180"/>
  <c r="G129" i="180"/>
  <c r="G130" i="180"/>
  <c r="G131" i="180"/>
  <c r="G132" i="180"/>
  <c r="G133" i="180"/>
  <c r="G134" i="180"/>
  <c r="G135" i="180"/>
  <c r="G138" i="180"/>
  <c r="G139" i="180"/>
  <c r="G140" i="180"/>
  <c r="G141" i="180"/>
  <c r="G142" i="180"/>
  <c r="G143" i="180"/>
  <c r="G144" i="180"/>
  <c r="G145" i="180"/>
  <c r="G146" i="180"/>
  <c r="G147" i="180"/>
  <c r="G148" i="180"/>
  <c r="G149" i="180"/>
  <c r="G150" i="180"/>
  <c r="G151" i="180"/>
  <c r="G152" i="180"/>
  <c r="G153" i="180"/>
  <c r="G154" i="180"/>
  <c r="G155" i="180"/>
  <c r="G156" i="180"/>
  <c r="G157" i="180"/>
  <c r="G158" i="180"/>
  <c r="G159" i="180"/>
  <c r="G160" i="180"/>
  <c r="G161" i="180"/>
  <c r="G162" i="180"/>
  <c r="G167" i="180"/>
  <c r="G168" i="180"/>
  <c r="G169" i="180"/>
  <c r="H50" i="180"/>
  <c r="I50" i="180"/>
  <c r="J50" i="180"/>
  <c r="L50" i="180"/>
  <c r="M50" i="180"/>
  <c r="N50" i="180"/>
  <c r="O50" i="180"/>
  <c r="P50" i="180"/>
  <c r="G50" i="180"/>
  <c r="N45" i="180"/>
  <c r="H45" i="180"/>
  <c r="I45" i="180"/>
  <c r="J45" i="180"/>
  <c r="K45" i="180"/>
  <c r="L45" i="180"/>
  <c r="M45" i="180"/>
  <c r="O45" i="180"/>
  <c r="P45" i="180"/>
  <c r="H44" i="180"/>
  <c r="I44" i="180"/>
  <c r="J44" i="180"/>
  <c r="K44" i="180"/>
  <c r="L44" i="180"/>
  <c r="M44" i="180"/>
  <c r="O44" i="180"/>
  <c r="P44" i="180"/>
  <c r="G44" i="180"/>
  <c r="G45" i="180"/>
  <c r="H42" i="180"/>
  <c r="I42" i="180"/>
  <c r="J42" i="180"/>
  <c r="K42" i="180"/>
  <c r="L42" i="180"/>
  <c r="M42" i="180"/>
  <c r="O42" i="180"/>
  <c r="P42" i="180"/>
  <c r="G42" i="180"/>
  <c r="J33" i="180"/>
  <c r="I33" i="180"/>
  <c r="H33" i="180"/>
  <c r="I28" i="180"/>
  <c r="J23" i="180"/>
  <c r="J20" i="180"/>
  <c r="J16" i="180"/>
  <c r="J15" i="180"/>
  <c r="J10" i="180"/>
  <c r="P9" i="180"/>
  <c r="P10" i="180"/>
  <c r="P12" i="180"/>
  <c r="P13" i="180"/>
  <c r="P14" i="180"/>
  <c r="P15" i="180"/>
  <c r="P16" i="180"/>
  <c r="P18" i="180"/>
  <c r="P20" i="180"/>
  <c r="P22" i="180"/>
  <c r="P23" i="180"/>
  <c r="P24" i="180"/>
  <c r="P26" i="180"/>
  <c r="P28" i="180"/>
  <c r="P30" i="180"/>
  <c r="P32" i="180"/>
  <c r="P33" i="180"/>
  <c r="P37" i="180"/>
  <c r="P39" i="180"/>
  <c r="O9" i="180"/>
  <c r="O10" i="180"/>
  <c r="O12" i="180"/>
  <c r="O13" i="180"/>
  <c r="O14" i="180"/>
  <c r="O15" i="180"/>
  <c r="O16" i="180"/>
  <c r="O18" i="180"/>
  <c r="O20" i="180"/>
  <c r="O22" i="180"/>
  <c r="O23" i="180"/>
  <c r="O24" i="180"/>
  <c r="O26" i="180"/>
  <c r="O28" i="180"/>
  <c r="O30" i="180"/>
  <c r="O32" i="180"/>
  <c r="O33" i="180"/>
  <c r="O37" i="180"/>
  <c r="O39" i="180"/>
  <c r="N9" i="180"/>
  <c r="N10" i="180"/>
  <c r="N12" i="180"/>
  <c r="N13" i="180"/>
  <c r="N14" i="180"/>
  <c r="N15" i="180"/>
  <c r="N16" i="180"/>
  <c r="N18" i="180"/>
  <c r="N20" i="180"/>
  <c r="N22" i="180"/>
  <c r="N23" i="180"/>
  <c r="N24" i="180"/>
  <c r="N26" i="180"/>
  <c r="N28" i="180"/>
  <c r="N30" i="180"/>
  <c r="N32" i="180"/>
  <c r="N33" i="180"/>
  <c r="N37" i="180"/>
  <c r="N39" i="180"/>
  <c r="M9" i="180"/>
  <c r="M10" i="180"/>
  <c r="M12" i="180"/>
  <c r="M13" i="180"/>
  <c r="M14" i="180"/>
  <c r="M15" i="180"/>
  <c r="M16" i="180"/>
  <c r="M18" i="180"/>
  <c r="M20" i="180"/>
  <c r="M22" i="180"/>
  <c r="M23" i="180"/>
  <c r="M24" i="180"/>
  <c r="M26" i="180"/>
  <c r="M28" i="180"/>
  <c r="M30" i="180"/>
  <c r="M32" i="180"/>
  <c r="M33" i="180"/>
  <c r="M37" i="180"/>
  <c r="M39" i="180"/>
  <c r="L9" i="180"/>
  <c r="L10" i="180"/>
  <c r="L12" i="180"/>
  <c r="L13" i="180"/>
  <c r="L14" i="180"/>
  <c r="L15" i="180"/>
  <c r="L16" i="180"/>
  <c r="L18" i="180"/>
  <c r="L20" i="180"/>
  <c r="L22" i="180"/>
  <c r="L23" i="180"/>
  <c r="L24" i="180"/>
  <c r="L26" i="180"/>
  <c r="L28" i="180"/>
  <c r="L30" i="180"/>
  <c r="L32" i="180"/>
  <c r="L33" i="180"/>
  <c r="L37" i="180"/>
  <c r="L39" i="180"/>
  <c r="K9" i="180"/>
  <c r="K10" i="180"/>
  <c r="K12" i="180"/>
  <c r="K13" i="180"/>
  <c r="K14" i="180"/>
  <c r="K15" i="180"/>
  <c r="K16" i="180"/>
  <c r="K18" i="180"/>
  <c r="K20" i="180"/>
  <c r="K22" i="180"/>
  <c r="K23" i="180"/>
  <c r="K24" i="180"/>
  <c r="K26" i="180"/>
  <c r="K28" i="180"/>
  <c r="K30" i="180"/>
  <c r="K32" i="180"/>
  <c r="K33" i="180"/>
  <c r="J28" i="180"/>
  <c r="J32" i="180"/>
  <c r="J37" i="180"/>
  <c r="J39" i="180"/>
  <c r="I9" i="180"/>
  <c r="I10" i="180"/>
  <c r="I12" i="180"/>
  <c r="I13" i="180"/>
  <c r="I14" i="180"/>
  <c r="I15" i="180"/>
  <c r="I16" i="180"/>
  <c r="I18" i="180"/>
  <c r="I20" i="180"/>
  <c r="I22" i="180"/>
  <c r="I23" i="180"/>
  <c r="I26" i="180"/>
  <c r="I30" i="180"/>
  <c r="I39" i="180"/>
  <c r="H9" i="180"/>
  <c r="H10" i="180"/>
  <c r="H12" i="180"/>
  <c r="H13" i="180"/>
  <c r="H14" i="180"/>
  <c r="H15" i="180"/>
  <c r="H16" i="180"/>
  <c r="H18" i="180"/>
  <c r="H20" i="180"/>
  <c r="H22" i="180"/>
  <c r="H23" i="180"/>
  <c r="H24" i="180"/>
  <c r="H26" i="180"/>
  <c r="H28" i="180"/>
  <c r="H30" i="180"/>
  <c r="H32" i="180"/>
  <c r="H39" i="180"/>
  <c r="G9" i="180"/>
  <c r="G10" i="180"/>
  <c r="G12" i="180"/>
  <c r="G13" i="180"/>
  <c r="G14" i="180"/>
  <c r="G15" i="180"/>
  <c r="G16" i="180"/>
  <c r="G18" i="180"/>
  <c r="G20" i="180"/>
  <c r="G22" i="180"/>
  <c r="G23" i="180"/>
  <c r="G24" i="180"/>
  <c r="G26" i="180"/>
  <c r="G28" i="180"/>
  <c r="G30" i="180"/>
  <c r="G32" i="180"/>
  <c r="G33" i="180"/>
  <c r="G39" i="180"/>
  <c r="H7" i="180"/>
  <c r="I7" i="180"/>
  <c r="K7" i="180"/>
  <c r="L7" i="180"/>
  <c r="M7" i="180"/>
  <c r="N7" i="180"/>
  <c r="O7" i="180"/>
  <c r="P7" i="180"/>
  <c r="G7" i="180"/>
  <c r="E173" i="179"/>
  <c r="G166" i="179"/>
  <c r="H153" i="179"/>
  <c r="N153" i="179"/>
  <c r="N154" i="179"/>
  <c r="N159" i="179"/>
  <c r="N165" i="179"/>
  <c r="N166" i="179"/>
  <c r="N167" i="179"/>
  <c r="N168" i="179"/>
  <c r="N171" i="179"/>
  <c r="N173" i="179"/>
  <c r="M153" i="179"/>
  <c r="M154" i="179"/>
  <c r="M159" i="179"/>
  <c r="M165" i="179"/>
  <c r="M166" i="179"/>
  <c r="M167" i="179"/>
  <c r="M168" i="179"/>
  <c r="M171" i="179"/>
  <c r="M173" i="179"/>
  <c r="L153" i="179"/>
  <c r="L154" i="179"/>
  <c r="L157" i="179"/>
  <c r="L159" i="179"/>
  <c r="L165" i="179"/>
  <c r="L166" i="179"/>
  <c r="L167" i="179"/>
  <c r="L168" i="179"/>
  <c r="L171" i="179"/>
  <c r="L173" i="179"/>
  <c r="K153" i="179"/>
  <c r="K154" i="179"/>
  <c r="K157" i="179"/>
  <c r="K159" i="179"/>
  <c r="K165" i="179"/>
  <c r="K166" i="179"/>
  <c r="K167" i="179"/>
  <c r="K168" i="179"/>
  <c r="K171" i="179"/>
  <c r="K173" i="179"/>
  <c r="J153" i="179"/>
  <c r="J154" i="179"/>
  <c r="J157" i="179"/>
  <c r="J159" i="179"/>
  <c r="J165" i="179"/>
  <c r="J166" i="179"/>
  <c r="J167" i="179"/>
  <c r="J168" i="179"/>
  <c r="J171" i="179"/>
  <c r="J173" i="179"/>
  <c r="I153" i="179"/>
  <c r="I154" i="179"/>
  <c r="I157" i="179"/>
  <c r="I159" i="179"/>
  <c r="I165" i="179"/>
  <c r="I166" i="179"/>
  <c r="I167" i="179"/>
  <c r="I168" i="179"/>
  <c r="I171" i="179"/>
  <c r="I173" i="179"/>
  <c r="H157" i="179"/>
  <c r="H159" i="179"/>
  <c r="H165" i="179"/>
  <c r="H166" i="179"/>
  <c r="H167" i="179"/>
  <c r="H168" i="179"/>
  <c r="H171" i="179"/>
  <c r="H173" i="179"/>
  <c r="G153" i="179"/>
  <c r="G154" i="179"/>
  <c r="G157" i="179"/>
  <c r="G159" i="179"/>
  <c r="G171" i="179"/>
  <c r="G173" i="179"/>
  <c r="F153" i="179"/>
  <c r="F154" i="179"/>
  <c r="F157" i="179"/>
  <c r="F159" i="179"/>
  <c r="F165" i="179"/>
  <c r="F166" i="179"/>
  <c r="F167" i="179"/>
  <c r="F168" i="179"/>
  <c r="F171" i="179"/>
  <c r="F173" i="179"/>
  <c r="E153" i="179"/>
  <c r="E154" i="179"/>
  <c r="E157" i="179"/>
  <c r="E165" i="179"/>
  <c r="E166" i="179"/>
  <c r="E167" i="179"/>
  <c r="E168" i="179"/>
  <c r="F151" i="179"/>
  <c r="G151" i="179"/>
  <c r="H151" i="179"/>
  <c r="I151" i="179"/>
  <c r="J151" i="179"/>
  <c r="K151" i="179"/>
  <c r="M151" i="179"/>
  <c r="E151" i="179"/>
  <c r="H146" i="179"/>
  <c r="G145" i="179"/>
  <c r="H144" i="179"/>
  <c r="F147" i="179"/>
  <c r="G147" i="179"/>
  <c r="I147" i="179"/>
  <c r="J147" i="179"/>
  <c r="K147" i="179"/>
  <c r="L147" i="179"/>
  <c r="M147" i="179"/>
  <c r="N147" i="179"/>
  <c r="F146" i="179"/>
  <c r="G146" i="179"/>
  <c r="I146" i="179"/>
  <c r="J146" i="179"/>
  <c r="K146" i="179"/>
  <c r="L146" i="179"/>
  <c r="M146" i="179"/>
  <c r="N146" i="179"/>
  <c r="F145" i="179"/>
  <c r="H145" i="179"/>
  <c r="I145" i="179"/>
  <c r="J145" i="179"/>
  <c r="K145" i="179"/>
  <c r="L145" i="179"/>
  <c r="M145" i="179"/>
  <c r="N145" i="179"/>
  <c r="F144" i="179"/>
  <c r="G144" i="179"/>
  <c r="I144" i="179"/>
  <c r="J144" i="179"/>
  <c r="K144" i="179"/>
  <c r="L144" i="179"/>
  <c r="M144" i="179"/>
  <c r="N144" i="179"/>
  <c r="E144" i="179"/>
  <c r="E145" i="179"/>
  <c r="E146" i="179"/>
  <c r="E147" i="179"/>
  <c r="F143" i="179"/>
  <c r="G143" i="179"/>
  <c r="I143" i="179"/>
  <c r="J143" i="179"/>
  <c r="K143" i="179"/>
  <c r="L143" i="179"/>
  <c r="M143" i="179"/>
  <c r="N143" i="179"/>
  <c r="E143" i="179"/>
  <c r="I178" i="179" l="1"/>
  <c r="E178" i="179"/>
  <c r="K178" i="179"/>
  <c r="G178" i="179"/>
  <c r="L178" i="179"/>
  <c r="N178" i="179"/>
  <c r="M178" i="179"/>
  <c r="J178" i="179"/>
  <c r="H178" i="179"/>
  <c r="F178" i="179"/>
  <c r="Q152" i="180"/>
  <c r="H127" i="179"/>
  <c r="K137" i="179"/>
  <c r="H134" i="179"/>
  <c r="H125" i="179"/>
  <c r="H123" i="179"/>
  <c r="H122" i="179"/>
  <c r="H121" i="179"/>
  <c r="N119" i="179"/>
  <c r="N121" i="179"/>
  <c r="N122" i="179"/>
  <c r="N123" i="179"/>
  <c r="N124" i="179"/>
  <c r="N125" i="179"/>
  <c r="N126" i="179"/>
  <c r="N127" i="179"/>
  <c r="N132" i="179"/>
  <c r="N134" i="179"/>
  <c r="N137" i="179"/>
  <c r="M119" i="179"/>
  <c r="M121" i="179"/>
  <c r="M122" i="179"/>
  <c r="M123" i="179"/>
  <c r="M124" i="179"/>
  <c r="M125" i="179"/>
  <c r="M126" i="179"/>
  <c r="M127" i="179"/>
  <c r="M132" i="179"/>
  <c r="M134" i="179"/>
  <c r="M137" i="179"/>
  <c r="K139" i="179"/>
  <c r="L119" i="179"/>
  <c r="L121" i="179"/>
  <c r="L122" i="179"/>
  <c r="L123" i="179"/>
  <c r="L124" i="179"/>
  <c r="L125" i="179"/>
  <c r="L126" i="179"/>
  <c r="L127" i="179"/>
  <c r="L132" i="179"/>
  <c r="L134" i="179"/>
  <c r="L137" i="179"/>
  <c r="L139" i="179"/>
  <c r="K119" i="179"/>
  <c r="K121" i="179"/>
  <c r="K122" i="179"/>
  <c r="K123" i="179"/>
  <c r="K124" i="179"/>
  <c r="K125" i="179"/>
  <c r="K126" i="179"/>
  <c r="K127" i="179"/>
  <c r="K132" i="179"/>
  <c r="K134" i="179"/>
  <c r="J119" i="179"/>
  <c r="J121" i="179"/>
  <c r="J122" i="179"/>
  <c r="J123" i="179"/>
  <c r="J124" i="179"/>
  <c r="J125" i="179"/>
  <c r="J126" i="179"/>
  <c r="J127" i="179"/>
  <c r="J132" i="179"/>
  <c r="J134" i="179"/>
  <c r="J137" i="179"/>
  <c r="J139" i="179"/>
  <c r="I119" i="179"/>
  <c r="I121" i="179"/>
  <c r="I122" i="179"/>
  <c r="I123" i="179"/>
  <c r="I124" i="179"/>
  <c r="I125" i="179"/>
  <c r="I126" i="179"/>
  <c r="I127" i="179"/>
  <c r="I132" i="179"/>
  <c r="I134" i="179"/>
  <c r="I137" i="179"/>
  <c r="I139" i="179"/>
  <c r="H137" i="179"/>
  <c r="H139" i="179"/>
  <c r="G119" i="179"/>
  <c r="G121" i="179"/>
  <c r="G122" i="179"/>
  <c r="G123" i="179"/>
  <c r="G124" i="179"/>
  <c r="G125" i="179"/>
  <c r="G126" i="179"/>
  <c r="G127" i="179"/>
  <c r="G132" i="179"/>
  <c r="G134" i="179"/>
  <c r="G137" i="179"/>
  <c r="G139" i="179"/>
  <c r="F119" i="179"/>
  <c r="F121" i="179"/>
  <c r="F122" i="179"/>
  <c r="F123" i="179"/>
  <c r="F124" i="179"/>
  <c r="F125" i="179"/>
  <c r="F126" i="179"/>
  <c r="F127" i="179"/>
  <c r="F132" i="179"/>
  <c r="F134" i="179"/>
  <c r="F137" i="179"/>
  <c r="F139" i="179"/>
  <c r="E119" i="179"/>
  <c r="E121" i="179"/>
  <c r="E122" i="179"/>
  <c r="E123" i="179"/>
  <c r="E124" i="179"/>
  <c r="E125" i="179"/>
  <c r="E126" i="179"/>
  <c r="E127" i="179"/>
  <c r="E132" i="179"/>
  <c r="E134" i="179"/>
  <c r="E137" i="179"/>
  <c r="E139" i="179"/>
  <c r="F115" i="179"/>
  <c r="G115" i="179"/>
  <c r="J115" i="179"/>
  <c r="K115" i="179"/>
  <c r="L115" i="179"/>
  <c r="M115" i="179"/>
  <c r="N115" i="179"/>
  <c r="E115" i="179"/>
  <c r="M81" i="179"/>
  <c r="M80" i="179"/>
  <c r="M78" i="179"/>
  <c r="M70" i="179"/>
  <c r="M69" i="179"/>
  <c r="H64" i="179"/>
  <c r="N61" i="179"/>
  <c r="N62" i="179"/>
  <c r="N63" i="179"/>
  <c r="N64" i="179"/>
  <c r="N66" i="179"/>
  <c r="N67" i="179"/>
  <c r="N68" i="179"/>
  <c r="N69" i="179"/>
  <c r="N70" i="179"/>
  <c r="N71" i="179"/>
  <c r="N72" i="179"/>
  <c r="N73" i="179"/>
  <c r="N74" i="179"/>
  <c r="N75" i="179"/>
  <c r="N76" i="179"/>
  <c r="N77" i="179"/>
  <c r="N78" i="179"/>
  <c r="N79" i="179"/>
  <c r="N80" i="179"/>
  <c r="N81" i="179"/>
  <c r="N82" i="179"/>
  <c r="N83" i="179"/>
  <c r="N84" i="179"/>
  <c r="N85" i="179"/>
  <c r="N86" i="179"/>
  <c r="N88" i="179"/>
  <c r="N89" i="179"/>
  <c r="N90" i="179"/>
  <c r="N91" i="179"/>
  <c r="N92" i="179"/>
  <c r="N93" i="179"/>
  <c r="N101" i="179"/>
  <c r="N102" i="179"/>
  <c r="N104" i="179"/>
  <c r="N105" i="179"/>
  <c r="N106" i="179"/>
  <c r="M64" i="179"/>
  <c r="M66" i="179"/>
  <c r="M82" i="179"/>
  <c r="M83" i="179"/>
  <c r="L61" i="179"/>
  <c r="L62" i="179"/>
  <c r="L63" i="179"/>
  <c r="L64" i="179"/>
  <c r="L66" i="179"/>
  <c r="L67" i="179"/>
  <c r="L68" i="179"/>
  <c r="L69" i="179"/>
  <c r="L70" i="179"/>
  <c r="L71" i="179"/>
  <c r="L72" i="179"/>
  <c r="L73" i="179"/>
  <c r="L74" i="179"/>
  <c r="L75" i="179"/>
  <c r="L76" i="179"/>
  <c r="L77" i="179"/>
  <c r="L78" i="179"/>
  <c r="L79" i="179"/>
  <c r="L80" i="179"/>
  <c r="L81" i="179"/>
  <c r="L82" i="179"/>
  <c r="L83" i="179"/>
  <c r="L84" i="179"/>
  <c r="L85" i="179"/>
  <c r="L88" i="179"/>
  <c r="L89" i="179"/>
  <c r="L90" i="179"/>
  <c r="L91" i="179"/>
  <c r="L93" i="179"/>
  <c r="L98" i="179"/>
  <c r="L99" i="179"/>
  <c r="L100" i="179"/>
  <c r="L101" i="179"/>
  <c r="L102" i="179"/>
  <c r="L104" i="179"/>
  <c r="L105" i="179"/>
  <c r="L106" i="179"/>
  <c r="L107" i="179"/>
  <c r="K61" i="179"/>
  <c r="K62" i="179"/>
  <c r="K63" i="179"/>
  <c r="K64" i="179"/>
  <c r="K66" i="179"/>
  <c r="K67" i="179"/>
  <c r="K68" i="179"/>
  <c r="K69" i="179"/>
  <c r="K70" i="179"/>
  <c r="K71" i="179"/>
  <c r="K72" i="179"/>
  <c r="K73" i="179"/>
  <c r="K74" i="179"/>
  <c r="K75" i="179"/>
  <c r="K76" i="179"/>
  <c r="K77" i="179"/>
  <c r="K78" i="179"/>
  <c r="K79" i="179"/>
  <c r="K80" i="179"/>
  <c r="K81" i="179"/>
  <c r="K82" i="179"/>
  <c r="K83" i="179"/>
  <c r="K84" i="179"/>
  <c r="K85" i="179"/>
  <c r="K86" i="179"/>
  <c r="K88" i="179"/>
  <c r="K89" i="179"/>
  <c r="K90" i="179"/>
  <c r="K91" i="179"/>
  <c r="K92" i="179"/>
  <c r="K93" i="179"/>
  <c r="K98" i="179"/>
  <c r="K99" i="179"/>
  <c r="K100" i="179"/>
  <c r="K101" i="179"/>
  <c r="K102" i="179"/>
  <c r="K104" i="179"/>
  <c r="K105" i="179"/>
  <c r="K106" i="179"/>
  <c r="K107" i="179"/>
  <c r="J61" i="179"/>
  <c r="J62" i="179"/>
  <c r="J63" i="179"/>
  <c r="J64" i="179"/>
  <c r="J66" i="179"/>
  <c r="J67" i="179"/>
  <c r="J68" i="179"/>
  <c r="J69" i="179"/>
  <c r="J70" i="179"/>
  <c r="J71" i="179"/>
  <c r="J72" i="179"/>
  <c r="J73" i="179"/>
  <c r="J74" i="179"/>
  <c r="J75" i="179"/>
  <c r="J76" i="179"/>
  <c r="J77" i="179"/>
  <c r="J78" i="179"/>
  <c r="J79" i="179"/>
  <c r="J80" i="179"/>
  <c r="J81" i="179"/>
  <c r="J82" i="179"/>
  <c r="J83" i="179"/>
  <c r="J84" i="179"/>
  <c r="J85" i="179"/>
  <c r="J86" i="179"/>
  <c r="J88" i="179"/>
  <c r="J89" i="179"/>
  <c r="J90" i="179"/>
  <c r="J91" i="179"/>
  <c r="J92" i="179"/>
  <c r="J93" i="179"/>
  <c r="J98" i="179"/>
  <c r="J99" i="179"/>
  <c r="J100" i="179"/>
  <c r="J101" i="179"/>
  <c r="J102" i="179"/>
  <c r="J104" i="179"/>
  <c r="J105" i="179"/>
  <c r="J106" i="179"/>
  <c r="J107" i="179"/>
  <c r="I61" i="179"/>
  <c r="I62" i="179"/>
  <c r="I63" i="179"/>
  <c r="I64" i="179"/>
  <c r="I66" i="179"/>
  <c r="I67" i="179"/>
  <c r="I68" i="179"/>
  <c r="I69" i="179"/>
  <c r="I70" i="179"/>
  <c r="I71" i="179"/>
  <c r="I72" i="179"/>
  <c r="I73" i="179"/>
  <c r="I74" i="179"/>
  <c r="I75" i="179"/>
  <c r="I76" i="179"/>
  <c r="I77" i="179"/>
  <c r="I78" i="179"/>
  <c r="I79" i="179"/>
  <c r="I80" i="179"/>
  <c r="I81" i="179"/>
  <c r="I82" i="179"/>
  <c r="I83" i="179"/>
  <c r="I84" i="179"/>
  <c r="I85" i="179"/>
  <c r="I86" i="179"/>
  <c r="I88" i="179"/>
  <c r="I89" i="179"/>
  <c r="I90" i="179"/>
  <c r="I91" i="179"/>
  <c r="I92" i="179"/>
  <c r="I93" i="179"/>
  <c r="I98" i="179"/>
  <c r="I99" i="179"/>
  <c r="I100" i="179"/>
  <c r="I101" i="179"/>
  <c r="I102" i="179"/>
  <c r="I104" i="179"/>
  <c r="I105" i="179"/>
  <c r="I106" i="179"/>
  <c r="I107" i="179"/>
  <c r="H66" i="179"/>
  <c r="H67" i="179"/>
  <c r="H68" i="179"/>
  <c r="H69" i="179"/>
  <c r="H70" i="179"/>
  <c r="H71" i="179"/>
  <c r="H72" i="179"/>
  <c r="H73" i="179"/>
  <c r="H74" i="179"/>
  <c r="H75" i="179"/>
  <c r="H78" i="179"/>
  <c r="H79" i="179"/>
  <c r="H80" i="179"/>
  <c r="H81" i="179"/>
  <c r="H82" i="179"/>
  <c r="H85" i="179"/>
  <c r="H88" i="179"/>
  <c r="H89" i="179"/>
  <c r="H91" i="179"/>
  <c r="H92" i="179"/>
  <c r="H93" i="179"/>
  <c r="H101" i="179"/>
  <c r="H102" i="179"/>
  <c r="H104" i="179"/>
  <c r="H105" i="179"/>
  <c r="H106" i="179"/>
  <c r="H107" i="179"/>
  <c r="G61" i="179"/>
  <c r="G62" i="179"/>
  <c r="G63" i="179"/>
  <c r="G64" i="179"/>
  <c r="G66" i="179"/>
  <c r="G67" i="179"/>
  <c r="G68" i="179"/>
  <c r="G69" i="179"/>
  <c r="G70" i="179"/>
  <c r="G71" i="179"/>
  <c r="G72" i="179"/>
  <c r="G73" i="179"/>
  <c r="G74" i="179"/>
  <c r="G75" i="179"/>
  <c r="G76" i="179"/>
  <c r="G77" i="179"/>
  <c r="G78" i="179"/>
  <c r="G79" i="179"/>
  <c r="G80" i="179"/>
  <c r="G81" i="179"/>
  <c r="G82" i="179"/>
  <c r="G83" i="179"/>
  <c r="G84" i="179"/>
  <c r="G85" i="179"/>
  <c r="G88" i="179"/>
  <c r="G89" i="179"/>
  <c r="G90" i="179"/>
  <c r="G91" i="179"/>
  <c r="G92" i="179"/>
  <c r="G93" i="179"/>
  <c r="G98" i="179"/>
  <c r="G99" i="179"/>
  <c r="G100" i="179"/>
  <c r="G101" i="179"/>
  <c r="G102" i="179"/>
  <c r="G104" i="179"/>
  <c r="G105" i="179"/>
  <c r="G106" i="179"/>
  <c r="G107" i="179"/>
  <c r="F66" i="179"/>
  <c r="F67" i="179"/>
  <c r="F68" i="179"/>
  <c r="F69" i="179"/>
  <c r="F70" i="179"/>
  <c r="F72" i="179"/>
  <c r="F73" i="179"/>
  <c r="F74" i="179"/>
  <c r="F75" i="179"/>
  <c r="F76" i="179"/>
  <c r="F78" i="179"/>
  <c r="F79" i="179"/>
  <c r="F80" i="179"/>
  <c r="F81" i="179"/>
  <c r="F82" i="179"/>
  <c r="F84" i="179"/>
  <c r="F88" i="179"/>
  <c r="F89" i="179"/>
  <c r="F92" i="179"/>
  <c r="F101" i="179"/>
  <c r="F102" i="179"/>
  <c r="F104" i="179"/>
  <c r="F105" i="179"/>
  <c r="F106" i="179"/>
  <c r="F107" i="179"/>
  <c r="F62" i="179"/>
  <c r="F61" i="179"/>
  <c r="E61" i="179"/>
  <c r="E62" i="179"/>
  <c r="E67" i="179"/>
  <c r="E68" i="179"/>
  <c r="E69" i="179"/>
  <c r="E70" i="179"/>
  <c r="E71" i="179"/>
  <c r="E72" i="179"/>
  <c r="E73" i="179"/>
  <c r="E74" i="179"/>
  <c r="E75" i="179"/>
  <c r="E76" i="179"/>
  <c r="E77" i="179"/>
  <c r="E78" i="179"/>
  <c r="E79" i="179"/>
  <c r="E80" i="179"/>
  <c r="E81" i="179"/>
  <c r="E84" i="179"/>
  <c r="E88" i="179"/>
  <c r="E89" i="179"/>
  <c r="E90" i="179"/>
  <c r="E91" i="179"/>
  <c r="E92" i="179"/>
  <c r="E93" i="179"/>
  <c r="E99" i="179"/>
  <c r="E100" i="179"/>
  <c r="E101" i="179"/>
  <c r="E102" i="179"/>
  <c r="E104" i="179"/>
  <c r="E105" i="179"/>
  <c r="E106" i="179"/>
  <c r="E107" i="179"/>
  <c r="F60" i="179"/>
  <c r="G60" i="179"/>
  <c r="I60" i="179"/>
  <c r="J60" i="179"/>
  <c r="K60" i="179"/>
  <c r="L60" i="179"/>
  <c r="M60" i="179"/>
  <c r="N60" i="179"/>
  <c r="E60" i="179"/>
  <c r="H50" i="179"/>
  <c r="H47" i="179"/>
  <c r="H44" i="179"/>
  <c r="H43" i="179"/>
  <c r="N56" i="179"/>
  <c r="N43" i="179"/>
  <c r="N44" i="179"/>
  <c r="N47" i="179"/>
  <c r="N48" i="179"/>
  <c r="N50" i="179"/>
  <c r="N51" i="179"/>
  <c r="M56" i="179"/>
  <c r="M43" i="179"/>
  <c r="M44" i="179"/>
  <c r="M47" i="179"/>
  <c r="M48" i="179"/>
  <c r="M50" i="179"/>
  <c r="L43" i="179"/>
  <c r="L44" i="179"/>
  <c r="L47" i="179"/>
  <c r="L48" i="179"/>
  <c r="L50" i="179"/>
  <c r="L51" i="179"/>
  <c r="L56" i="179"/>
  <c r="K43" i="179"/>
  <c r="K44" i="179"/>
  <c r="K47" i="179"/>
  <c r="K48" i="179"/>
  <c r="K50" i="179"/>
  <c r="K51" i="179"/>
  <c r="J43" i="179"/>
  <c r="J44" i="179"/>
  <c r="J47" i="179"/>
  <c r="J48" i="179"/>
  <c r="J50" i="179"/>
  <c r="J51" i="179"/>
  <c r="J56" i="179"/>
  <c r="I43" i="179"/>
  <c r="I44" i="179"/>
  <c r="I47" i="179"/>
  <c r="I48" i="179"/>
  <c r="I50" i="179"/>
  <c r="I51" i="179"/>
  <c r="I56" i="179"/>
  <c r="H51" i="179"/>
  <c r="G43" i="179"/>
  <c r="G44" i="179"/>
  <c r="G47" i="179"/>
  <c r="G48" i="179"/>
  <c r="G50" i="179"/>
  <c r="G51" i="179"/>
  <c r="G56" i="179"/>
  <c r="F43" i="179"/>
  <c r="F44" i="179"/>
  <c r="F47" i="179"/>
  <c r="F48" i="179"/>
  <c r="F50" i="179"/>
  <c r="F56" i="179"/>
  <c r="F42" i="179"/>
  <c r="G42" i="179"/>
  <c r="I42" i="179"/>
  <c r="J42" i="179"/>
  <c r="K42" i="179"/>
  <c r="L42" i="179"/>
  <c r="M42" i="179"/>
  <c r="N42" i="179"/>
  <c r="E43" i="179"/>
  <c r="E44" i="179"/>
  <c r="E47" i="179"/>
  <c r="E48" i="179"/>
  <c r="E50" i="179"/>
  <c r="E51" i="179"/>
  <c r="E56" i="179"/>
  <c r="E42" i="179"/>
  <c r="H39" i="179"/>
  <c r="F37" i="179"/>
  <c r="G37" i="179"/>
  <c r="I37" i="179"/>
  <c r="I39" i="179" s="1"/>
  <c r="J37" i="179"/>
  <c r="J39" i="179" s="1"/>
  <c r="K37" i="179"/>
  <c r="K39" i="179" s="1"/>
  <c r="L37" i="179"/>
  <c r="L39" i="179" s="1"/>
  <c r="M37" i="179"/>
  <c r="M39" i="179" s="1"/>
  <c r="N37" i="179"/>
  <c r="N39" i="179" s="1"/>
  <c r="E37" i="179"/>
  <c r="E13" i="179"/>
  <c r="E34" i="179" s="1"/>
  <c r="F13" i="179"/>
  <c r="F34" i="179" s="1"/>
  <c r="G13" i="179"/>
  <c r="G34" i="179" s="1"/>
  <c r="H13" i="179"/>
  <c r="H34" i="179" s="1"/>
  <c r="I13" i="179"/>
  <c r="I34" i="179" s="1"/>
  <c r="J13" i="179"/>
  <c r="J34" i="179" s="1"/>
  <c r="K13" i="179"/>
  <c r="K34" i="179" s="1"/>
  <c r="L13" i="179"/>
  <c r="L34" i="179" s="1"/>
  <c r="M13" i="179"/>
  <c r="M34" i="179" s="1"/>
  <c r="N13" i="179"/>
  <c r="N34" i="179" s="1"/>
  <c r="H7" i="179"/>
  <c r="H10" i="179" s="1"/>
  <c r="F7" i="179"/>
  <c r="F10" i="179" s="1"/>
  <c r="G7" i="179"/>
  <c r="G10" i="179" s="1"/>
  <c r="I7" i="179"/>
  <c r="I10" i="179" s="1"/>
  <c r="J7" i="179"/>
  <c r="J10" i="179" s="1"/>
  <c r="K7" i="179"/>
  <c r="K10" i="179" s="1"/>
  <c r="L7" i="179"/>
  <c r="L10" i="179" s="1"/>
  <c r="M7" i="179"/>
  <c r="M10" i="179" s="1"/>
  <c r="N7" i="179"/>
  <c r="N10" i="179" s="1"/>
  <c r="E7" i="179"/>
  <c r="E10" i="179" s="1"/>
  <c r="J12" i="139"/>
  <c r="K112" i="179" l="1"/>
  <c r="N112" i="179"/>
  <c r="J112" i="179"/>
  <c r="M112" i="179"/>
  <c r="L112" i="179"/>
  <c r="G112" i="179"/>
  <c r="I112" i="179"/>
  <c r="E112" i="179"/>
  <c r="F112" i="179"/>
  <c r="H112" i="179"/>
  <c r="L57" i="179"/>
  <c r="M57" i="179"/>
  <c r="K140" i="179"/>
  <c r="F140" i="179"/>
  <c r="N140" i="179"/>
  <c r="J140" i="179"/>
  <c r="H140" i="179"/>
  <c r="L140" i="179"/>
  <c r="M140" i="179"/>
  <c r="I140" i="179"/>
  <c r="G140" i="179"/>
  <c r="J5" i="139" l="1"/>
  <c r="K3" i="139"/>
  <c r="M4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L4" i="139"/>
  <c r="L5" i="139"/>
  <c r="L6" i="139"/>
  <c r="L7" i="139"/>
  <c r="L8" i="139"/>
  <c r="L9" i="139"/>
  <c r="L10" i="139"/>
  <c r="L11" i="139"/>
  <c r="L12" i="139"/>
  <c r="L13" i="139"/>
  <c r="L14" i="139"/>
  <c r="L15" i="139"/>
  <c r="L16" i="139"/>
  <c r="L17" i="139"/>
  <c r="L18" i="139"/>
  <c r="L19" i="139"/>
  <c r="L20" i="139"/>
  <c r="K4" i="139"/>
  <c r="K6" i="139"/>
  <c r="K7" i="139"/>
  <c r="K9" i="139"/>
  <c r="K10" i="139"/>
  <c r="K12" i="139"/>
  <c r="K14" i="139"/>
  <c r="K17" i="139"/>
  <c r="K18" i="139"/>
  <c r="K19" i="139"/>
  <c r="I6" i="139"/>
  <c r="I12" i="139"/>
  <c r="I13" i="139"/>
  <c r="I14" i="139"/>
  <c r="I17" i="139"/>
  <c r="I18" i="139"/>
  <c r="I19" i="139"/>
  <c r="H4" i="139"/>
  <c r="H5" i="139"/>
  <c r="H6" i="139"/>
  <c r="H8" i="139"/>
  <c r="H9" i="139"/>
  <c r="H10" i="139"/>
  <c r="H11" i="139"/>
  <c r="H12" i="139"/>
  <c r="H13" i="139"/>
  <c r="H14" i="139"/>
  <c r="H15" i="139"/>
  <c r="H16" i="139"/>
  <c r="H17" i="139"/>
  <c r="H18" i="139"/>
  <c r="H19" i="139"/>
  <c r="H20" i="139"/>
  <c r="H3" i="139"/>
  <c r="L3" i="139"/>
  <c r="M3" i="139"/>
  <c r="H12" i="138" l="1"/>
  <c r="N4" i="138"/>
  <c r="N5" i="138"/>
  <c r="N6" i="138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M20" i="138"/>
  <c r="K4" i="138"/>
  <c r="K5" i="138"/>
  <c r="K6" i="138"/>
  <c r="K7" i="138"/>
  <c r="K8" i="138"/>
  <c r="K9" i="138"/>
  <c r="K10" i="138"/>
  <c r="K11" i="138"/>
  <c r="K12" i="138"/>
  <c r="K13" i="138"/>
  <c r="K14" i="138"/>
  <c r="K15" i="138"/>
  <c r="K16" i="138"/>
  <c r="K17" i="138"/>
  <c r="K18" i="138"/>
  <c r="K19" i="138"/>
  <c r="K20" i="138"/>
  <c r="J4" i="138"/>
  <c r="J5" i="138"/>
  <c r="J6" i="138"/>
  <c r="J7" i="138"/>
  <c r="J8" i="138"/>
  <c r="J9" i="138"/>
  <c r="J10" i="138"/>
  <c r="J11" i="138"/>
  <c r="J12" i="138"/>
  <c r="J14" i="138"/>
  <c r="J15" i="138"/>
  <c r="J17" i="138"/>
  <c r="J18" i="138"/>
  <c r="J19" i="138"/>
  <c r="J20" i="138"/>
  <c r="I4" i="138"/>
  <c r="I5" i="138"/>
  <c r="I6" i="138"/>
  <c r="I7" i="138"/>
  <c r="I8" i="138"/>
  <c r="I9" i="138"/>
  <c r="I10" i="138"/>
  <c r="I11" i="138"/>
  <c r="I12" i="138"/>
  <c r="I13" i="138"/>
  <c r="I14" i="138"/>
  <c r="I15" i="138"/>
  <c r="I16" i="138"/>
  <c r="I17" i="138"/>
  <c r="I18" i="138"/>
  <c r="I19" i="138"/>
  <c r="I20" i="138"/>
  <c r="N3" i="138"/>
  <c r="J3" i="138"/>
  <c r="K3" i="138"/>
  <c r="I3" i="138"/>
  <c r="G4" i="138"/>
  <c r="G5" i="138"/>
  <c r="G6" i="138"/>
  <c r="G7" i="138"/>
  <c r="G8" i="138"/>
  <c r="G9" i="138"/>
  <c r="G10" i="138"/>
  <c r="G11" i="138"/>
  <c r="G12" i="138"/>
  <c r="G13" i="138"/>
  <c r="G14" i="138"/>
  <c r="G15" i="138"/>
  <c r="G16" i="138"/>
  <c r="G17" i="138"/>
  <c r="G18" i="138"/>
  <c r="G19" i="138"/>
  <c r="G20" i="138"/>
  <c r="G3" i="138"/>
  <c r="F4" i="138"/>
  <c r="F6" i="138"/>
  <c r="F7" i="138"/>
  <c r="F9" i="138"/>
  <c r="F12" i="138"/>
  <c r="F14" i="138"/>
  <c r="F15" i="138"/>
  <c r="F19" i="138"/>
  <c r="F20" i="138"/>
  <c r="F3" i="138"/>
  <c r="E7" i="138"/>
  <c r="E19" i="138"/>
  <c r="E4" i="138"/>
  <c r="C21" i="139" l="1"/>
  <c r="C21" i="138"/>
  <c r="K21" i="189"/>
  <c r="J21" i="189"/>
  <c r="N770" i="187" s="1"/>
  <c r="I21" i="189"/>
  <c r="M770" i="187" s="1"/>
  <c r="H21" i="189"/>
  <c r="L770" i="187" s="1"/>
  <c r="G21" i="189"/>
  <c r="K770" i="187" s="1"/>
  <c r="F21" i="189"/>
  <c r="J770" i="187" s="1"/>
  <c r="E21" i="189"/>
  <c r="I770" i="187" s="1"/>
  <c r="D21" i="189"/>
  <c r="H770" i="187" s="1"/>
  <c r="C21" i="189"/>
  <c r="G770" i="187" s="1"/>
  <c r="L20" i="189"/>
  <c r="D20" i="139" s="1"/>
  <c r="L19" i="189"/>
  <c r="D19" i="139" s="1"/>
  <c r="L18" i="189"/>
  <c r="D18" i="139" s="1"/>
  <c r="L17" i="189"/>
  <c r="D17" i="139" s="1"/>
  <c r="L16" i="189"/>
  <c r="D16" i="139" s="1"/>
  <c r="L15" i="189"/>
  <c r="D15" i="139" s="1"/>
  <c r="L14" i="189"/>
  <c r="D14" i="139" s="1"/>
  <c r="L13" i="189"/>
  <c r="D13" i="139" s="1"/>
  <c r="L12" i="189"/>
  <c r="D12" i="139" s="1"/>
  <c r="L11" i="189"/>
  <c r="D11" i="139" s="1"/>
  <c r="L10" i="189"/>
  <c r="D10" i="139" s="1"/>
  <c r="L9" i="189"/>
  <c r="D9" i="139" s="1"/>
  <c r="L8" i="189"/>
  <c r="D8" i="139" s="1"/>
  <c r="L7" i="189"/>
  <c r="D7" i="139" s="1"/>
  <c r="L6" i="189"/>
  <c r="D6" i="139" s="1"/>
  <c r="L5" i="189"/>
  <c r="D5" i="139" s="1"/>
  <c r="L4" i="189"/>
  <c r="D4" i="139" s="1"/>
  <c r="L3" i="189"/>
  <c r="D3" i="139" s="1"/>
  <c r="L21" i="188"/>
  <c r="K21" i="188"/>
  <c r="J21" i="188"/>
  <c r="M189" i="186" s="1"/>
  <c r="I21" i="188"/>
  <c r="K189" i="186" s="1"/>
  <c r="H21" i="188"/>
  <c r="J189" i="186" s="1"/>
  <c r="G21" i="188"/>
  <c r="I189" i="186" s="1"/>
  <c r="F21" i="188"/>
  <c r="H189" i="186" s="1"/>
  <c r="E21" i="188"/>
  <c r="G189" i="186" s="1"/>
  <c r="D21" i="188"/>
  <c r="F189" i="186" s="1"/>
  <c r="C21" i="188"/>
  <c r="E189" i="186" s="1"/>
  <c r="M20" i="188"/>
  <c r="D20" i="138" s="1"/>
  <c r="M19" i="188"/>
  <c r="D19" i="138" s="1"/>
  <c r="M18" i="188"/>
  <c r="D18" i="138" s="1"/>
  <c r="M17" i="188"/>
  <c r="D17" i="138" s="1"/>
  <c r="M16" i="188"/>
  <c r="D16" i="138" s="1"/>
  <c r="M15" i="188"/>
  <c r="D15" i="138" s="1"/>
  <c r="M14" i="188"/>
  <c r="D14" i="138" s="1"/>
  <c r="M13" i="188"/>
  <c r="D13" i="138" s="1"/>
  <c r="M12" i="188"/>
  <c r="D12" i="138" s="1"/>
  <c r="M11" i="188"/>
  <c r="D11" i="138" s="1"/>
  <c r="M10" i="188"/>
  <c r="D10" i="138" s="1"/>
  <c r="M9" i="188"/>
  <c r="D9" i="138" s="1"/>
  <c r="M8" i="188"/>
  <c r="D8" i="138" s="1"/>
  <c r="M7" i="188"/>
  <c r="D7" i="138" s="1"/>
  <c r="M6" i="188"/>
  <c r="D6" i="138" s="1"/>
  <c r="M5" i="188"/>
  <c r="D5" i="138" s="1"/>
  <c r="M4" i="188"/>
  <c r="D4" i="138" s="1"/>
  <c r="M3" i="188"/>
  <c r="D3" i="138" s="1"/>
  <c r="P768" i="187"/>
  <c r="O768" i="187"/>
  <c r="N768" i="187"/>
  <c r="M768" i="187"/>
  <c r="L768" i="187"/>
  <c r="K768" i="187"/>
  <c r="J768" i="187"/>
  <c r="I768" i="187"/>
  <c r="H768" i="187"/>
  <c r="G768" i="187"/>
  <c r="Q767" i="187"/>
  <c r="Q766" i="187"/>
  <c r="Q764" i="187"/>
  <c r="Q757" i="187"/>
  <c r="Q756" i="187"/>
  <c r="Q755" i="187"/>
  <c r="Q754" i="187"/>
  <c r="Q753" i="187"/>
  <c r="Q752" i="187"/>
  <c r="Q750" i="187"/>
  <c r="Q747" i="187"/>
  <c r="Q746" i="187"/>
  <c r="Q741" i="187"/>
  <c r="Q740" i="187"/>
  <c r="P748" i="187"/>
  <c r="O748" i="187"/>
  <c r="N748" i="187"/>
  <c r="M748" i="187"/>
  <c r="L748" i="187"/>
  <c r="K748" i="187"/>
  <c r="J748" i="187"/>
  <c r="I748" i="187"/>
  <c r="H748" i="187"/>
  <c r="G748" i="187"/>
  <c r="Q736" i="187"/>
  <c r="Q735" i="187"/>
  <c r="Q734" i="187"/>
  <c r="Q733" i="187"/>
  <c r="Q732" i="187"/>
  <c r="Q730" i="187"/>
  <c r="Q726" i="187"/>
  <c r="Q725" i="187"/>
  <c r="Q723" i="187"/>
  <c r="Q722" i="187"/>
  <c r="Q720" i="187"/>
  <c r="Q719" i="187"/>
  <c r="Q717" i="187"/>
  <c r="Q716" i="187"/>
  <c r="Q714" i="187"/>
  <c r="Q713" i="187"/>
  <c r="Q712" i="187"/>
  <c r="Q711" i="187"/>
  <c r="Q710" i="187"/>
  <c r="Q709" i="187"/>
  <c r="Q708" i="187"/>
  <c r="Q706" i="187"/>
  <c r="Q705" i="187"/>
  <c r="P699" i="187"/>
  <c r="P702" i="187" s="1"/>
  <c r="O699" i="187"/>
  <c r="O702" i="187" s="1"/>
  <c r="N699" i="187"/>
  <c r="N702" i="187" s="1"/>
  <c r="M699" i="187"/>
  <c r="M702" i="187" s="1"/>
  <c r="L699" i="187"/>
  <c r="L702" i="187" s="1"/>
  <c r="K699" i="187"/>
  <c r="K702" i="187" s="1"/>
  <c r="J699" i="187"/>
  <c r="J702" i="187" s="1"/>
  <c r="I699" i="187"/>
  <c r="I702" i="187" s="1"/>
  <c r="H699" i="187"/>
  <c r="H702" i="187" s="1"/>
  <c r="G699" i="187"/>
  <c r="G702" i="187" s="1"/>
  <c r="Q698" i="187"/>
  <c r="Q696" i="187"/>
  <c r="Q694" i="187"/>
  <c r="Q693" i="187"/>
  <c r="Q691" i="187"/>
  <c r="Q689" i="187"/>
  <c r="Q687" i="187"/>
  <c r="Q685" i="187"/>
  <c r="Q684" i="187"/>
  <c r="Q682" i="187"/>
  <c r="Q679" i="187"/>
  <c r="Q678" i="187"/>
  <c r="Q677" i="187"/>
  <c r="Q676" i="187"/>
  <c r="Q673" i="187"/>
  <c r="Q672" i="187"/>
  <c r="Q671" i="187"/>
  <c r="Q667" i="187"/>
  <c r="Q665" i="187"/>
  <c r="P663" i="187"/>
  <c r="P668" i="187" s="1"/>
  <c r="O663" i="187"/>
  <c r="O668" i="187" s="1"/>
  <c r="N663" i="187"/>
  <c r="N668" i="187" s="1"/>
  <c r="M663" i="187"/>
  <c r="M668" i="187" s="1"/>
  <c r="L663" i="187"/>
  <c r="L668" i="187" s="1"/>
  <c r="K663" i="187"/>
  <c r="K668" i="187" s="1"/>
  <c r="J663" i="187"/>
  <c r="J668" i="187" s="1"/>
  <c r="I663" i="187"/>
  <c r="I668" i="187" s="1"/>
  <c r="H663" i="187"/>
  <c r="H668" i="187" s="1"/>
  <c r="G663" i="187"/>
  <c r="G668" i="187" s="1"/>
  <c r="Q662" i="187"/>
  <c r="Q661" i="187"/>
  <c r="Q660" i="187"/>
  <c r="Q658" i="187"/>
  <c r="Q657" i="187"/>
  <c r="Q656" i="187"/>
  <c r="Q654" i="187"/>
  <c r="Q653" i="187"/>
  <c r="Q651" i="187"/>
  <c r="Q650" i="187"/>
  <c r="Q649" i="187"/>
  <c r="Q645" i="187"/>
  <c r="Q644" i="187"/>
  <c r="Q643" i="187"/>
  <c r="Q641" i="187"/>
  <c r="Q640" i="187"/>
  <c r="Q639" i="187"/>
  <c r="P637" i="187"/>
  <c r="P646" i="187" s="1"/>
  <c r="O637" i="187"/>
  <c r="O646" i="187" s="1"/>
  <c r="N637" i="187"/>
  <c r="N646" i="187" s="1"/>
  <c r="M637" i="187"/>
  <c r="M646" i="187" s="1"/>
  <c r="L637" i="187"/>
  <c r="L646" i="187" s="1"/>
  <c r="K637" i="187"/>
  <c r="K646" i="187" s="1"/>
  <c r="J637" i="187"/>
  <c r="J646" i="187" s="1"/>
  <c r="I637" i="187"/>
  <c r="I646" i="187" s="1"/>
  <c r="H637" i="187"/>
  <c r="H646" i="187" s="1"/>
  <c r="G637" i="187"/>
  <c r="G646" i="187" s="1"/>
  <c r="Q636" i="187"/>
  <c r="Q633" i="187"/>
  <c r="Q632" i="187"/>
  <c r="Q631" i="187"/>
  <c r="Q630" i="187"/>
  <c r="Q629" i="187"/>
  <c r="Q628" i="187"/>
  <c r="Q627" i="187"/>
  <c r="Q626" i="187"/>
  <c r="Q622" i="187"/>
  <c r="Q621" i="187"/>
  <c r="Q620" i="187"/>
  <c r="Q617" i="187"/>
  <c r="Q616" i="187"/>
  <c r="Q612" i="187"/>
  <c r="Q611" i="187"/>
  <c r="Q610" i="187"/>
  <c r="Q609" i="187"/>
  <c r="Q603" i="187"/>
  <c r="Q602" i="187"/>
  <c r="Q601" i="187"/>
  <c r="Q600" i="187"/>
  <c r="Q599" i="187"/>
  <c r="Q596" i="187"/>
  <c r="Q595" i="187"/>
  <c r="Q594" i="187"/>
  <c r="Q593" i="187"/>
  <c r="Q592" i="187"/>
  <c r="Q591" i="187"/>
  <c r="Q590" i="187"/>
  <c r="Q589" i="187"/>
  <c r="Q588" i="187"/>
  <c r="Q587" i="187"/>
  <c r="Q586" i="187"/>
  <c r="Q585" i="187"/>
  <c r="Q584" i="187"/>
  <c r="Q583" i="187"/>
  <c r="Q582" i="187"/>
  <c r="Q581" i="187"/>
  <c r="Q580" i="187"/>
  <c r="Q579" i="187"/>
  <c r="Q578" i="187"/>
  <c r="Q577" i="187"/>
  <c r="Q576" i="187"/>
  <c r="Q575" i="187"/>
  <c r="Q574" i="187"/>
  <c r="Q573" i="187"/>
  <c r="Q572" i="187"/>
  <c r="Q571" i="187"/>
  <c r="Q570" i="187"/>
  <c r="Q564" i="187"/>
  <c r="Q563" i="187"/>
  <c r="Q562" i="187"/>
  <c r="Q561" i="187"/>
  <c r="Q560" i="187"/>
  <c r="Q558" i="187"/>
  <c r="Q557" i="187"/>
  <c r="Q551" i="187"/>
  <c r="Q550" i="187"/>
  <c r="Q549" i="187"/>
  <c r="Q548" i="187"/>
  <c r="Q547" i="187"/>
  <c r="Q544" i="187"/>
  <c r="Q540" i="187"/>
  <c r="Q539" i="187"/>
  <c r="Q535" i="187"/>
  <c r="Q534" i="187"/>
  <c r="Q532" i="187"/>
  <c r="Q530" i="187"/>
  <c r="Q529" i="187"/>
  <c r="Q528" i="187"/>
  <c r="Q527" i="187"/>
  <c r="Q526" i="187"/>
  <c r="Q522" i="187"/>
  <c r="Q521" i="187"/>
  <c r="Q520" i="187"/>
  <c r="Q519" i="187"/>
  <c r="Q518" i="187"/>
  <c r="Q517" i="187"/>
  <c r="Q516" i="187"/>
  <c r="Q515" i="187"/>
  <c r="Q514" i="187"/>
  <c r="Q513" i="187"/>
  <c r="Q512" i="187"/>
  <c r="Q511" i="187"/>
  <c r="Q510" i="187"/>
  <c r="Q506" i="187"/>
  <c r="Q503" i="187"/>
  <c r="Q500" i="187"/>
  <c r="Q498" i="187"/>
  <c r="Q497" i="187"/>
  <c r="Q495" i="187"/>
  <c r="Q494" i="187"/>
  <c r="P491" i="187"/>
  <c r="P623" i="187" s="1"/>
  <c r="O491" i="187"/>
  <c r="O623" i="187" s="1"/>
  <c r="N491" i="187"/>
  <c r="N623" i="187" s="1"/>
  <c r="M491" i="187"/>
  <c r="M623" i="187" s="1"/>
  <c r="L491" i="187"/>
  <c r="L623" i="187" s="1"/>
  <c r="K491" i="187"/>
  <c r="K623" i="187" s="1"/>
  <c r="J491" i="187"/>
  <c r="J623" i="187" s="1"/>
  <c r="I491" i="187"/>
  <c r="I623" i="187" s="1"/>
  <c r="H491" i="187"/>
  <c r="H623" i="187" s="1"/>
  <c r="G491" i="187"/>
  <c r="G623" i="187" s="1"/>
  <c r="Q490" i="187"/>
  <c r="Q488" i="187"/>
  <c r="Q485" i="187"/>
  <c r="Q484" i="187"/>
  <c r="Q483" i="187"/>
  <c r="Q482" i="187"/>
  <c r="Q478" i="187"/>
  <c r="Q477" i="187"/>
  <c r="Q470" i="187"/>
  <c r="Q469" i="187"/>
  <c r="Q467" i="187"/>
  <c r="Q463" i="187"/>
  <c r="Q459" i="187"/>
  <c r="Q458" i="187"/>
  <c r="Q457" i="187"/>
  <c r="Q456" i="187"/>
  <c r="Q455" i="187"/>
  <c r="Q454" i="187"/>
  <c r="Q453" i="187"/>
  <c r="Q452" i="187"/>
  <c r="Q451" i="187"/>
  <c r="Q450" i="187"/>
  <c r="Q449" i="187"/>
  <c r="Q448" i="187"/>
  <c r="Q437" i="187"/>
  <c r="Q436" i="187"/>
  <c r="Q435" i="187"/>
  <c r="Q434" i="187"/>
  <c r="Q433" i="187"/>
  <c r="Q432" i="187"/>
  <c r="Q431" i="187"/>
  <c r="Q430" i="187"/>
  <c r="Q416" i="187"/>
  <c r="Q415" i="187"/>
  <c r="Q414" i="187"/>
  <c r="Q413" i="187"/>
  <c r="Q412" i="187"/>
  <c r="Q411" i="187"/>
  <c r="Q410" i="187"/>
  <c r="Q409" i="187"/>
  <c r="Q408" i="187"/>
  <c r="Q407" i="187"/>
  <c r="Q406" i="187"/>
  <c r="Q405" i="187"/>
  <c r="Q404" i="187"/>
  <c r="Q403" i="187"/>
  <c r="Q402" i="187"/>
  <c r="Q401" i="187"/>
  <c r="Q400" i="187"/>
  <c r="Q399" i="187"/>
  <c r="Q398" i="187"/>
  <c r="Q397" i="187"/>
  <c r="Q396" i="187"/>
  <c r="Q395" i="187"/>
  <c r="Q394" i="187"/>
  <c r="Q393" i="187"/>
  <c r="Q392" i="187"/>
  <c r="Q391" i="187"/>
  <c r="Q390" i="187"/>
  <c r="Q389" i="187"/>
  <c r="Q388" i="187"/>
  <c r="Q387" i="187"/>
  <c r="Q386" i="187"/>
  <c r="Q385" i="187"/>
  <c r="Q384" i="187"/>
  <c r="Q383" i="187"/>
  <c r="Q382" i="187"/>
  <c r="Q381" i="187"/>
  <c r="Q380" i="187"/>
  <c r="Q379" i="187"/>
  <c r="Q378" i="187"/>
  <c r="Q377" i="187"/>
  <c r="Q376" i="187"/>
  <c r="Q375" i="187"/>
  <c r="Q374" i="187"/>
  <c r="Q373" i="187"/>
  <c r="Q372" i="187"/>
  <c r="Q371" i="187"/>
  <c r="Q370" i="187"/>
  <c r="Q369" i="187"/>
  <c r="Q368" i="187"/>
  <c r="Q367" i="187"/>
  <c r="Q365" i="187"/>
  <c r="Q362" i="187"/>
  <c r="Q361" i="187"/>
  <c r="Q360" i="187"/>
  <c r="Q359" i="187"/>
  <c r="Q355" i="187"/>
  <c r="Q354" i="187"/>
  <c r="Q353" i="187"/>
  <c r="Q350" i="187"/>
  <c r="Q349" i="187"/>
  <c r="Q348" i="187"/>
  <c r="Q347" i="187"/>
  <c r="P344" i="187"/>
  <c r="P479" i="187" s="1"/>
  <c r="O344" i="187"/>
  <c r="O479" i="187" s="1"/>
  <c r="N344" i="187"/>
  <c r="N479" i="187" s="1"/>
  <c r="M344" i="187"/>
  <c r="M479" i="187" s="1"/>
  <c r="L344" i="187"/>
  <c r="L479" i="187" s="1"/>
  <c r="K344" i="187"/>
  <c r="K479" i="187" s="1"/>
  <c r="J344" i="187"/>
  <c r="J479" i="187" s="1"/>
  <c r="I344" i="187"/>
  <c r="I479" i="187" s="1"/>
  <c r="H344" i="187"/>
  <c r="H479" i="187" s="1"/>
  <c r="G344" i="187"/>
  <c r="G479" i="187" s="1"/>
  <c r="Q343" i="187"/>
  <c r="Q341" i="187"/>
  <c r="Q339" i="187"/>
  <c r="Q337" i="187"/>
  <c r="Q336" i="187"/>
  <c r="Q335" i="187"/>
  <c r="Q334" i="187"/>
  <c r="Q333" i="187"/>
  <c r="Q332" i="187"/>
  <c r="Q331" i="187"/>
  <c r="Q329" i="187"/>
  <c r="Q328" i="187"/>
  <c r="Q327" i="187"/>
  <c r="Q324" i="187"/>
  <c r="Q323" i="187"/>
  <c r="Q322" i="187"/>
  <c r="Q321" i="187"/>
  <c r="Q319" i="187"/>
  <c r="Q317" i="187"/>
  <c r="Q316" i="187"/>
  <c r="Q315" i="187"/>
  <c r="Q314" i="187"/>
  <c r="Q313" i="187"/>
  <c r="Q312" i="187"/>
  <c r="Q311" i="187"/>
  <c r="Q310" i="187"/>
  <c r="Q309" i="187"/>
  <c r="Q308" i="187"/>
  <c r="Q307" i="187"/>
  <c r="Q306" i="187"/>
  <c r="Q304" i="187"/>
  <c r="Q301" i="187"/>
  <c r="Q300" i="187"/>
  <c r="Q299" i="187"/>
  <c r="Q298" i="187"/>
  <c r="Q296" i="187"/>
  <c r="Q294" i="187"/>
  <c r="Q293" i="187"/>
  <c r="Q292" i="187"/>
  <c r="Q291" i="187"/>
  <c r="Q290" i="187"/>
  <c r="Q289" i="187"/>
  <c r="Q288" i="187"/>
  <c r="Q287" i="187"/>
  <c r="Q286" i="187"/>
  <c r="Q285" i="187"/>
  <c r="Q284" i="187"/>
  <c r="Q283" i="187"/>
  <c r="Q282" i="187"/>
  <c r="Q281" i="187"/>
  <c r="Q280" i="187"/>
  <c r="Q279" i="187"/>
  <c r="Q277" i="187"/>
  <c r="Q276" i="187"/>
  <c r="Q275" i="187"/>
  <c r="Q273" i="187"/>
  <c r="Q271" i="187"/>
  <c r="Q270" i="187"/>
  <c r="Q269" i="187"/>
  <c r="Q268" i="187"/>
  <c r="Q267" i="187"/>
  <c r="Q266" i="187"/>
  <c r="Q265" i="187"/>
  <c r="Q264" i="187"/>
  <c r="Q263" i="187"/>
  <c r="Q262" i="187"/>
  <c r="Q261" i="187"/>
  <c r="Q260" i="187"/>
  <c r="Q258" i="187"/>
  <c r="Q257" i="187"/>
  <c r="Q255" i="187"/>
  <c r="Q254" i="187"/>
  <c r="Q253" i="187"/>
  <c r="Q252" i="187"/>
  <c r="Q251" i="187"/>
  <c r="Q250" i="187"/>
  <c r="Q249" i="187"/>
  <c r="Q248" i="187"/>
  <c r="Q247" i="187"/>
  <c r="Q246" i="187"/>
  <c r="Q245" i="187"/>
  <c r="Q244" i="187"/>
  <c r="Q243" i="187"/>
  <c r="Q242" i="187"/>
  <c r="Q241" i="187"/>
  <c r="Q240" i="187"/>
  <c r="Q239" i="187"/>
  <c r="Q238" i="187"/>
  <c r="Q237" i="187"/>
  <c r="Q236" i="187"/>
  <c r="Q235" i="187"/>
  <c r="Q234" i="187"/>
  <c r="Q233" i="187"/>
  <c r="Q232" i="187"/>
  <c r="Q228" i="187"/>
  <c r="Q227" i="187"/>
  <c r="P224" i="187"/>
  <c r="P229" i="187" s="1"/>
  <c r="O224" i="187"/>
  <c r="O229" i="187" s="1"/>
  <c r="N224" i="187"/>
  <c r="N229" i="187" s="1"/>
  <c r="M224" i="187"/>
  <c r="M229" i="187" s="1"/>
  <c r="L224" i="187"/>
  <c r="L229" i="187" s="1"/>
  <c r="K224" i="187"/>
  <c r="K229" i="187" s="1"/>
  <c r="J224" i="187"/>
  <c r="J229" i="187" s="1"/>
  <c r="I224" i="187"/>
  <c r="I229" i="187" s="1"/>
  <c r="H224" i="187"/>
  <c r="H229" i="187" s="1"/>
  <c r="G224" i="187"/>
  <c r="G229" i="187" s="1"/>
  <c r="Q223" i="187"/>
  <c r="Q222" i="187"/>
  <c r="Q221" i="187"/>
  <c r="Q220" i="187"/>
  <c r="Q216" i="187"/>
  <c r="Q215" i="187"/>
  <c r="Q214" i="187"/>
  <c r="Q213" i="187"/>
  <c r="Q206" i="187"/>
  <c r="Q203" i="187"/>
  <c r="Q194" i="187"/>
  <c r="Q193" i="187"/>
  <c r="Q192" i="187"/>
  <c r="Q189" i="187"/>
  <c r="Q188" i="187"/>
  <c r="Q187" i="187"/>
  <c r="Q186" i="187"/>
  <c r="Q185" i="187"/>
  <c r="Q184" i="187"/>
  <c r="Q182" i="187"/>
  <c r="Q181" i="187"/>
  <c r="Q180" i="187"/>
  <c r="Q179" i="187"/>
  <c r="Q178" i="187"/>
  <c r="Q177" i="187"/>
  <c r="Q176" i="187"/>
  <c r="Q175" i="187"/>
  <c r="Q174" i="187"/>
  <c r="P170" i="187"/>
  <c r="P217" i="187" s="1"/>
  <c r="O170" i="187"/>
  <c r="O217" i="187" s="1"/>
  <c r="N170" i="187"/>
  <c r="N217" i="187" s="1"/>
  <c r="M170" i="187"/>
  <c r="M217" i="187" s="1"/>
  <c r="L170" i="187"/>
  <c r="L217" i="187" s="1"/>
  <c r="K170" i="187"/>
  <c r="K217" i="187" s="1"/>
  <c r="J170" i="187"/>
  <c r="J217" i="187" s="1"/>
  <c r="I170" i="187"/>
  <c r="I217" i="187" s="1"/>
  <c r="H170" i="187"/>
  <c r="H217" i="187" s="1"/>
  <c r="G170" i="187"/>
  <c r="G217" i="187" s="1"/>
  <c r="Q169" i="187"/>
  <c r="Q168" i="187"/>
  <c r="Q167" i="187"/>
  <c r="Q165" i="187"/>
  <c r="Q162" i="187"/>
  <c r="Q161" i="187"/>
  <c r="Q160" i="187"/>
  <c r="Q159" i="187"/>
  <c r="Q158" i="187"/>
  <c r="Q157" i="187"/>
  <c r="Q156" i="187"/>
  <c r="Q155" i="187"/>
  <c r="Q154" i="187"/>
  <c r="Q153" i="187"/>
  <c r="Q151" i="187"/>
  <c r="Q150" i="187"/>
  <c r="Q149" i="187"/>
  <c r="Q148" i="187"/>
  <c r="Q147" i="187"/>
  <c r="Q146" i="187"/>
  <c r="Q145" i="187"/>
  <c r="Q144" i="187"/>
  <c r="Q143" i="187"/>
  <c r="Q142" i="187"/>
  <c r="Q141" i="187"/>
  <c r="Q140" i="187"/>
  <c r="Q139" i="187"/>
  <c r="Q138" i="187"/>
  <c r="Q136" i="187"/>
  <c r="Q135" i="187"/>
  <c r="Q134" i="187"/>
  <c r="Q133" i="187"/>
  <c r="Q132" i="187"/>
  <c r="Q131" i="187"/>
  <c r="Q130" i="187"/>
  <c r="Q129" i="187"/>
  <c r="Q128" i="187"/>
  <c r="Q126" i="187"/>
  <c r="Q125" i="187"/>
  <c r="Q124" i="187"/>
  <c r="Q122" i="187"/>
  <c r="Q121" i="187"/>
  <c r="Q120" i="187"/>
  <c r="Q117" i="187"/>
  <c r="Q113" i="187"/>
  <c r="Q112" i="187"/>
  <c r="Q111" i="187"/>
  <c r="Q109" i="187"/>
  <c r="Q108" i="187"/>
  <c r="Q106" i="187"/>
  <c r="Q104" i="187"/>
  <c r="Q103" i="187"/>
  <c r="Q96" i="187"/>
  <c r="Q94" i="187"/>
  <c r="Q93" i="187"/>
  <c r="Q92" i="187"/>
  <c r="Q91" i="187"/>
  <c r="Q90" i="187"/>
  <c r="Q89" i="187"/>
  <c r="Q88" i="187"/>
  <c r="Q86" i="187"/>
  <c r="Q85" i="187"/>
  <c r="Q84" i="187"/>
  <c r="Q83" i="187"/>
  <c r="Q82" i="187"/>
  <c r="Q81" i="187"/>
  <c r="Q80" i="187"/>
  <c r="Q79" i="187"/>
  <c r="Q78" i="187"/>
  <c r="Q77" i="187"/>
  <c r="Q76" i="187"/>
  <c r="Q75" i="187"/>
  <c r="Q74" i="187"/>
  <c r="Q73" i="187"/>
  <c r="Q72" i="187"/>
  <c r="Q71" i="187"/>
  <c r="Q70" i="187"/>
  <c r="Q68" i="187"/>
  <c r="Q66" i="187"/>
  <c r="Q64" i="187"/>
  <c r="Q63" i="187"/>
  <c r="Q62" i="187"/>
  <c r="Q61" i="187"/>
  <c r="Q60" i="187"/>
  <c r="Q59" i="187"/>
  <c r="Q55" i="187"/>
  <c r="Q54" i="187"/>
  <c r="Q52" i="187"/>
  <c r="Q51" i="187"/>
  <c r="Q50" i="187"/>
  <c r="Q45" i="187"/>
  <c r="Q44" i="187"/>
  <c r="Q42" i="187"/>
  <c r="P40" i="187"/>
  <c r="P46" i="187" s="1"/>
  <c r="O40" i="187"/>
  <c r="O46" i="187" s="1"/>
  <c r="N40" i="187"/>
  <c r="N46" i="187" s="1"/>
  <c r="M40" i="187"/>
  <c r="M46" i="187" s="1"/>
  <c r="L40" i="187"/>
  <c r="L46" i="187" s="1"/>
  <c r="K40" i="187"/>
  <c r="K46" i="187" s="1"/>
  <c r="J40" i="187"/>
  <c r="J46" i="187" s="1"/>
  <c r="I40" i="187"/>
  <c r="I46" i="187" s="1"/>
  <c r="H40" i="187"/>
  <c r="H46" i="187" s="1"/>
  <c r="G40" i="187"/>
  <c r="G46" i="187" s="1"/>
  <c r="Q39" i="187"/>
  <c r="Q37" i="187"/>
  <c r="Q33" i="187"/>
  <c r="Q28" i="187"/>
  <c r="Q26" i="187"/>
  <c r="Q24" i="187"/>
  <c r="Q23" i="187"/>
  <c r="Q22" i="187"/>
  <c r="Q20" i="187"/>
  <c r="Q18" i="187"/>
  <c r="Q16" i="187"/>
  <c r="Q15" i="187"/>
  <c r="Q14" i="187"/>
  <c r="Q13" i="187"/>
  <c r="Q12" i="187"/>
  <c r="Q10" i="187"/>
  <c r="Q9" i="187"/>
  <c r="Q7" i="187"/>
  <c r="O173" i="186"/>
  <c r="O171" i="186"/>
  <c r="O168" i="186"/>
  <c r="O167" i="186"/>
  <c r="O166" i="186"/>
  <c r="O165" i="186"/>
  <c r="O159" i="186"/>
  <c r="O157" i="186"/>
  <c r="O154" i="186"/>
  <c r="O153" i="186"/>
  <c r="O151" i="186"/>
  <c r="N148" i="186"/>
  <c r="M148" i="186"/>
  <c r="L148" i="186"/>
  <c r="K148" i="186"/>
  <c r="J148" i="186"/>
  <c r="I148" i="186"/>
  <c r="H148" i="186"/>
  <c r="G148" i="186"/>
  <c r="F148" i="186"/>
  <c r="E148" i="186"/>
  <c r="O147" i="186"/>
  <c r="O146" i="186"/>
  <c r="O145" i="186"/>
  <c r="O144" i="186"/>
  <c r="O143" i="186"/>
  <c r="N140" i="186"/>
  <c r="M140" i="186"/>
  <c r="L140" i="186"/>
  <c r="K140" i="186"/>
  <c r="J140" i="186"/>
  <c r="I140" i="186"/>
  <c r="H140" i="186"/>
  <c r="G140" i="186"/>
  <c r="F140" i="186"/>
  <c r="E140" i="186"/>
  <c r="O139" i="186"/>
  <c r="O137" i="186"/>
  <c r="O134" i="186"/>
  <c r="O132" i="186"/>
  <c r="O127" i="186"/>
  <c r="O126" i="186"/>
  <c r="O125" i="186"/>
  <c r="O124" i="186"/>
  <c r="O123" i="186"/>
  <c r="O122" i="186"/>
  <c r="O121" i="186"/>
  <c r="O119" i="186"/>
  <c r="O115" i="186"/>
  <c r="O107" i="186"/>
  <c r="O106" i="186"/>
  <c r="O105" i="186"/>
  <c r="O104" i="186"/>
  <c r="O102" i="186"/>
  <c r="O101" i="186"/>
  <c r="O100" i="186"/>
  <c r="O99" i="186"/>
  <c r="O98" i="186"/>
  <c r="O93" i="186"/>
  <c r="O92" i="186"/>
  <c r="O91" i="186"/>
  <c r="O90" i="186"/>
  <c r="O89" i="186"/>
  <c r="O88" i="186"/>
  <c r="O87" i="186"/>
  <c r="O86" i="186"/>
  <c r="O85" i="186"/>
  <c r="O84" i="186"/>
  <c r="O83" i="186"/>
  <c r="O82" i="186"/>
  <c r="O81" i="186"/>
  <c r="O80" i="186"/>
  <c r="O79" i="186"/>
  <c r="O78" i="186"/>
  <c r="O77" i="186"/>
  <c r="O76" i="186"/>
  <c r="O75" i="186"/>
  <c r="O74" i="186"/>
  <c r="O73" i="186"/>
  <c r="O72" i="186"/>
  <c r="O71" i="186"/>
  <c r="O70" i="186"/>
  <c r="O69" i="186"/>
  <c r="O68" i="186"/>
  <c r="O67" i="186"/>
  <c r="O66" i="186"/>
  <c r="O64" i="186"/>
  <c r="O63" i="186"/>
  <c r="O62" i="186"/>
  <c r="O61" i="186"/>
  <c r="O60" i="186"/>
  <c r="N57" i="186"/>
  <c r="K57" i="186"/>
  <c r="J57" i="186"/>
  <c r="I57" i="186"/>
  <c r="H57" i="186"/>
  <c r="G57" i="186"/>
  <c r="F57" i="186"/>
  <c r="E57" i="186"/>
  <c r="O56" i="186"/>
  <c r="O51" i="186"/>
  <c r="O50" i="186"/>
  <c r="O48" i="186"/>
  <c r="O47" i="186"/>
  <c r="O44" i="186"/>
  <c r="O43" i="186"/>
  <c r="O42" i="186"/>
  <c r="O37" i="186"/>
  <c r="O39" i="186" s="1"/>
  <c r="O13" i="186"/>
  <c r="O34" i="186" s="1"/>
  <c r="O7" i="186"/>
  <c r="O10" i="186" s="1"/>
  <c r="H769" i="187" l="1"/>
  <c r="P769" i="187"/>
  <c r="P771" i="187" s="1"/>
  <c r="L769" i="187"/>
  <c r="O112" i="186"/>
  <c r="L188" i="186"/>
  <c r="L190" i="186" s="1"/>
  <c r="K188" i="186"/>
  <c r="K190" i="186" s="1"/>
  <c r="G188" i="186"/>
  <c r="G190" i="186" s="1"/>
  <c r="N188" i="186"/>
  <c r="N190" i="186" s="1"/>
  <c r="F188" i="186"/>
  <c r="F190" i="186" s="1"/>
  <c r="J188" i="186"/>
  <c r="J190" i="186" s="1"/>
  <c r="M188" i="186"/>
  <c r="M190" i="186" s="1"/>
  <c r="I769" i="187"/>
  <c r="M769" i="187"/>
  <c r="H188" i="186"/>
  <c r="H190" i="186" s="1"/>
  <c r="E188" i="186"/>
  <c r="I188" i="186"/>
  <c r="I190" i="186" s="1"/>
  <c r="J769" i="187"/>
  <c r="N769" i="187"/>
  <c r="G769" i="187"/>
  <c r="K769" i="187"/>
  <c r="O769" i="187"/>
  <c r="O771" i="187" s="1"/>
  <c r="Q738" i="187"/>
  <c r="Q748" i="187" s="1"/>
  <c r="O178" i="186"/>
  <c r="D21" i="138"/>
  <c r="Q663" i="187"/>
  <c r="Q668" i="187" s="1"/>
  <c r="D21" i="139"/>
  <c r="Q768" i="187"/>
  <c r="Q699" i="187"/>
  <c r="Q702" i="187" s="1"/>
  <c r="Q637" i="187"/>
  <c r="Q646" i="187" s="1"/>
  <c r="Q491" i="187"/>
  <c r="Q623" i="187" s="1"/>
  <c r="Q344" i="187"/>
  <c r="Q479" i="187" s="1"/>
  <c r="Q224" i="187"/>
  <c r="Q229" i="187" s="1"/>
  <c r="Q170" i="187"/>
  <c r="Q217" i="187" s="1"/>
  <c r="Q40" i="187"/>
  <c r="Q46" i="187" s="1"/>
  <c r="O148" i="186"/>
  <c r="O140" i="186"/>
  <c r="O57" i="186"/>
  <c r="M21" i="188"/>
  <c r="L21" i="189"/>
  <c r="Q205" i="180"/>
  <c r="Q206" i="180"/>
  <c r="O188" i="186" l="1"/>
  <c r="D14" i="107"/>
  <c r="E14" i="107" s="1"/>
  <c r="Q769" i="187"/>
  <c r="E12" i="62"/>
  <c r="H12" i="62"/>
  <c r="K12" i="62"/>
  <c r="L12" i="62"/>
  <c r="G12" i="62"/>
  <c r="Q733" i="180" l="1"/>
  <c r="Q519" i="180" l="1"/>
  <c r="K7" i="62" l="1"/>
  <c r="L7" i="62"/>
  <c r="E6" i="62"/>
  <c r="F6" i="62"/>
  <c r="H6" i="62"/>
  <c r="I6" i="62"/>
  <c r="J6" i="62"/>
  <c r="K6" i="62"/>
  <c r="L6" i="62"/>
  <c r="M6" i="62"/>
  <c r="D6" i="62"/>
  <c r="K5" i="62"/>
  <c r="L5" i="62"/>
  <c r="K4" i="62"/>
  <c r="L4" i="62"/>
  <c r="Q557" i="180"/>
  <c r="P768" i="180"/>
  <c r="M14" i="63" s="1"/>
  <c r="O768" i="180"/>
  <c r="L14" i="63" s="1"/>
  <c r="N768" i="180"/>
  <c r="K14" i="63" s="1"/>
  <c r="M768" i="180"/>
  <c r="J14" i="63" s="1"/>
  <c r="L768" i="180"/>
  <c r="I14" i="63" s="1"/>
  <c r="K768" i="180"/>
  <c r="H14" i="63" s="1"/>
  <c r="J768" i="180"/>
  <c r="G14" i="63" s="1"/>
  <c r="I768" i="180"/>
  <c r="F14" i="63" s="1"/>
  <c r="H768" i="180"/>
  <c r="E14" i="63" s="1"/>
  <c r="G768" i="180"/>
  <c r="D14" i="63" s="1"/>
  <c r="Q767" i="180"/>
  <c r="Q766" i="180"/>
  <c r="Q764" i="180"/>
  <c r="Q757" i="180"/>
  <c r="Q756" i="180"/>
  <c r="Q755" i="180"/>
  <c r="Q754" i="180"/>
  <c r="Q753" i="180"/>
  <c r="Q752" i="180"/>
  <c r="Q750" i="180"/>
  <c r="Q747" i="180"/>
  <c r="Q741" i="180"/>
  <c r="Q740" i="180"/>
  <c r="P748" i="180"/>
  <c r="M13" i="63" s="1"/>
  <c r="O748" i="180"/>
  <c r="L13" i="63" s="1"/>
  <c r="N748" i="180"/>
  <c r="K13" i="63" s="1"/>
  <c r="M748" i="180"/>
  <c r="J13" i="63" s="1"/>
  <c r="L748" i="180"/>
  <c r="I13" i="63" s="1"/>
  <c r="K748" i="180"/>
  <c r="H13" i="63" s="1"/>
  <c r="J748" i="180"/>
  <c r="G13" i="63" s="1"/>
  <c r="I748" i="180"/>
  <c r="F13" i="63" s="1"/>
  <c r="H748" i="180"/>
  <c r="E13" i="63" s="1"/>
  <c r="G748" i="180"/>
  <c r="D13" i="63" s="1"/>
  <c r="Q736" i="180"/>
  <c r="Q735" i="180"/>
  <c r="Q734" i="180"/>
  <c r="Q732" i="180"/>
  <c r="Q730" i="180"/>
  <c r="Q728" i="180"/>
  <c r="Q726" i="180"/>
  <c r="Q725" i="180"/>
  <c r="Q723" i="180"/>
  <c r="Q722" i="180"/>
  <c r="Q720" i="180"/>
  <c r="Q719" i="180"/>
  <c r="Q717" i="180"/>
  <c r="Q716" i="180"/>
  <c r="Q714" i="180"/>
  <c r="Q713" i="180"/>
  <c r="Q712" i="180"/>
  <c r="Q711" i="180"/>
  <c r="Q710" i="180"/>
  <c r="Q709" i="180"/>
  <c r="Q708" i="180"/>
  <c r="Q706" i="180"/>
  <c r="Q705" i="180"/>
  <c r="P699" i="180"/>
  <c r="O699" i="180"/>
  <c r="N699" i="180"/>
  <c r="M699" i="180"/>
  <c r="L699" i="180"/>
  <c r="K699" i="180"/>
  <c r="J699" i="180"/>
  <c r="I699" i="180"/>
  <c r="H699" i="180"/>
  <c r="D12" i="63"/>
  <c r="Q698" i="180"/>
  <c r="Q696" i="180"/>
  <c r="Q694" i="180"/>
  <c r="Q693" i="180"/>
  <c r="Q691" i="180"/>
  <c r="Q689" i="180"/>
  <c r="Q687" i="180"/>
  <c r="Q685" i="180"/>
  <c r="Q684" i="180"/>
  <c r="Q682" i="180"/>
  <c r="Q679" i="180"/>
  <c r="Q678" i="180"/>
  <c r="Q677" i="180"/>
  <c r="Q676" i="180"/>
  <c r="Q673" i="180"/>
  <c r="Q672" i="180"/>
  <c r="Q671" i="180"/>
  <c r="Q667" i="180"/>
  <c r="Q665" i="180"/>
  <c r="P663" i="180"/>
  <c r="P668" i="180" s="1"/>
  <c r="M11" i="63" s="1"/>
  <c r="O663" i="180"/>
  <c r="O668" i="180" s="1"/>
  <c r="L11" i="63" s="1"/>
  <c r="N663" i="180"/>
  <c r="N668" i="180" s="1"/>
  <c r="K11" i="63" s="1"/>
  <c r="M663" i="180"/>
  <c r="M668" i="180" s="1"/>
  <c r="J11" i="63" s="1"/>
  <c r="L663" i="180"/>
  <c r="L668" i="180" s="1"/>
  <c r="I11" i="63" s="1"/>
  <c r="K663" i="180"/>
  <c r="K668" i="180" s="1"/>
  <c r="H11" i="63" s="1"/>
  <c r="J663" i="180"/>
  <c r="J668" i="180" s="1"/>
  <c r="G11" i="63" s="1"/>
  <c r="I663" i="180"/>
  <c r="I668" i="180" s="1"/>
  <c r="F11" i="63" s="1"/>
  <c r="H663" i="180"/>
  <c r="H668" i="180" s="1"/>
  <c r="E11" i="63" s="1"/>
  <c r="G663" i="180"/>
  <c r="G668" i="180" s="1"/>
  <c r="D11" i="63" s="1"/>
  <c r="Q662" i="180"/>
  <c r="Q661" i="180"/>
  <c r="Q660" i="180"/>
  <c r="Q658" i="180"/>
  <c r="Q657" i="180"/>
  <c r="Q656" i="180"/>
  <c r="Q654" i="180"/>
  <c r="Q653" i="180"/>
  <c r="Q651" i="180"/>
  <c r="Q650" i="180"/>
  <c r="Q649" i="180"/>
  <c r="Q645" i="180"/>
  <c r="Q644" i="180"/>
  <c r="Q643" i="180"/>
  <c r="Q641" i="180"/>
  <c r="Q640" i="180"/>
  <c r="Q639" i="180"/>
  <c r="P637" i="180"/>
  <c r="P646" i="180" s="1"/>
  <c r="M10" i="63" s="1"/>
  <c r="O637" i="180"/>
  <c r="O646" i="180" s="1"/>
  <c r="L10" i="63" s="1"/>
  <c r="N637" i="180"/>
  <c r="N646" i="180" s="1"/>
  <c r="K10" i="63" s="1"/>
  <c r="M637" i="180"/>
  <c r="M646" i="180" s="1"/>
  <c r="J10" i="63" s="1"/>
  <c r="L637" i="180"/>
  <c r="L646" i="180" s="1"/>
  <c r="I10" i="63" s="1"/>
  <c r="K637" i="180"/>
  <c r="K646" i="180" s="1"/>
  <c r="H10" i="63" s="1"/>
  <c r="J637" i="180"/>
  <c r="J646" i="180" s="1"/>
  <c r="G10" i="63" s="1"/>
  <c r="I637" i="180"/>
  <c r="I646" i="180" s="1"/>
  <c r="F10" i="63" s="1"/>
  <c r="H637" i="180"/>
  <c r="H646" i="180" s="1"/>
  <c r="E10" i="63" s="1"/>
  <c r="G637" i="180"/>
  <c r="G646" i="180" s="1"/>
  <c r="D10" i="63" s="1"/>
  <c r="Q636" i="180"/>
  <c r="Q633" i="180"/>
  <c r="Q632" i="180"/>
  <c r="Q631" i="180"/>
  <c r="Q630" i="180"/>
  <c r="Q629" i="180"/>
  <c r="Q628" i="180"/>
  <c r="Q627" i="180"/>
  <c r="Q626" i="180"/>
  <c r="Q622" i="180"/>
  <c r="Q621" i="180"/>
  <c r="Q620" i="180"/>
  <c r="Q619" i="180"/>
  <c r="Q617" i="180"/>
  <c r="Q616" i="180"/>
  <c r="Q612" i="180"/>
  <c r="Q611" i="180"/>
  <c r="Q610" i="180"/>
  <c r="Q609" i="180"/>
  <c r="Q603" i="180"/>
  <c r="Q602" i="180"/>
  <c r="Q601" i="180"/>
  <c r="Q600" i="180"/>
  <c r="Q599" i="180"/>
  <c r="Q596" i="180"/>
  <c r="Q595" i="180"/>
  <c r="Q594" i="180"/>
  <c r="Q593" i="180"/>
  <c r="Q592" i="180"/>
  <c r="Q591" i="180"/>
  <c r="Q590" i="180"/>
  <c r="Q589" i="180"/>
  <c r="Q588" i="180"/>
  <c r="Q587" i="180"/>
  <c r="Q586" i="180"/>
  <c r="Q585" i="180"/>
  <c r="Q584" i="180"/>
  <c r="Q583" i="180"/>
  <c r="Q582" i="180"/>
  <c r="Q581" i="180"/>
  <c r="Q580" i="180"/>
  <c r="Q579" i="180"/>
  <c r="Q578" i="180"/>
  <c r="Q577" i="180"/>
  <c r="Q576" i="180"/>
  <c r="Q575" i="180"/>
  <c r="Q574" i="180"/>
  <c r="Q573" i="180"/>
  <c r="Q572" i="180"/>
  <c r="Q571" i="180"/>
  <c r="Q570" i="180"/>
  <c r="Q564" i="180"/>
  <c r="Q563" i="180"/>
  <c r="Q562" i="180"/>
  <c r="Q561" i="180"/>
  <c r="Q560" i="180"/>
  <c r="Q558" i="180"/>
  <c r="Q551" i="180"/>
  <c r="Q550" i="180"/>
  <c r="Q549" i="180"/>
  <c r="Q548" i="180"/>
  <c r="Q547" i="180"/>
  <c r="Q544" i="180"/>
  <c r="Q540" i="180"/>
  <c r="Q539" i="180"/>
  <c r="Q535" i="180"/>
  <c r="Q534" i="180"/>
  <c r="Q532" i="180"/>
  <c r="Q518" i="180"/>
  <c r="Q517" i="180"/>
  <c r="Q516" i="180"/>
  <c r="Q515" i="180"/>
  <c r="Q514" i="180"/>
  <c r="Q513" i="180"/>
  <c r="Q512" i="180"/>
  <c r="Q511" i="180"/>
  <c r="Q510" i="180"/>
  <c r="Q506" i="180"/>
  <c r="Q503" i="180"/>
  <c r="Q500" i="180"/>
  <c r="Q498" i="180"/>
  <c r="Q497" i="180"/>
  <c r="Q495" i="180"/>
  <c r="Q494" i="180"/>
  <c r="P491" i="180"/>
  <c r="P623" i="180" s="1"/>
  <c r="M9" i="63" s="1"/>
  <c r="O491" i="180"/>
  <c r="O623" i="180" s="1"/>
  <c r="L9" i="63" s="1"/>
  <c r="N491" i="180"/>
  <c r="N623" i="180" s="1"/>
  <c r="K9" i="63" s="1"/>
  <c r="M491" i="180"/>
  <c r="M623" i="180" s="1"/>
  <c r="J9" i="63" s="1"/>
  <c r="L491" i="180"/>
  <c r="L623" i="180" s="1"/>
  <c r="I9" i="63" s="1"/>
  <c r="K491" i="180"/>
  <c r="K623" i="180" s="1"/>
  <c r="H9" i="63" s="1"/>
  <c r="J491" i="180"/>
  <c r="J623" i="180" s="1"/>
  <c r="G9" i="63" s="1"/>
  <c r="I491" i="180"/>
  <c r="I623" i="180" s="1"/>
  <c r="F9" i="63" s="1"/>
  <c r="H491" i="180"/>
  <c r="H623" i="180" s="1"/>
  <c r="E9" i="63" s="1"/>
  <c r="G491" i="180"/>
  <c r="G623" i="180" s="1"/>
  <c r="D9" i="63" s="1"/>
  <c r="Q490" i="180"/>
  <c r="Q488" i="180"/>
  <c r="Q485" i="180"/>
  <c r="Q484" i="180"/>
  <c r="Q483" i="180"/>
  <c r="Q482" i="180"/>
  <c r="Q478" i="180"/>
  <c r="Q477" i="180"/>
  <c r="Q470" i="180"/>
  <c r="Q469" i="180"/>
  <c r="Q467" i="180"/>
  <c r="Q463" i="180"/>
  <c r="Q459" i="180"/>
  <c r="Q458" i="180"/>
  <c r="Q457" i="180"/>
  <c r="Q456" i="180"/>
  <c r="Q455" i="180"/>
  <c r="Q454" i="180"/>
  <c r="Q453" i="180"/>
  <c r="Q452" i="180"/>
  <c r="Q451" i="180"/>
  <c r="Q450" i="180"/>
  <c r="Q449" i="180"/>
  <c r="Q448" i="180"/>
  <c r="Q437" i="180"/>
  <c r="Q436" i="180"/>
  <c r="Q435" i="180"/>
  <c r="Q434" i="180"/>
  <c r="Q433" i="180"/>
  <c r="Q432" i="180"/>
  <c r="Q431" i="180"/>
  <c r="Q430" i="180"/>
  <c r="Q416" i="180"/>
  <c r="Q415" i="180"/>
  <c r="Q414" i="180"/>
  <c r="Q413" i="180"/>
  <c r="Q412" i="180"/>
  <c r="Q411" i="180"/>
  <c r="Q410" i="180"/>
  <c r="Q409" i="180"/>
  <c r="Q408" i="180"/>
  <c r="Q407" i="180"/>
  <c r="Q406" i="180"/>
  <c r="Q405" i="180"/>
  <c r="Q404" i="180"/>
  <c r="Q403" i="180"/>
  <c r="Q402" i="180"/>
  <c r="Q401" i="180"/>
  <c r="Q400" i="180"/>
  <c r="Q399" i="180"/>
  <c r="Q398" i="180"/>
  <c r="Q397" i="180"/>
  <c r="Q396" i="180"/>
  <c r="Q395" i="180"/>
  <c r="Q394" i="180"/>
  <c r="Q393" i="180"/>
  <c r="Q392" i="180"/>
  <c r="Q391" i="180"/>
  <c r="Q390" i="180"/>
  <c r="Q389" i="180"/>
  <c r="Q388" i="180"/>
  <c r="Q387" i="180"/>
  <c r="Q386" i="180"/>
  <c r="Q385" i="180"/>
  <c r="Q384" i="180"/>
  <c r="Q383" i="180"/>
  <c r="Q382" i="180"/>
  <c r="Q381" i="180"/>
  <c r="Q530" i="180"/>
  <c r="Q380" i="180"/>
  <c r="Q379" i="180"/>
  <c r="Q378" i="180"/>
  <c r="Q377" i="180"/>
  <c r="Q529" i="180"/>
  <c r="Q376" i="180"/>
  <c r="Q528" i="180"/>
  <c r="Q527" i="180"/>
  <c r="Q526" i="180"/>
  <c r="Q375" i="180"/>
  <c r="Q374" i="180"/>
  <c r="Q373" i="180"/>
  <c r="Q372" i="180"/>
  <c r="Q371" i="180"/>
  <c r="Q370" i="180"/>
  <c r="Q369" i="180"/>
  <c r="Q522" i="180"/>
  <c r="Q368" i="180"/>
  <c r="Q367" i="180"/>
  <c r="Q521" i="180"/>
  <c r="Q520" i="180"/>
  <c r="Q365" i="180"/>
  <c r="Q362" i="180"/>
  <c r="Q361" i="180"/>
  <c r="Q360" i="180"/>
  <c r="Q359" i="180"/>
  <c r="Q355" i="180"/>
  <c r="Q354" i="180"/>
  <c r="Q353" i="180"/>
  <c r="Q350" i="180"/>
  <c r="Q349" i="180"/>
  <c r="Q348" i="180"/>
  <c r="Q347" i="180"/>
  <c r="P344" i="180"/>
  <c r="P479" i="180" s="1"/>
  <c r="M8" i="63" s="1"/>
  <c r="O344" i="180"/>
  <c r="O479" i="180" s="1"/>
  <c r="L8" i="63" s="1"/>
  <c r="N344" i="180"/>
  <c r="N479" i="180" s="1"/>
  <c r="K8" i="63" s="1"/>
  <c r="M344" i="180"/>
  <c r="M479" i="180" s="1"/>
  <c r="J8" i="63" s="1"/>
  <c r="L344" i="180"/>
  <c r="L479" i="180" s="1"/>
  <c r="I8" i="63" s="1"/>
  <c r="K344" i="180"/>
  <c r="K479" i="180" s="1"/>
  <c r="H8" i="63" s="1"/>
  <c r="J344" i="180"/>
  <c r="J479" i="180" s="1"/>
  <c r="G8" i="63" s="1"/>
  <c r="I344" i="180"/>
  <c r="I479" i="180" s="1"/>
  <c r="F8" i="63" s="1"/>
  <c r="H344" i="180"/>
  <c r="H479" i="180" s="1"/>
  <c r="E8" i="63" s="1"/>
  <c r="G344" i="180"/>
  <c r="G479" i="180" s="1"/>
  <c r="D8" i="63" s="1"/>
  <c r="Q343" i="180"/>
  <c r="Q341" i="180"/>
  <c r="Q339" i="180"/>
  <c r="Q337" i="180"/>
  <c r="Q336" i="180"/>
  <c r="Q335" i="180"/>
  <c r="Q334" i="180"/>
  <c r="Q333" i="180"/>
  <c r="Q332" i="180"/>
  <c r="Q331" i="180"/>
  <c r="Q329" i="180"/>
  <c r="Q328" i="180"/>
  <c r="Q327" i="180"/>
  <c r="Q324" i="180"/>
  <c r="Q323" i="180"/>
  <c r="Q322" i="180"/>
  <c r="Q321" i="180"/>
  <c r="Q319" i="180"/>
  <c r="Q317" i="180"/>
  <c r="Q316" i="180"/>
  <c r="Q315" i="180"/>
  <c r="Q314" i="180"/>
  <c r="Q313" i="180"/>
  <c r="Q312" i="180"/>
  <c r="Q311" i="180"/>
  <c r="Q310" i="180"/>
  <c r="Q309" i="180"/>
  <c r="Q308" i="180"/>
  <c r="Q307" i="180"/>
  <c r="Q306" i="180"/>
  <c r="Q304" i="180"/>
  <c r="Q301" i="180"/>
  <c r="Q300" i="180"/>
  <c r="Q299" i="180"/>
  <c r="Q298" i="180"/>
  <c r="Q296" i="180"/>
  <c r="Q294" i="180"/>
  <c r="Q293" i="180"/>
  <c r="Q292" i="180"/>
  <c r="Q291" i="180"/>
  <c r="Q290" i="180"/>
  <c r="Q289" i="180"/>
  <c r="Q288" i="180"/>
  <c r="Q287" i="180"/>
  <c r="Q286" i="180"/>
  <c r="Q285" i="180"/>
  <c r="Q284" i="180"/>
  <c r="Q283" i="180"/>
  <c r="Q282" i="180"/>
  <c r="Q281" i="180"/>
  <c r="Q280" i="180"/>
  <c r="Q279" i="180"/>
  <c r="Q277" i="180"/>
  <c r="Q276" i="180"/>
  <c r="Q275" i="180"/>
  <c r="Q273" i="180"/>
  <c r="Q271" i="180"/>
  <c r="Q270" i="180"/>
  <c r="Q269" i="180"/>
  <c r="Q268" i="180"/>
  <c r="Q267" i="180"/>
  <c r="Q266" i="180"/>
  <c r="Q265" i="180"/>
  <c r="Q264" i="180"/>
  <c r="Q263" i="180"/>
  <c r="Q262" i="180"/>
  <c r="Q261" i="180"/>
  <c r="Q260" i="180"/>
  <c r="Q258" i="180"/>
  <c r="Q257" i="180"/>
  <c r="Q255" i="180"/>
  <c r="Q254" i="180"/>
  <c r="Q253" i="180"/>
  <c r="Q252" i="180"/>
  <c r="Q251" i="180"/>
  <c r="Q250" i="180"/>
  <c r="Q249" i="180"/>
  <c r="Q248" i="180"/>
  <c r="Q247" i="180"/>
  <c r="Q246" i="180"/>
  <c r="Q245" i="180"/>
  <c r="Q244" i="180"/>
  <c r="Q243" i="180"/>
  <c r="Q242" i="180"/>
  <c r="Q241" i="180"/>
  <c r="Q240" i="180"/>
  <c r="Q239" i="180"/>
  <c r="Q238" i="180"/>
  <c r="Q237" i="180"/>
  <c r="Q236" i="180"/>
  <c r="Q235" i="180"/>
  <c r="Q234" i="180"/>
  <c r="Q233" i="180"/>
  <c r="Q232" i="180"/>
  <c r="Q228" i="180"/>
  <c r="Q227" i="180"/>
  <c r="P224" i="180"/>
  <c r="P229" i="180" s="1"/>
  <c r="M7" i="63" s="1"/>
  <c r="O224" i="180"/>
  <c r="O229" i="180" s="1"/>
  <c r="L7" i="63" s="1"/>
  <c r="N224" i="180"/>
  <c r="N229" i="180" s="1"/>
  <c r="K7" i="63" s="1"/>
  <c r="M224" i="180"/>
  <c r="M229" i="180" s="1"/>
  <c r="J7" i="63" s="1"/>
  <c r="L224" i="180"/>
  <c r="L229" i="180" s="1"/>
  <c r="I7" i="63" s="1"/>
  <c r="K224" i="180"/>
  <c r="K229" i="180" s="1"/>
  <c r="H7" i="63" s="1"/>
  <c r="J224" i="180"/>
  <c r="J229" i="180" s="1"/>
  <c r="G7" i="63" s="1"/>
  <c r="I224" i="180"/>
  <c r="I229" i="180" s="1"/>
  <c r="F7" i="63" s="1"/>
  <c r="H224" i="180"/>
  <c r="H229" i="180" s="1"/>
  <c r="E7" i="63" s="1"/>
  <c r="G224" i="180"/>
  <c r="G229" i="180" s="1"/>
  <c r="D7" i="63" s="1"/>
  <c r="Q223" i="180"/>
  <c r="Q222" i="180"/>
  <c r="Q221" i="180"/>
  <c r="Q220" i="180"/>
  <c r="Q216" i="180"/>
  <c r="Q215" i="180"/>
  <c r="Q214" i="180"/>
  <c r="Q213" i="180"/>
  <c r="Q203" i="180"/>
  <c r="Q194" i="180"/>
  <c r="Q193" i="180"/>
  <c r="Q192" i="180"/>
  <c r="Q189" i="180"/>
  <c r="Q188" i="180"/>
  <c r="Q187" i="180"/>
  <c r="Q186" i="180"/>
  <c r="Q185" i="180"/>
  <c r="Q184" i="180"/>
  <c r="Q182" i="180"/>
  <c r="Q181" i="180"/>
  <c r="Q180" i="180"/>
  <c r="Q179" i="180"/>
  <c r="Q178" i="180"/>
  <c r="Q177" i="180"/>
  <c r="Q176" i="180"/>
  <c r="Q175" i="180"/>
  <c r="Q174" i="180"/>
  <c r="P170" i="180"/>
  <c r="P217" i="180" s="1"/>
  <c r="M6" i="63" s="1"/>
  <c r="O170" i="180"/>
  <c r="O217" i="180" s="1"/>
  <c r="L6" i="63" s="1"/>
  <c r="N170" i="180"/>
  <c r="N217" i="180" s="1"/>
  <c r="K6" i="63" s="1"/>
  <c r="M170" i="180"/>
  <c r="M217" i="180" s="1"/>
  <c r="J6" i="63" s="1"/>
  <c r="L170" i="180"/>
  <c r="L217" i="180" s="1"/>
  <c r="I6" i="63" s="1"/>
  <c r="K170" i="180"/>
  <c r="K217" i="180" s="1"/>
  <c r="H6" i="63" s="1"/>
  <c r="J170" i="180"/>
  <c r="J217" i="180" s="1"/>
  <c r="G6" i="63" s="1"/>
  <c r="I170" i="180"/>
  <c r="I217" i="180" s="1"/>
  <c r="F6" i="63" s="1"/>
  <c r="H170" i="180"/>
  <c r="H217" i="180" s="1"/>
  <c r="E6" i="63" s="1"/>
  <c r="G170" i="180"/>
  <c r="G217" i="180" s="1"/>
  <c r="D6" i="63" s="1"/>
  <c r="Q169" i="180"/>
  <c r="Q168" i="180"/>
  <c r="Q167" i="180"/>
  <c r="Q165" i="180"/>
  <c r="Q162" i="180"/>
  <c r="Q161" i="180"/>
  <c r="Q160" i="180"/>
  <c r="Q159" i="180"/>
  <c r="Q158" i="180"/>
  <c r="Q157" i="180"/>
  <c r="Q156" i="180"/>
  <c r="Q155" i="180"/>
  <c r="Q154" i="180"/>
  <c r="Q153" i="180"/>
  <c r="Q151" i="180"/>
  <c r="Q150" i="180"/>
  <c r="Q149" i="180"/>
  <c r="Q148" i="180"/>
  <c r="Q147" i="180"/>
  <c r="Q146" i="180"/>
  <c r="Q145" i="180"/>
  <c r="Q144" i="180"/>
  <c r="Q143" i="180"/>
  <c r="Q142" i="180"/>
  <c r="Q141" i="180"/>
  <c r="Q140" i="180"/>
  <c r="Q139" i="180"/>
  <c r="Q138" i="180"/>
  <c r="Q136" i="180"/>
  <c r="Q135" i="180"/>
  <c r="Q134" i="180"/>
  <c r="Q133" i="180"/>
  <c r="Q132" i="180"/>
  <c r="Q131" i="180"/>
  <c r="Q130" i="180"/>
  <c r="Q129" i="180"/>
  <c r="Q128" i="180"/>
  <c r="Q126" i="180"/>
  <c r="Q125" i="180"/>
  <c r="Q124" i="180"/>
  <c r="Q122" i="180"/>
  <c r="Q121" i="180"/>
  <c r="Q120" i="180"/>
  <c r="Q117" i="180"/>
  <c r="Q113" i="180"/>
  <c r="Q112" i="180"/>
  <c r="Q111" i="180"/>
  <c r="Q109" i="180"/>
  <c r="Q108" i="180"/>
  <c r="Q106" i="180"/>
  <c r="Q104" i="180"/>
  <c r="Q103" i="180"/>
  <c r="Q96" i="180"/>
  <c r="Q94" i="180"/>
  <c r="Q93" i="180"/>
  <c r="Q92" i="180"/>
  <c r="Q91" i="180"/>
  <c r="Q90" i="180"/>
  <c r="Q89" i="180"/>
  <c r="Q88" i="180"/>
  <c r="Q86" i="180"/>
  <c r="Q85" i="180"/>
  <c r="Q84" i="180"/>
  <c r="Q83" i="180"/>
  <c r="Q82" i="180"/>
  <c r="Q81" i="180"/>
  <c r="Q80" i="180"/>
  <c r="Q79" i="180"/>
  <c r="Q78" i="180"/>
  <c r="Q77" i="180"/>
  <c r="Q76" i="180"/>
  <c r="Q75" i="180"/>
  <c r="Q74" i="180"/>
  <c r="Q73" i="180"/>
  <c r="Q72" i="180"/>
  <c r="Q71" i="180"/>
  <c r="Q70" i="180"/>
  <c r="Q68" i="180"/>
  <c r="Q66" i="180"/>
  <c r="Q64" i="180"/>
  <c r="Q63" i="180"/>
  <c r="Q62" i="180"/>
  <c r="Q61" i="180"/>
  <c r="Q60" i="180"/>
  <c r="Q59" i="180"/>
  <c r="Q55" i="180"/>
  <c r="Q54" i="180"/>
  <c r="Q52" i="180"/>
  <c r="Q51" i="180"/>
  <c r="Q50" i="180"/>
  <c r="Q45" i="180"/>
  <c r="Q44" i="180"/>
  <c r="Q42" i="180"/>
  <c r="P40" i="180"/>
  <c r="P46" i="180" s="1"/>
  <c r="O40" i="180"/>
  <c r="O46" i="180" s="1"/>
  <c r="N40" i="180"/>
  <c r="N46" i="180" s="1"/>
  <c r="M40" i="180"/>
  <c r="M46" i="180" s="1"/>
  <c r="L40" i="180"/>
  <c r="L46" i="180" s="1"/>
  <c r="K40" i="180"/>
  <c r="K46" i="180" s="1"/>
  <c r="J40" i="180"/>
  <c r="J46" i="180" s="1"/>
  <c r="I40" i="180"/>
  <c r="I46" i="180" s="1"/>
  <c r="H40" i="180"/>
  <c r="H46" i="180" s="1"/>
  <c r="G40" i="180"/>
  <c r="G46" i="180" s="1"/>
  <c r="Q39" i="180"/>
  <c r="Q37" i="180"/>
  <c r="Q33" i="180"/>
  <c r="Q32" i="180"/>
  <c r="Q30" i="180"/>
  <c r="Q28" i="180"/>
  <c r="Q26" i="180"/>
  <c r="Q24" i="180"/>
  <c r="Q23" i="180"/>
  <c r="Q22" i="180"/>
  <c r="Q20" i="180"/>
  <c r="Q18" i="180"/>
  <c r="Q16" i="180"/>
  <c r="Q15" i="180"/>
  <c r="Q14" i="180"/>
  <c r="Q13" i="180"/>
  <c r="Q12" i="180"/>
  <c r="Q10" i="180"/>
  <c r="Q9" i="180"/>
  <c r="Q7" i="180"/>
  <c r="M12" i="62"/>
  <c r="J12" i="62"/>
  <c r="I12" i="62"/>
  <c r="F12" i="62"/>
  <c r="D12" i="62"/>
  <c r="M11" i="62"/>
  <c r="L11" i="62"/>
  <c r="K11" i="62"/>
  <c r="J11" i="62"/>
  <c r="I11" i="62"/>
  <c r="H11" i="62"/>
  <c r="G11" i="62"/>
  <c r="F11" i="62"/>
  <c r="E11" i="62"/>
  <c r="D11" i="62"/>
  <c r="O173" i="179"/>
  <c r="O171" i="179"/>
  <c r="O168" i="179"/>
  <c r="O167" i="179"/>
  <c r="O166" i="179"/>
  <c r="O165" i="179"/>
  <c r="O159" i="179"/>
  <c r="O157" i="179"/>
  <c r="O154" i="179"/>
  <c r="O153" i="179"/>
  <c r="O151" i="179"/>
  <c r="N148" i="179"/>
  <c r="M10" i="62" s="1"/>
  <c r="M148" i="179"/>
  <c r="L148" i="179"/>
  <c r="K148" i="179"/>
  <c r="J10" i="62" s="1"/>
  <c r="J148" i="179"/>
  <c r="I10" i="62" s="1"/>
  <c r="I148" i="179"/>
  <c r="H10" i="62" s="1"/>
  <c r="H148" i="179"/>
  <c r="G10" i="62" s="1"/>
  <c r="G148" i="179"/>
  <c r="F10" i="62" s="1"/>
  <c r="F148" i="179"/>
  <c r="E10" i="62" s="1"/>
  <c r="E148" i="179"/>
  <c r="D10" i="62" s="1"/>
  <c r="O147" i="179"/>
  <c r="O146" i="179"/>
  <c r="O145" i="179"/>
  <c r="O144" i="179"/>
  <c r="O143" i="179"/>
  <c r="M9" i="62"/>
  <c r="L9" i="62"/>
  <c r="K9" i="62"/>
  <c r="J9" i="62"/>
  <c r="I9" i="62"/>
  <c r="H9" i="62"/>
  <c r="G9" i="62"/>
  <c r="F9" i="62"/>
  <c r="E9" i="62"/>
  <c r="E140" i="179"/>
  <c r="D9" i="62" s="1"/>
  <c r="O139" i="179"/>
  <c r="O137" i="179"/>
  <c r="O134" i="179"/>
  <c r="O132" i="179"/>
  <c r="O127" i="179"/>
  <c r="O126" i="179"/>
  <c r="O125" i="179"/>
  <c r="O124" i="179"/>
  <c r="O123" i="179"/>
  <c r="O122" i="179"/>
  <c r="O121" i="179"/>
  <c r="O119" i="179"/>
  <c r="O115" i="179"/>
  <c r="M8" i="62"/>
  <c r="K8" i="62"/>
  <c r="J8" i="62"/>
  <c r="I8" i="62"/>
  <c r="H8" i="62"/>
  <c r="G8" i="62"/>
  <c r="F8" i="62"/>
  <c r="E8" i="62"/>
  <c r="D8" i="62"/>
  <c r="O107" i="179"/>
  <c r="O106" i="179"/>
  <c r="O105" i="179"/>
  <c r="O104" i="179"/>
  <c r="O102" i="179"/>
  <c r="O101" i="179"/>
  <c r="O100" i="179"/>
  <c r="O99" i="179"/>
  <c r="O98" i="179"/>
  <c r="O93" i="179"/>
  <c r="O92" i="179"/>
  <c r="O91" i="179"/>
  <c r="O90" i="179"/>
  <c r="O89" i="179"/>
  <c r="O88" i="179"/>
  <c r="O86" i="179"/>
  <c r="O85" i="179"/>
  <c r="O84" i="179"/>
  <c r="O83" i="179"/>
  <c r="O82" i="179"/>
  <c r="O81" i="179"/>
  <c r="O80" i="179"/>
  <c r="O79" i="179"/>
  <c r="O78" i="179"/>
  <c r="O77" i="179"/>
  <c r="O76" i="179"/>
  <c r="O75" i="179"/>
  <c r="O74" i="179"/>
  <c r="O73" i="179"/>
  <c r="O72" i="179"/>
  <c r="O71" i="179"/>
  <c r="O70" i="179"/>
  <c r="O69" i="179"/>
  <c r="O68" i="179"/>
  <c r="O67" i="179"/>
  <c r="O66" i="179"/>
  <c r="O64" i="179"/>
  <c r="O63" i="179"/>
  <c r="O62" i="179"/>
  <c r="O61" i="179"/>
  <c r="O60" i="179"/>
  <c r="N57" i="179"/>
  <c r="K57" i="179"/>
  <c r="J57" i="179"/>
  <c r="I57" i="179"/>
  <c r="H57" i="179"/>
  <c r="G57" i="179"/>
  <c r="F57" i="179"/>
  <c r="E57" i="179"/>
  <c r="O56" i="179"/>
  <c r="O51" i="179"/>
  <c r="O50" i="179"/>
  <c r="O48" i="179"/>
  <c r="O47" i="179"/>
  <c r="O44" i="179"/>
  <c r="O43" i="179"/>
  <c r="O42" i="179"/>
  <c r="G6" i="62"/>
  <c r="O37" i="179"/>
  <c r="O39" i="179" s="1"/>
  <c r="M5" i="62"/>
  <c r="J5" i="62"/>
  <c r="I5" i="62"/>
  <c r="H5" i="62"/>
  <c r="G5" i="62"/>
  <c r="F5" i="62"/>
  <c r="E5" i="62"/>
  <c r="D5" i="62"/>
  <c r="O13" i="179"/>
  <c r="O34" i="179" s="1"/>
  <c r="M4" i="62"/>
  <c r="J4" i="62"/>
  <c r="I4" i="62"/>
  <c r="H4" i="62"/>
  <c r="G4" i="62"/>
  <c r="E4" i="62"/>
  <c r="O7" i="179"/>
  <c r="O10" i="179" s="1"/>
  <c r="J702" i="180" l="1"/>
  <c r="G12" i="63" s="1"/>
  <c r="N702" i="180"/>
  <c r="N769" i="180" s="1"/>
  <c r="M702" i="180"/>
  <c r="J12" i="63" s="1"/>
  <c r="K702" i="180"/>
  <c r="H12" i="63" s="1"/>
  <c r="O702" i="180"/>
  <c r="L12" i="63" s="1"/>
  <c r="I702" i="180"/>
  <c r="I769" i="180" s="1"/>
  <c r="H702" i="180"/>
  <c r="E12" i="63" s="1"/>
  <c r="L702" i="180"/>
  <c r="L769" i="180" s="1"/>
  <c r="P702" i="180"/>
  <c r="M12" i="63" s="1"/>
  <c r="O112" i="179"/>
  <c r="D7" i="62"/>
  <c r="E188" i="179"/>
  <c r="H7" i="62"/>
  <c r="I188" i="179"/>
  <c r="F5" i="63"/>
  <c r="J5" i="63"/>
  <c r="E7" i="62"/>
  <c r="F188" i="179"/>
  <c r="I7" i="62"/>
  <c r="J188" i="179"/>
  <c r="K10" i="62"/>
  <c r="L188" i="179"/>
  <c r="L190" i="179" s="1"/>
  <c r="G5" i="63"/>
  <c r="K5" i="63"/>
  <c r="F7" i="62"/>
  <c r="G188" i="179"/>
  <c r="J7" i="62"/>
  <c r="K188" i="179"/>
  <c r="L10" i="62"/>
  <c r="M188" i="179"/>
  <c r="D5" i="63"/>
  <c r="G769" i="180"/>
  <c r="H5" i="63"/>
  <c r="L5" i="63"/>
  <c r="G7" i="62"/>
  <c r="H188" i="179"/>
  <c r="M7" i="62"/>
  <c r="N188" i="179"/>
  <c r="N190" i="179" s="1"/>
  <c r="E5" i="63"/>
  <c r="H769" i="180"/>
  <c r="I5" i="63"/>
  <c r="M5" i="63"/>
  <c r="O178" i="179"/>
  <c r="Q738" i="180"/>
  <c r="Q748" i="180" s="1"/>
  <c r="O140" i="179"/>
  <c r="D4" i="62"/>
  <c r="F4" i="62"/>
  <c r="O57" i="179"/>
  <c r="O148" i="179"/>
  <c r="L8" i="62"/>
  <c r="Q224" i="180"/>
  <c r="Q229" i="180" s="1"/>
  <c r="Q663" i="180"/>
  <c r="Q668" i="180" s="1"/>
  <c r="Q637" i="180"/>
  <c r="Q646" i="180" s="1"/>
  <c r="Q699" i="180"/>
  <c r="Q702" i="180" s="1"/>
  <c r="Q768" i="180"/>
  <c r="Q40" i="180"/>
  <c r="Q46" i="180" s="1"/>
  <c r="Q170" i="180"/>
  <c r="Q217" i="180" s="1"/>
  <c r="Q344" i="180"/>
  <c r="Q479" i="180" s="1"/>
  <c r="Q491" i="180"/>
  <c r="Q623" i="180" s="1"/>
  <c r="P769" i="180" l="1"/>
  <c r="P771" i="180" s="1"/>
  <c r="O769" i="180"/>
  <c r="O771" i="180" s="1"/>
  <c r="J769" i="180"/>
  <c r="M769" i="180"/>
  <c r="K769" i="180"/>
  <c r="I12" i="63"/>
  <c r="F12" i="63"/>
  <c r="K12" i="63"/>
  <c r="O188" i="179"/>
  <c r="Q769" i="180"/>
  <c r="C7" i="135"/>
  <c r="E21" i="139"/>
  <c r="F21" i="139"/>
  <c r="H771" i="187" s="1"/>
  <c r="D4" i="107" s="1"/>
  <c r="G21" i="139"/>
  <c r="I771" i="187" s="1"/>
  <c r="D5" i="107" s="1"/>
  <c r="H21" i="139"/>
  <c r="J771" i="187" s="1"/>
  <c r="I21" i="139"/>
  <c r="K771" i="187" s="1"/>
  <c r="D7" i="107" s="1"/>
  <c r="J21" i="139"/>
  <c r="L771" i="187" s="1"/>
  <c r="D9" i="107" s="1"/>
  <c r="K21" i="139"/>
  <c r="M771" i="187" s="1"/>
  <c r="D10" i="107" s="1"/>
  <c r="L21" i="139"/>
  <c r="N771" i="187" s="1"/>
  <c r="D11" i="107" s="1"/>
  <c r="M21" i="139"/>
  <c r="E21" i="138"/>
  <c r="E189" i="179" s="1"/>
  <c r="F21" i="138"/>
  <c r="F189" i="179" s="1"/>
  <c r="F190" i="179" s="1"/>
  <c r="G21" i="138"/>
  <c r="G189" i="179" s="1"/>
  <c r="G190" i="179" s="1"/>
  <c r="H21" i="138"/>
  <c r="H189" i="179" s="1"/>
  <c r="H190" i="179" s="1"/>
  <c r="I21" i="138"/>
  <c r="I189" i="179" s="1"/>
  <c r="I190" i="179" s="1"/>
  <c r="J21" i="138"/>
  <c r="J189" i="179" s="1"/>
  <c r="J190" i="179" s="1"/>
  <c r="K21" i="138"/>
  <c r="K189" i="179" s="1"/>
  <c r="K190" i="179" s="1"/>
  <c r="L21" i="138"/>
  <c r="M189" i="179" s="1"/>
  <c r="M190" i="179" s="1"/>
  <c r="N3" i="139"/>
  <c r="N4" i="139"/>
  <c r="N5" i="139"/>
  <c r="N6" i="139"/>
  <c r="N7" i="139"/>
  <c r="N8" i="139"/>
  <c r="N9" i="139"/>
  <c r="N10" i="139"/>
  <c r="N11" i="139"/>
  <c r="N12" i="139"/>
  <c r="N13" i="139"/>
  <c r="N14" i="139"/>
  <c r="N15" i="139"/>
  <c r="N16" i="139"/>
  <c r="N17" i="139"/>
  <c r="N18" i="139"/>
  <c r="N19" i="139"/>
  <c r="N20" i="139"/>
  <c r="H8" i="135"/>
  <c r="H20" i="135"/>
  <c r="O3" i="138"/>
  <c r="O4" i="138"/>
  <c r="O5" i="138"/>
  <c r="O6" i="138"/>
  <c r="O7" i="138"/>
  <c r="O8" i="138"/>
  <c r="O9" i="138"/>
  <c r="O10" i="138"/>
  <c r="O11" i="138"/>
  <c r="O12" i="138"/>
  <c r="O13" i="138"/>
  <c r="O14" i="138"/>
  <c r="O15" i="138"/>
  <c r="O16" i="138"/>
  <c r="O17" i="138"/>
  <c r="O18" i="138"/>
  <c r="O19" i="138"/>
  <c r="O20" i="138"/>
  <c r="M21" i="138"/>
  <c r="N21" i="138"/>
  <c r="D6" i="107" l="1"/>
  <c r="E6" i="107" s="1"/>
  <c r="E7" i="107"/>
  <c r="E10" i="107"/>
  <c r="E5" i="107"/>
  <c r="E9" i="107"/>
  <c r="E4" i="107"/>
  <c r="H24" i="135"/>
  <c r="I24" i="135" s="1"/>
  <c r="I20" i="135"/>
  <c r="H11" i="135"/>
  <c r="I11" i="135" s="1"/>
  <c r="I8" i="135"/>
  <c r="C11" i="135"/>
  <c r="D11" i="135" s="1"/>
  <c r="D7" i="135"/>
  <c r="Q770" i="187"/>
  <c r="Q771" i="187" s="1"/>
  <c r="G771" i="187"/>
  <c r="D3" i="107" s="1"/>
  <c r="L14" i="62"/>
  <c r="I14" i="62"/>
  <c r="J14" i="62"/>
  <c r="H14" i="62"/>
  <c r="F14" i="62"/>
  <c r="D14" i="62"/>
  <c r="J16" i="63"/>
  <c r="M770" i="180"/>
  <c r="M771" i="180" s="1"/>
  <c r="H16" i="63"/>
  <c r="K770" i="180"/>
  <c r="K771" i="180" s="1"/>
  <c r="F16" i="63"/>
  <c r="I770" i="180"/>
  <c r="I771" i="180" s="1"/>
  <c r="D16" i="63"/>
  <c r="G770" i="180"/>
  <c r="N770" i="180"/>
  <c r="N771" i="180" s="1"/>
  <c r="K16" i="63"/>
  <c r="L770" i="180"/>
  <c r="L771" i="180" s="1"/>
  <c r="I16" i="63"/>
  <c r="J770" i="180"/>
  <c r="J771" i="180" s="1"/>
  <c r="G16" i="63"/>
  <c r="H770" i="180"/>
  <c r="H771" i="180" s="1"/>
  <c r="E16" i="63"/>
  <c r="N21" i="139"/>
  <c r="N7" i="63"/>
  <c r="N11" i="62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O21" i="138"/>
  <c r="M13" i="62"/>
  <c r="M15" i="62" s="1"/>
  <c r="H13" i="62"/>
  <c r="N9" i="62"/>
  <c r="N12" i="62"/>
  <c r="K15" i="63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D8" i="107" l="1"/>
  <c r="D12" i="107"/>
  <c r="E12" i="107" s="1"/>
  <c r="E11" i="107"/>
  <c r="F15" i="62"/>
  <c r="H15" i="62"/>
  <c r="I15" i="62"/>
  <c r="E14" i="62"/>
  <c r="E15" i="62" s="1"/>
  <c r="E3" i="107"/>
  <c r="E8" i="107" s="1"/>
  <c r="H25" i="135"/>
  <c r="H27" i="135" s="1"/>
  <c r="I27" i="135" s="1"/>
  <c r="C25" i="135"/>
  <c r="L15" i="62"/>
  <c r="G14" i="62"/>
  <c r="G15" i="62" s="1"/>
  <c r="J15" i="62"/>
  <c r="O189" i="179"/>
  <c r="O190" i="179" s="1"/>
  <c r="E190" i="179"/>
  <c r="E190" i="186"/>
  <c r="O189" i="186"/>
  <c r="O190" i="186" s="1"/>
  <c r="E17" i="63"/>
  <c r="N16" i="63"/>
  <c r="J17" i="63"/>
  <c r="F17" i="63"/>
  <c r="D17" i="63"/>
  <c r="I17" i="63"/>
  <c r="H17" i="63"/>
  <c r="K17" i="63"/>
  <c r="G17" i="63"/>
  <c r="Q770" i="180"/>
  <c r="Q771" i="180" s="1"/>
  <c r="G771" i="180"/>
  <c r="N6" i="63"/>
  <c r="D15" i="62"/>
  <c r="N13" i="62"/>
  <c r="N5" i="63"/>
  <c r="N5" i="62"/>
  <c r="N8" i="63"/>
  <c r="C27" i="135" l="1"/>
  <c r="D27" i="135" s="1"/>
  <c r="D13" i="107"/>
  <c r="N14" i="62"/>
  <c r="I25" i="135"/>
  <c r="D25" i="135"/>
  <c r="N15" i="62"/>
  <c r="N15" i="63"/>
  <c r="N17" i="63" s="1"/>
  <c r="D15" i="107" l="1"/>
  <c r="E15" i="107" s="1"/>
  <c r="E13" i="107"/>
</calcChain>
</file>

<file path=xl/sharedStrings.xml><?xml version="1.0" encoding="utf-8"?>
<sst xmlns="http://schemas.openxmlformats.org/spreadsheetml/2006/main" count="3315" uniqueCount="1410">
  <si>
    <t>KEHOP-5.4.1-16-2016-00433 Szemléletformálási programok</t>
  </si>
  <si>
    <t>B14</t>
  </si>
  <si>
    <t>Működési célú visszatérítendő támogatások, kölcsönök visszatérülése államháztartáson belülről</t>
  </si>
  <si>
    <t>8.) Forgatási célú értékpapír vásárlás hazai forrásból átmenetileg szabad pénzeszközökből</t>
  </si>
  <si>
    <t>MINDÖSSZESEN:</t>
  </si>
  <si>
    <t>7.) Államháztartáson belüli megelőlegezés visszafizetése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</si>
  <si>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</si>
  <si>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</si>
  <si>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</si>
  <si>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</si>
  <si>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</si>
  <si>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</si>
  <si>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</si>
  <si>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</si>
  <si>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</si>
  <si>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</si>
  <si>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</si>
  <si>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</si>
  <si>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</si>
  <si>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</si>
  <si>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6.) Államháztartáson belüli megelőlegezések</t>
  </si>
  <si>
    <t>Sorszám</t>
  </si>
  <si>
    <t>Jogi és közig.feladatok</t>
  </si>
  <si>
    <t>Felújítások</t>
  </si>
  <si>
    <t>Beruházások</t>
  </si>
  <si>
    <t>10.</t>
  </si>
  <si>
    <t>11.</t>
  </si>
  <si>
    <t>12.</t>
  </si>
  <si>
    <t>13.</t>
  </si>
  <si>
    <t>14.</t>
  </si>
  <si>
    <t>15.</t>
  </si>
  <si>
    <t>17.</t>
  </si>
  <si>
    <t>18.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</si>
  <si>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</si>
  <si>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</si>
  <si>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</si>
  <si>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</si>
  <si>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</si>
  <si>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</si>
  <si>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</si>
  <si>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</si>
  <si>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</si>
  <si>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</si>
  <si>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</si>
  <si>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</si>
  <si>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</si>
  <si>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</si>
  <si>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</si>
  <si>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</si>
  <si>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</si>
  <si>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</si>
  <si>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</si>
  <si>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</si>
  <si>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</si>
  <si>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</si>
  <si>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</si>
  <si>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</si>
  <si>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</si>
  <si>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</si>
  <si>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</si>
  <si>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</si>
  <si>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</si>
  <si>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</si>
  <si>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</si>
  <si>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</si>
  <si>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</si>
  <si>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</si>
  <si>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</si>
  <si>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</si>
  <si>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</si>
  <si>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</si>
  <si>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</si>
  <si>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</si>
  <si>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</si>
  <si>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</si>
  <si>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</si>
  <si>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</si>
  <si>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</si>
  <si>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</si>
  <si>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</si>
  <si>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</si>
  <si>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</si>
  <si>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</si>
  <si>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</si>
  <si>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</si>
  <si>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</si>
  <si>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</si>
  <si>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</si>
  <si>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</si>
  <si>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</si>
  <si>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</si>
  <si>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</si>
  <si>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</si>
  <si>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</si>
  <si>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</si>
  <si>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</si>
  <si>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</si>
  <si>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</si>
  <si>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</si>
  <si>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</si>
  <si>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</si>
  <si>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</si>
  <si>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</si>
  <si>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</si>
  <si>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</si>
  <si>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</si>
  <si>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</si>
  <si>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</si>
  <si>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</si>
  <si>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</si>
  <si>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</si>
  <si>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</si>
  <si>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</si>
  <si>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</si>
  <si>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</si>
  <si>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</si>
  <si>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</si>
  <si>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</si>
  <si>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</si>
  <si>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7.) Lízing kötelezettség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</si>
  <si>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</si>
  <si>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</si>
  <si>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</si>
  <si>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</si>
  <si>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</si>
  <si>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</si>
  <si>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</si>
  <si>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</si>
  <si>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</si>
  <si>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</si>
  <si>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</si>
  <si>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</si>
  <si>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</si>
  <si>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</si>
  <si>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</si>
  <si>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</si>
  <si>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6.) Egyéb finanszírozási kiadás (államháztartáson belüli megelőlegezés visszafizetése)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</si>
  <si>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</si>
  <si>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</si>
  <si>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</si>
  <si>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</si>
  <si>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</si>
  <si>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</si>
  <si>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</si>
  <si>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</si>
  <si>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</si>
  <si>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</si>
  <si>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</si>
  <si>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</si>
  <si>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</si>
  <si>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</si>
  <si>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</si>
  <si>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</si>
  <si>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</si>
  <si>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</si>
  <si>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</si>
  <si>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</si>
  <si>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</si>
  <si>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</si>
  <si>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</si>
  <si>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</si>
  <si>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</si>
  <si>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</si>
  <si>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</si>
  <si>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</si>
  <si>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</si>
  <si>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</si>
  <si>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</si>
  <si>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</si>
  <si>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</si>
  <si>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</si>
  <si>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</si>
  <si>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</si>
  <si>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</si>
  <si>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</si>
  <si>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</si>
  <si>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TOP-6.6.2-15- ZL1-2016-00001 Szociális Alapszolgáltatások  fejlesztése Zalaegerszegen</t>
  </si>
  <si>
    <t>TOP-6.6.1-15-ZL1-2016-00001 Egészségügyi alapellátás  infrastrukturális fejlesztése Zalaegerszegen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</si>
  <si>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</si>
  <si>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</si>
  <si>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</si>
  <si>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TOP-6.2.1-15-ZL1-2016-00002 Zalaegerszegi Egyesített Bölcsődék Cseperedő Bölcsőde és a Zalaegerszegi Belvárosi II. számú Óvoda Petőfi utcai Tagóvodájának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</si>
  <si>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</si>
  <si>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</si>
  <si>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TOP-6.8.2-15-ZL1-2016-00001 A vállalkozások igényeire alapuló foglalkoztatás-fejlesztési program Zalaegerszeg Megyei Jogú Városban (Foglalkoztatási paktum)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</si>
  <si>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</si>
  <si>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</si>
  <si>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</si>
  <si>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</si>
  <si>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</si>
  <si>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</si>
  <si>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</si>
  <si>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</si>
  <si>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</si>
  <si>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</si>
  <si>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</si>
  <si>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</si>
  <si>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</si>
  <si>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</si>
  <si>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</si>
  <si>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</si>
  <si>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19.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</si>
  <si>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</si>
  <si>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</si>
  <si>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</si>
  <si>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</si>
  <si>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</si>
  <si>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</si>
  <si>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</si>
  <si>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</si>
  <si>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</si>
  <si>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</si>
  <si>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</si>
  <si>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</si>
  <si>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</si>
  <si>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</si>
  <si>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</si>
  <si>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</si>
  <si>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</si>
  <si>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</si>
  <si>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</si>
  <si>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</si>
  <si>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</si>
  <si>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</si>
  <si>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</si>
  <si>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</si>
  <si>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</si>
  <si>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</si>
  <si>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</si>
  <si>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</si>
  <si>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</si>
  <si>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</si>
  <si>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</si>
  <si>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</si>
  <si>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</si>
  <si>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</si>
  <si>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</si>
  <si>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</si>
  <si>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</si>
  <si>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</si>
  <si>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</si>
  <si>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</si>
  <si>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</si>
  <si>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</si>
  <si>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</si>
  <si>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</si>
  <si>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</si>
  <si>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</si>
  <si>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</si>
  <si>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</si>
  <si>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</si>
  <si>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</si>
  <si>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</si>
  <si>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 xml:space="preserve"> - Zalai Közszolgáltató Nonprofit Kft. bérleti díj eszközpark használata után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</si>
  <si>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</si>
  <si>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</si>
  <si>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</si>
  <si>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</si>
  <si>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</si>
  <si>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</si>
  <si>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</si>
  <si>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</si>
  <si>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</si>
  <si>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</si>
  <si>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</si>
  <si>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TOP-6.6.1-15-ZL1-2016-00001 Egészségügyi alapellátás  infrastrukturális fejlesztése Zalaegerszegen</t>
  </si>
  <si>
    <t xml:space="preserve"> - TOP-6.6.2-15- ZL1-2016-00001 Szociális Alapszolgáltatások  fejlesztése Zalaegerszegen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</si>
  <si>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</si>
  <si>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</si>
  <si>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</si>
  <si>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</si>
  <si>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</si>
  <si>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</si>
  <si>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TOP-6.1.3 -15-ZL1-2016-00001 Helyi termelői és kézműves piac kialakítása Zalaegerszegen ( nettó!)</t>
  </si>
  <si>
    <t xml:space="preserve"> - TOP-6.1.4-15-ZL1-2016-00001 "Zalaegerszeg turisztikai vonzerejének növelése a " SMART City" eszközrendszerével"</t>
  </si>
  <si>
    <t xml:space="preserve"> - TOP-6.8.2-15-ZL1-2016-00001 A vállalkozások igényeire alapuló foglalkoztatás-fejlesztési program Zalaegerszeg Megyei Jogú Városban (Foglalkoztatási paktum)</t>
  </si>
  <si>
    <t xml:space="preserve"> - TOP-6.3.2-15-ZL1-2016-00003 Városi terek élhetőbbé tétele - Vizslapark rekonstrukció</t>
  </si>
  <si>
    <t xml:space="preserve"> - TOP-6.2.1-15-ZL1-2016-00002 Zalaegerszegi Egyesített Bölcsődék Cseperedő Bölcsőde és a Zalaegerszegi Belvárosi II. számú Óvoda Petőfi utcai Tagóvodájának fejlesztése</t>
  </si>
  <si>
    <t xml:space="preserve"> - TOP 6.5.1-15-ZL1-2016-0004 Landorhegyi Sportiskolai Általános Iskola energetikai korszerűsítése</t>
  </si>
  <si>
    <t xml:space="preserve"> -TOP-6.1.1-16 Zalaegerszegi Logisztikai Központ létrehozása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</si>
  <si>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</si>
  <si>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</si>
  <si>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</si>
  <si>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</si>
  <si>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</si>
  <si>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TOP-7.1.1-16-H-ERFA-2019-00167 Zalaegerszeg mobil applikáció projekt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</si>
  <si>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</si>
  <si>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</si>
  <si>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</si>
  <si>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</si>
  <si>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</si>
  <si>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</si>
  <si>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</si>
  <si>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</si>
  <si>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</si>
  <si>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</si>
  <si>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</si>
  <si>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Elektromos vagy plug-in hybrid gépjárművek beszerzése pályázati támogatással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</si>
  <si>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</si>
  <si>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</si>
  <si>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</si>
  <si>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</si>
  <si>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</si>
  <si>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</si>
  <si>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</si>
  <si>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</si>
  <si>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</si>
  <si>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</si>
  <si>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</si>
  <si>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</si>
  <si>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</si>
  <si>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</si>
  <si>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</si>
  <si>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 xml:space="preserve"> - ZALA-Müllex Kft.által 2020. évre fizetett haszn. díj </t>
  </si>
  <si>
    <t>Lakásalappal kapcsolatos bevételek</t>
  </si>
  <si>
    <t>061030 Lakáshoz jutást segítő támogatások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</si>
  <si>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</si>
  <si>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</si>
  <si>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</si>
  <si>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</si>
  <si>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</si>
  <si>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</si>
  <si>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</si>
  <si>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</si>
  <si>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</si>
  <si>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</si>
  <si>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</si>
  <si>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</si>
  <si>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</si>
  <si>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</si>
  <si>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</si>
  <si>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</si>
  <si>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</si>
  <si>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</si>
  <si>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</si>
  <si>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</si>
  <si>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</si>
  <si>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</si>
  <si>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</si>
  <si>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</si>
  <si>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</si>
  <si>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</si>
  <si>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</si>
  <si>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</si>
  <si>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</si>
  <si>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</si>
  <si>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</si>
  <si>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</si>
  <si>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</si>
  <si>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</si>
  <si>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</si>
  <si>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</si>
  <si>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</si>
  <si>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</si>
  <si>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</si>
  <si>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</si>
  <si>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</si>
  <si>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</si>
  <si>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</si>
  <si>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</si>
  <si>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</si>
  <si>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</si>
  <si>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</si>
  <si>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</si>
  <si>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</si>
  <si>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</si>
  <si>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</si>
  <si>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</si>
  <si>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</si>
  <si>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</si>
  <si>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</si>
  <si>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</si>
  <si>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</si>
  <si>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</si>
  <si>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</si>
  <si>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</si>
  <si>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</si>
  <si>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</si>
  <si>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</si>
  <si>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</si>
  <si>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</si>
  <si>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2019. évről áthúzódó feladat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</si>
  <si>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</si>
  <si>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</si>
  <si>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</si>
  <si>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</si>
  <si>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</si>
  <si>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</si>
  <si>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</si>
  <si>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</si>
  <si>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</si>
  <si>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</si>
  <si>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</si>
  <si>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</si>
  <si>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</si>
  <si>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</si>
  <si>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</si>
  <si>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</si>
  <si>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</si>
  <si>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</si>
  <si>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</si>
  <si>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</si>
  <si>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</si>
  <si>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</si>
  <si>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</si>
  <si>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</si>
  <si>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</si>
  <si>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</si>
  <si>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</si>
  <si>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</si>
  <si>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</si>
  <si>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</si>
  <si>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</si>
  <si>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</si>
  <si>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</si>
  <si>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 Népi hang-színek kiadvány</t>
  </si>
  <si>
    <t>- 10 éves sajtófotó kiállítás és album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</si>
  <si>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</si>
  <si>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</si>
  <si>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</si>
  <si>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</si>
  <si>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</si>
  <si>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</si>
  <si>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</si>
  <si>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</si>
  <si>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</si>
  <si>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</si>
  <si>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</si>
  <si>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</si>
  <si>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</si>
  <si>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</si>
  <si>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</si>
  <si>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</si>
  <si>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</si>
  <si>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</si>
  <si>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</si>
  <si>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</si>
  <si>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</si>
  <si>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</si>
  <si>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</si>
  <si>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</si>
  <si>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</si>
  <si>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</si>
  <si>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</si>
  <si>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</si>
  <si>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</si>
  <si>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</si>
  <si>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</si>
  <si>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</si>
  <si>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</si>
  <si>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</si>
  <si>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</si>
  <si>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</si>
  <si>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</si>
  <si>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</si>
  <si>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</si>
  <si>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</si>
  <si>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</si>
  <si>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</si>
  <si>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</si>
  <si>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</si>
  <si>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</si>
  <si>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</si>
  <si>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</si>
  <si>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Szűcs Valdó olimpiai felkészülés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</si>
  <si>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</si>
  <si>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</si>
  <si>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</si>
  <si>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</si>
  <si>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</si>
  <si>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</si>
  <si>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</si>
  <si>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</si>
  <si>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 Mányoki Attila versenyeinek támogatása (ZKSE)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</si>
  <si>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</si>
  <si>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</si>
  <si>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</si>
  <si>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</si>
  <si>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</si>
  <si>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</si>
  <si>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</si>
  <si>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</si>
  <si>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Zalaegerszegi Thai  Box   SE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</si>
  <si>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</si>
  <si>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</si>
  <si>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</si>
  <si>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</si>
  <si>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</si>
  <si>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</si>
  <si>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</si>
  <si>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</si>
  <si>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</si>
  <si>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</si>
  <si>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</si>
  <si>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</si>
  <si>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</si>
  <si>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</si>
  <si>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</si>
  <si>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Landorhegyi óvoda eszközfejlesztés</t>
  </si>
  <si>
    <t>1./1./4</t>
  </si>
  <si>
    <t>1./1./5</t>
  </si>
  <si>
    <t>1./1./6</t>
  </si>
  <si>
    <t>1./1./7</t>
  </si>
  <si>
    <t>1./1./8</t>
  </si>
  <si>
    <t>Napsugár utcai valamint Űrhajós óvoda, bölcsőde intézményi fejlesztések</t>
  </si>
  <si>
    <t>1./1./9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</si>
  <si>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</si>
  <si>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</si>
  <si>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</si>
  <si>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</si>
  <si>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</si>
  <si>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1./2/2</t>
  </si>
  <si>
    <t>Ady Iskola intézményi fejlesztések támogatása</t>
  </si>
  <si>
    <t>1./2/3</t>
  </si>
  <si>
    <t>Petőfi Iskola  intézményi fejlesztések támogatása</t>
  </si>
  <si>
    <t>1./2/4</t>
  </si>
  <si>
    <t>1./2/5</t>
  </si>
  <si>
    <t>1./2/6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</si>
  <si>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</si>
  <si>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</si>
  <si>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</si>
  <si>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</si>
  <si>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</si>
  <si>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</si>
  <si>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</si>
  <si>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</si>
  <si>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</si>
  <si>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Zalaegerszegi Kölcsey Ferenc Gimnázium intézményi fejlesztés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</si>
  <si>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</si>
  <si>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</si>
  <si>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</si>
  <si>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</si>
  <si>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</si>
  <si>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</si>
  <si>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</si>
  <si>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</si>
  <si>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</si>
  <si>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</si>
  <si>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*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</si>
  <si>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</si>
  <si>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</si>
  <si>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</si>
  <si>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</si>
  <si>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</si>
  <si>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</si>
  <si>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</si>
  <si>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</si>
  <si>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</si>
  <si>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</si>
  <si>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</si>
  <si>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</si>
  <si>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</si>
  <si>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</si>
  <si>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</si>
  <si>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</si>
  <si>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</si>
  <si>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</si>
  <si>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</si>
  <si>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</si>
  <si>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</si>
  <si>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</si>
  <si>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</si>
  <si>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</si>
  <si>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</si>
  <si>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</si>
  <si>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</si>
  <si>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</si>
  <si>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</si>
  <si>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</si>
  <si>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</si>
  <si>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</si>
  <si>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</si>
  <si>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</si>
  <si>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</si>
  <si>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</si>
  <si>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mezőgazdasági utak karbantartása, telekrendezés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</si>
  <si>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</si>
  <si>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</si>
  <si>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</si>
  <si>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</si>
  <si>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</si>
  <si>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</si>
  <si>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</si>
  <si>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</si>
  <si>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</si>
  <si>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</si>
  <si>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</si>
  <si>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</si>
  <si>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</si>
  <si>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</si>
  <si>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r>
      <t xml:space="preserve"> - csatorna</t>
    </r>
    <r>
      <rPr>
        <strike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diagnosztika</t>
    </r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</si>
  <si>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</si>
  <si>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</si>
  <si>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</si>
  <si>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</si>
  <si>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r>
      <t xml:space="preserve"> - vízbázis</t>
    </r>
    <r>
      <rPr>
        <strike/>
        <sz val="10"/>
        <color indexed="53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védelemmel kapcsolatos feladatok</t>
    </r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</si>
  <si>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</si>
  <si>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</si>
  <si>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</si>
  <si>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</si>
  <si>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</si>
  <si>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</si>
  <si>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</si>
  <si>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</si>
  <si>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</si>
  <si>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</si>
  <si>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</si>
  <si>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</si>
  <si>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Kontakt Kft. köztéri bútorok mosása, fertőtlenítése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</si>
  <si>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</si>
  <si>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</si>
  <si>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</si>
  <si>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</si>
  <si>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</si>
  <si>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</si>
  <si>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</si>
  <si>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</si>
  <si>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</si>
  <si>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</si>
  <si>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</si>
  <si>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</si>
  <si>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</si>
  <si>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</si>
  <si>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</si>
  <si>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</si>
  <si>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</si>
  <si>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</si>
  <si>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</si>
  <si>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</si>
  <si>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</si>
  <si>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</si>
  <si>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</si>
  <si>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</si>
  <si>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</si>
  <si>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</si>
  <si>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</si>
  <si>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</si>
  <si>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</si>
  <si>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</si>
  <si>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</si>
  <si>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</si>
  <si>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</si>
  <si>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</si>
  <si>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E-közmű adatszolgáltatás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</si>
  <si>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</si>
  <si>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</si>
  <si>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</si>
  <si>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</si>
  <si>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</si>
  <si>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</si>
  <si>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</si>
  <si>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</si>
  <si>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</si>
  <si>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3./4</t>
  </si>
  <si>
    <t>3.a/1</t>
  </si>
  <si>
    <t>Közvilágítás fejlesztés</t>
  </si>
  <si>
    <t xml:space="preserve">Út-járda parkoló </t>
  </si>
  <si>
    <t>4./1</t>
  </si>
  <si>
    <t>4./2</t>
  </si>
  <si>
    <t>4./3</t>
  </si>
  <si>
    <t xml:space="preserve">Hajnalcsillag utca és Holdfény utca zúzalékos javítása </t>
  </si>
  <si>
    <t>4./4</t>
  </si>
  <si>
    <t>4./5</t>
  </si>
  <si>
    <t>4./6</t>
  </si>
  <si>
    <t xml:space="preserve">Járda kiépítése Rét utca - Gébárti út-i buszmegálló között </t>
  </si>
  <si>
    <t>4./7</t>
  </si>
  <si>
    <t>Kaszaházi sétány rendezése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</si>
  <si>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</si>
  <si>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</si>
  <si>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</si>
  <si>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</si>
  <si>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</si>
  <si>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</si>
  <si>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</si>
  <si>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</si>
  <si>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</si>
  <si>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</si>
  <si>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Olai templom előtti tér befejezése</t>
  </si>
  <si>
    <t>4./17</t>
  </si>
  <si>
    <t>4./18</t>
  </si>
  <si>
    <t>Stadion utca 4-6 járda, lépcső felújítás, lassító</t>
  </si>
  <si>
    <t>4./19</t>
  </si>
  <si>
    <t>4./20</t>
  </si>
  <si>
    <t>4./21</t>
  </si>
  <si>
    <t>4./22</t>
  </si>
  <si>
    <t>Erdődy-Hűvös Kastély park - Botfa utca közötti útszakasz felújítása</t>
  </si>
  <si>
    <t>4./23</t>
  </si>
  <si>
    <t>Járdafelújítások Zalabesenyőben</t>
  </si>
  <si>
    <t>4./24</t>
  </si>
  <si>
    <t>4./25</t>
  </si>
  <si>
    <t>Arany János utca járdafelújítások</t>
  </si>
  <si>
    <t>4./26</t>
  </si>
  <si>
    <t>4./27</t>
  </si>
  <si>
    <t>Batsányi János utca járdafelújítás II. ütem</t>
  </si>
  <si>
    <t>4./28</t>
  </si>
  <si>
    <t>Jókai Mór utca balesetveszélyes járda felújítás</t>
  </si>
  <si>
    <t>4./29</t>
  </si>
  <si>
    <t xml:space="preserve">Arany J. - Mikes u. okoszebra létesítése </t>
  </si>
  <si>
    <t>4./30</t>
  </si>
  <si>
    <t xml:space="preserve">Landorhegyi út 18. társasház parkolóbővítés </t>
  </si>
  <si>
    <t>4./31</t>
  </si>
  <si>
    <t>4./32</t>
  </si>
  <si>
    <t>Landorhegyi út 34. parkolóhelybővítés</t>
  </si>
  <si>
    <t>4./33</t>
  </si>
  <si>
    <t>4./34</t>
  </si>
  <si>
    <t>4./35</t>
  </si>
  <si>
    <t>4./36</t>
  </si>
  <si>
    <t>4./37</t>
  </si>
  <si>
    <t>4./38</t>
  </si>
  <si>
    <t>4./39</t>
  </si>
  <si>
    <t>Lankás utca Zengő utcától keletre eső szakaszának felújítása</t>
  </si>
  <si>
    <t>4./40</t>
  </si>
  <si>
    <t>4./41</t>
  </si>
  <si>
    <t>Járdaépítés a Sas utcában</t>
  </si>
  <si>
    <t>4./42</t>
  </si>
  <si>
    <t>4./43</t>
  </si>
  <si>
    <t>4./44</t>
  </si>
  <si>
    <t>Bartók Béla utca 29. előtti járda felújítása</t>
  </si>
  <si>
    <t>4./45</t>
  </si>
  <si>
    <t>Járdafelújítás az Árpád utcában</t>
  </si>
  <si>
    <t>4./46</t>
  </si>
  <si>
    <t>Kertvárosi járda rekonstrukció</t>
  </si>
  <si>
    <t>4./47</t>
  </si>
  <si>
    <t>4./48</t>
  </si>
  <si>
    <t>4./49</t>
  </si>
  <si>
    <t xml:space="preserve"> Kertvárosi  utak, járdák felújítása,  parkoló </t>
  </si>
  <si>
    <t>4./50</t>
  </si>
  <si>
    <t>Peteli hegyi út felújítása I. ütem</t>
  </si>
  <si>
    <t xml:space="preserve">Bozsoki hegyi út felújítása </t>
  </si>
  <si>
    <t xml:space="preserve">Csácsi – Damjanich utca buszváró csere </t>
  </si>
  <si>
    <t>Bozsok, Szabadság utca járda felújítás II.ütem</t>
  </si>
  <si>
    <t>Nyerges utca járdafelújítás I. ütem</t>
  </si>
  <si>
    <t xml:space="preserve">Kisfaludy S. 17-19. szám - OTP - előtti járdafelújítás és csapadékvíz elvezetés 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</si>
  <si>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</si>
  <si>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</si>
  <si>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</si>
  <si>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</si>
  <si>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</si>
  <si>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</si>
  <si>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</si>
  <si>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</si>
  <si>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Ősz utca  garázssor aszfaltozása</t>
  </si>
  <si>
    <t>4.a/4</t>
  </si>
  <si>
    <t>4.a/5</t>
  </si>
  <si>
    <t>Buszvárók telepítése</t>
  </si>
  <si>
    <t>4.a/6</t>
  </si>
  <si>
    <t>Gyalogátkelő létesítése Hegyi u. -Posta u.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</si>
  <si>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</si>
  <si>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</si>
  <si>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</si>
  <si>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</si>
  <si>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</si>
  <si>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</si>
  <si>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</si>
  <si>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</si>
  <si>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Hegyi út játszótér fejlesztés</t>
  </si>
  <si>
    <t>5./5</t>
  </si>
  <si>
    <t>5./6</t>
  </si>
  <si>
    <t>5./7</t>
  </si>
  <si>
    <t>5./8</t>
  </si>
  <si>
    <t>Fedett kiülő létesítése a Pais Dezső utcában</t>
  </si>
  <si>
    <t>5./9</t>
  </si>
  <si>
    <t>5./10</t>
  </si>
  <si>
    <t xml:space="preserve">Játszóterek felújítása a Kertvárosban </t>
  </si>
  <si>
    <t>5./11</t>
  </si>
  <si>
    <t>Hidegkúti forrás kiépítése</t>
  </si>
  <si>
    <t>5./12</t>
  </si>
  <si>
    <t>5.a/1</t>
  </si>
  <si>
    <t>5.a/2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</si>
  <si>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</si>
  <si>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</si>
  <si>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</si>
  <si>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</si>
  <si>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</si>
  <si>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</si>
  <si>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</si>
  <si>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</si>
  <si>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</si>
  <si>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</si>
  <si>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</si>
  <si>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</si>
  <si>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</si>
  <si>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</si>
  <si>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</si>
  <si>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</si>
  <si>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</si>
  <si>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</si>
  <si>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</si>
  <si>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</si>
  <si>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</si>
  <si>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</si>
  <si>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 xml:space="preserve"> - ünnepi díszkivilágítás szerelés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</si>
  <si>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</si>
  <si>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</si>
  <si>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</si>
  <si>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</si>
  <si>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>Szennyvízfelújítások a Társulás által átadott használati díj terhére</t>
  </si>
  <si>
    <t>2./1.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</si>
  <si>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</si>
  <si>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</si>
  <si>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</si>
  <si>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</si>
  <si>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</si>
  <si>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</si>
  <si>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</si>
  <si>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GFT-hez kapcsolódó út- és járda rekonstrukció</t>
  </si>
  <si>
    <t>Utakhoz kapcsolódó előtervezések</t>
  </si>
  <si>
    <t>Gyöngyvirág utca előtervezések</t>
  </si>
  <si>
    <t>Madách utcai parkolóépítés 4876/2 hrsz-ú ingatlanon</t>
  </si>
  <si>
    <t>Szenterzsébethegy - közösségi ház és kert fejlesztése</t>
  </si>
  <si>
    <t>Kiemelt projektek</t>
  </si>
  <si>
    <t>Előtervezések</t>
  </si>
  <si>
    <t>Előtervezések út- és közműépítési feladatokhoz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</si>
  <si>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</si>
  <si>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</si>
  <si>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</si>
  <si>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</si>
  <si>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</si>
  <si>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</si>
  <si>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</si>
  <si>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Termálmedence felújítása (felnőtt medence)</t>
  </si>
  <si>
    <t>Nyugdíjas otthonházi lakások felújítása</t>
  </si>
  <si>
    <t>Aquacity felújítások</t>
  </si>
  <si>
    <t>9.a/8</t>
  </si>
  <si>
    <t>Ebergényi Közösségi tér fejlesztése</t>
  </si>
  <si>
    <t>Elektromos vagy plug-in hybrid gépjárművek beszerzése pályázati támogatással</t>
  </si>
  <si>
    <t>Stratégiai feladatok</t>
  </si>
  <si>
    <t>10./1.</t>
  </si>
  <si>
    <t>TOP Projektek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</si>
  <si>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</si>
  <si>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</si>
  <si>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</si>
  <si>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</si>
  <si>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</si>
  <si>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</si>
  <si>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</si>
  <si>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</si>
  <si>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</si>
  <si>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</si>
  <si>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</si>
  <si>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</si>
  <si>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</si>
  <si>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</si>
  <si>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</si>
  <si>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</si>
  <si>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</si>
  <si>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</si>
  <si>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</si>
  <si>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</si>
  <si>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</si>
  <si>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</si>
  <si>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</si>
  <si>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</si>
  <si>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</si>
  <si>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</si>
  <si>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10./1.a./24</t>
  </si>
  <si>
    <t>10./1.a./25</t>
  </si>
  <si>
    <t>10./1.a./26</t>
  </si>
  <si>
    <t>TOP-7.1.1-16-H-ERFA-2019-00167 Zalaegerszeg mobil applikáció projekt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</si>
  <si>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</si>
  <si>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</si>
  <si>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</si>
  <si>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</si>
  <si>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</si>
  <si>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</si>
  <si>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</si>
  <si>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</si>
  <si>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</si>
  <si>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</si>
  <si>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</si>
  <si>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</si>
  <si>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</si>
  <si>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</si>
  <si>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</si>
  <si>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</si>
  <si>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</si>
  <si>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</si>
  <si>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</si>
  <si>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</si>
  <si>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</si>
  <si>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10./4.a/4</t>
  </si>
  <si>
    <t>10./5.</t>
  </si>
  <si>
    <t>Egyéb stratégiai feladat</t>
  </si>
  <si>
    <t>10./5.1</t>
  </si>
  <si>
    <t>10./5.2</t>
  </si>
  <si>
    <t>TOP és egyéb pályázatok előkészítése a Lakásalapból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</si>
  <si>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</si>
  <si>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</si>
  <si>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</si>
  <si>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</si>
  <si>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</si>
  <si>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</si>
  <si>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</si>
  <si>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</si>
  <si>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</si>
  <si>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</si>
  <si>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</si>
  <si>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</si>
  <si>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</si>
  <si>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</si>
  <si>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</si>
  <si>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</si>
  <si>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</si>
  <si>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</si>
  <si>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</si>
  <si>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Volt nyomda épület hasznosítása - lízing kötelezettség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</si>
  <si>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</si>
  <si>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</si>
  <si>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</si>
  <si>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</si>
  <si>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</si>
  <si>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</si>
  <si>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</si>
  <si>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</si>
  <si>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</si>
  <si>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</si>
  <si>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</si>
  <si>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</si>
  <si>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</si>
  <si>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</si>
  <si>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</si>
  <si>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</si>
  <si>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</si>
  <si>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</si>
  <si>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</si>
  <si>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</si>
  <si>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</si>
  <si>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</si>
  <si>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</si>
  <si>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</si>
  <si>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</si>
  <si>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</si>
  <si>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</si>
  <si>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</si>
  <si>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</si>
  <si>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</si>
  <si>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 xml:space="preserve"> - Ukrán Nemzetiségi Önkormányzat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</si>
  <si>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</si>
  <si>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</si>
  <si>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</si>
  <si>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</si>
  <si>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</si>
  <si>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</si>
  <si>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</si>
  <si>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</si>
  <si>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</si>
  <si>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 xml:space="preserve"> - Városi Strandfürdő és Fedett uszoda műk.  támogatása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</si>
  <si>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</si>
  <si>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</si>
  <si>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</si>
  <si>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</si>
  <si>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</si>
  <si>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</si>
  <si>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</si>
  <si>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</si>
  <si>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</si>
  <si>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</si>
  <si>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</si>
  <si>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</si>
  <si>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</si>
  <si>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</si>
  <si>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</si>
  <si>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</si>
  <si>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</si>
  <si>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</si>
  <si>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</si>
  <si>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</si>
  <si>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</si>
  <si>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</si>
  <si>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</si>
  <si>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</si>
  <si>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</si>
  <si>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</si>
  <si>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</si>
  <si>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</si>
  <si>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 xml:space="preserve"> - Andráshida közösségi programok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</si>
  <si>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</si>
  <si>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</si>
  <si>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</si>
  <si>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</si>
  <si>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</si>
  <si>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</si>
  <si>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</si>
  <si>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</si>
  <si>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</si>
  <si>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</si>
  <si>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</si>
  <si>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</si>
  <si>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</si>
  <si>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</si>
  <si>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</si>
  <si>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</si>
  <si>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</si>
  <si>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</si>
  <si>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</si>
  <si>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</si>
  <si>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</si>
  <si>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</si>
  <si>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</si>
  <si>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Tankerülettel közösen megvalósítandó felújítások </t>
  </si>
  <si>
    <t xml:space="preserve">Kossuth utca burkolatfelújítás (térkőcsere) </t>
  </si>
  <si>
    <t xml:space="preserve"> - Vizslapark üzemeltetése, magasabb szintű fenntartása </t>
  </si>
  <si>
    <t>Virtuális valóság projekt (középkori vár és E-sport)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</si>
  <si>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</si>
  <si>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</si>
  <si>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</si>
  <si>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</si>
  <si>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</si>
  <si>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Dózsa Iskola C+ tornaterem elektromos hálózatfejlesztés</t>
  </si>
  <si>
    <t xml:space="preserve"> - fogászati alapellátás  önkormányzati támogatása</t>
  </si>
  <si>
    <t>Módosítás összege</t>
  </si>
  <si>
    <t xml:space="preserve"> - ZALAVÍZ Zrt. nem vÍziközmű után fizetendő bérleti díj</t>
  </si>
  <si>
    <t xml:space="preserve"> -Kossuth utca posta előtti burkolat karbantartás, csere</t>
  </si>
  <si>
    <t>Vízelvezetési problémák megoldása Botfán</t>
  </si>
  <si>
    <t>Piac környéki parkolók zúzalékos felújítása</t>
  </si>
  <si>
    <t>Nem víziközmű vagyon fejlesztése</t>
  </si>
  <si>
    <t xml:space="preserve"> - Adományközpont működtetési támogatása</t>
  </si>
  <si>
    <t>Teljesítményösztönző keret</t>
  </si>
  <si>
    <t>B74</t>
  </si>
  <si>
    <t xml:space="preserve"> - Országos Vadpörkölt és Borfesztivál megrendezése</t>
  </si>
  <si>
    <t xml:space="preserve"> - járványügyi védekezésre</t>
  </si>
  <si>
    <t>Kis utcai óvoda udvari játszóeszközök rekonstrukciója</t>
  </si>
  <si>
    <t xml:space="preserve"> - államháztartáson belüli megelőlegezések visszafizetése</t>
  </si>
  <si>
    <t>Módosítás hatákör szerint</t>
  </si>
  <si>
    <t>B814</t>
  </si>
  <si>
    <t>Államháztartáson belüli megelőlegezések</t>
  </si>
  <si>
    <t>074040 Fertőző megbetegedések megelőzése,járványügyi ellátás</t>
  </si>
  <si>
    <t xml:space="preserve"> - Városfejlesztő Zrt. működési kiadása</t>
  </si>
  <si>
    <t xml:space="preserve"> - Városfejlesztő Zrt. működési támogatása</t>
  </si>
  <si>
    <t>2021. évi  eredeti előirányzat</t>
  </si>
  <si>
    <t>2021. évi  módosított előirányzat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</si>
  <si>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</si>
  <si>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</si>
  <si>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</si>
  <si>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</si>
  <si>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</si>
  <si>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</si>
  <si>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</si>
  <si>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2021. évi eredeti előirányzat</t>
  </si>
  <si>
    <t>2021. évi módosított előirányzat</t>
  </si>
  <si>
    <t>Helyi önkormányzatok általános működésének és ágazati feladatainak állami támogatása</t>
  </si>
  <si>
    <t>Mutató</t>
  </si>
  <si>
    <t>Forintban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</si>
  <si>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</si>
  <si>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</si>
  <si>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</si>
  <si>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</si>
  <si>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</si>
  <si>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</si>
  <si>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</si>
  <si>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</si>
  <si>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</si>
  <si>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</si>
  <si>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</si>
  <si>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</si>
  <si>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</si>
  <si>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</si>
  <si>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</si>
  <si>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</si>
  <si>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</si>
  <si>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</si>
  <si>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</si>
  <si>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</si>
  <si>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</si>
  <si>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</si>
  <si>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</si>
  <si>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</si>
  <si>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</si>
  <si>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</si>
  <si>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</si>
  <si>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</si>
  <si>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 Bölcsőde, mini bölcsőde támogatása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</si>
  <si>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</si>
  <si>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</si>
  <si>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</si>
  <si>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</si>
  <si>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 A települési önk. által biztosított egyes szociális szakosított ellátások, valamint a gyermekek átmeneti gondozásával kapcsolatos feladataok támogatása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</si>
  <si>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</si>
  <si>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</si>
  <si>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</si>
  <si>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</si>
  <si>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</si>
  <si>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</si>
  <si>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</si>
  <si>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</si>
  <si>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</si>
  <si>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</si>
  <si>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</si>
  <si>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2.3.2.1. Megyei hatókörű városi múzeumok feladatainak támogatása ( Göcseji Múzeum)</t>
  </si>
  <si>
    <t xml:space="preserve">2.3.2.2. Megyei hatáskörű városi könyvtárak feladatainak támogatása ( (Deák Ferenc Megyei és Városi  Könyvtár) </t>
  </si>
  <si>
    <t>2021. évi eredeti ei.</t>
  </si>
  <si>
    <t>2021. évi módosított ei.</t>
  </si>
  <si>
    <t xml:space="preserve"> - Zalaegerszegi Tourinform Iroda felújítása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</si>
  <si>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</si>
  <si>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</si>
  <si>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</si>
  <si>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</si>
  <si>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</si>
  <si>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-TOP-7.1.1-16-H-ESZA-2019-01185 Interaktív történelmi séták Zalaegerszegen</t>
  </si>
  <si>
    <t xml:space="preserve"> - TOP-6.3.2-15-ZL1-2020-00004 "A Gébárti-tó és környékének rekreációs, szabadidős használatát elősegítő infrastruktúra kialakítása II. ütem "</t>
  </si>
  <si>
    <t xml:space="preserve"> - TOP-6.4.1-15-ZL1-2020-00002 Fenntartható közlekedésfejlesztési beavatkozások a belváros keleti kapujában (Tesco körforgalom)</t>
  </si>
  <si>
    <t xml:space="preserve"> - Modern Városok Program keretében tervezett közúthálózat és kapcsolódó tereinek fejlesztései</t>
  </si>
  <si>
    <t xml:space="preserve"> - "Zöld busz mintaprojekt"</t>
  </si>
  <si>
    <t xml:space="preserve"> -Körforgalmi csomópont kialakítása a 76.sz.főút és az északi-déli ipari parki út kereszteződésében projektelem megépítéséhez szükséges megelőlegezett forrás visszafizetése</t>
  </si>
  <si>
    <t xml:space="preserve"> - Tudományos és Technológiai Parkban ingatlanok értékesítése </t>
  </si>
  <si>
    <t xml:space="preserve"> - cserével vegyes ingatlanszerződések</t>
  </si>
  <si>
    <t xml:space="preserve"> - ZALA-Müllex Kft.által 2021. évre fizetett haszn. díj </t>
  </si>
  <si>
    <t xml:space="preserve"> - 2020. évi maradvány igénybevétele áthúzódó és új feladatokhoz</t>
  </si>
  <si>
    <t xml:space="preserve"> - Helyi önkormányzatok általános működésének és ágazati feladatainak állami támogatása</t>
  </si>
  <si>
    <t xml:space="preserve"> - kulturális ágazati bérfejlesztés támogatása</t>
  </si>
  <si>
    <t xml:space="preserve"> - bírtokvédelmi költség megelőlegezés</t>
  </si>
  <si>
    <t xml:space="preserve"> - talált tárgyak felértékeltetése</t>
  </si>
  <si>
    <t xml:space="preserve"> - angol nyelvű óvodai csoport dolgozói részére angol nyelvi felkészítő támogatása</t>
  </si>
  <si>
    <t xml:space="preserve">  - folk hétvége</t>
  </si>
  <si>
    <t>- 11. éves sajtófotó kiállítás és album</t>
  </si>
  <si>
    <t xml:space="preserve"> - Kórusfesztivál</t>
  </si>
  <si>
    <t xml:space="preserve"> - Zegasztár-Tehetségbarát Önkormányzat </t>
  </si>
  <si>
    <t xml:space="preserve"> - Hevesi Sándor Színház társműködtetöi támogatás átadása</t>
  </si>
  <si>
    <t xml:space="preserve"> - Griff Bábszínház társműködtetöi támogatás átadása</t>
  </si>
  <si>
    <t xml:space="preserve"> - Fogyatékos Otthon működtetése</t>
  </si>
  <si>
    <t>"Nemzeti Ovi-Sport Program" című pályázaton való részvétel (Bazitai és Ságodi  tagóvodák) önrész és előkészítő munkák</t>
  </si>
  <si>
    <t>Ságodi Óvoda fejlesztésére</t>
  </si>
  <si>
    <t>Mikes utcai Óvoda fejlesztése</t>
  </si>
  <si>
    <t>Belvárosi I.Óvoda Kis u.óvoda melegítő konyha felújítása</t>
  </si>
  <si>
    <t xml:space="preserve">Landorhegyi Sportiskolai Általános Iskola eszközfejlesztés: </t>
  </si>
  <si>
    <t>Városi Hangverseny és Kiállító Terem színpad felújítás, megerősítés</t>
  </si>
  <si>
    <t>VMK tetőszigetelés beázás miatt</t>
  </si>
  <si>
    <t>Ady mozi épület ivóvíz gerincvezeték rekonstrukciós munkái</t>
  </si>
  <si>
    <t>2./4</t>
  </si>
  <si>
    <t>Zala Megyei Népművészeti  Egyesület felhalmozási célú támogatás</t>
  </si>
  <si>
    <t>2./5</t>
  </si>
  <si>
    <t>Mihály deák szobor Göcseji Múzeum előtt</t>
  </si>
  <si>
    <t>MLSZ pálya önrész Neszele és Kaszaháza Ovi-Foci program keretében</t>
  </si>
  <si>
    <t>4./2.</t>
  </si>
  <si>
    <t>VSGI raktárak pótlása</t>
  </si>
  <si>
    <t>4./3.</t>
  </si>
  <si>
    <t>Munkacsarnok vizesblokkok felújítása</t>
  </si>
  <si>
    <t>Zalaegerszegi Tourinform Iroda felújítása</t>
  </si>
  <si>
    <t xml:space="preserve"> - Gébárti tó környezetének rendbetétele</t>
  </si>
  <si>
    <t xml:space="preserve"> - okos zebrák üzemeltetése</t>
  </si>
  <si>
    <t xml:space="preserve"> - önkormányzati tulajdonú közművek felett úthibák javítása </t>
  </si>
  <si>
    <t xml:space="preserve"> - Zalaegerszeg 6522/1 hrsz. ingatlanon fellelhető illegális hulladék felszámolása a "Települési önkormányzatok számára az illegális hulladéklerakók felszámolása" pályázat terhére </t>
  </si>
  <si>
    <t xml:space="preserve">  - Fischer György- Országépítő szobor tisztítása</t>
  </si>
  <si>
    <t>Ifjúság utca csapadékvízelvezetés rendezése</t>
  </si>
  <si>
    <t>Fedlapcserék</t>
  </si>
  <si>
    <t>2020. évről áthúzódó feladat</t>
  </si>
  <si>
    <t>Pityke utca közvilágítás</t>
  </si>
  <si>
    <t>Apáczai tér közvilágítás fejlesztés</t>
  </si>
  <si>
    <t>Rozmaring u. északi vége közvilágítás fejlesztése</t>
  </si>
  <si>
    <t>Szenterzsébethegyi közvilágítás fejlesztése</t>
  </si>
  <si>
    <t>Göcseji Falumúzeum II. ütem kivitelezéséhez feltáró útvonal</t>
  </si>
  <si>
    <t>Platán sor járdafelújítások Spar melletti szakasz</t>
  </si>
  <si>
    <t>762. sz. út térköves felállósávok felújítása</t>
  </si>
  <si>
    <t>Városi hidak hídfővizsgálatai</t>
  </si>
  <si>
    <t>Ebergényi úti buszmegálló felújítása</t>
  </si>
  <si>
    <t>Majori u. aszfaltozása I. ütem</t>
  </si>
  <si>
    <t>Járdajavítások infratechnológiával</t>
  </si>
  <si>
    <t xml:space="preserve">Irinyi – Malom utca járda szakasza </t>
  </si>
  <si>
    <t>Petőfi utca járdafelújítás</t>
  </si>
  <si>
    <t>Toldi utca járdafelújítás</t>
  </si>
  <si>
    <t>Szilágyi Erzsébet utca járdafelújítás</t>
  </si>
  <si>
    <t>Ola utca 14-16. előtti járda felújítása</t>
  </si>
  <si>
    <t>Gárdonyi Géza utca járdafelújítás</t>
  </si>
  <si>
    <t>Mikes utca járdafelújítás</t>
  </si>
  <si>
    <t xml:space="preserve">Toposházi u. felújítás </t>
  </si>
  <si>
    <t>Cédrus u. felújítása</t>
  </si>
  <si>
    <t>Hársas utca felújítása IV. ütem</t>
  </si>
  <si>
    <t>Bazitai templom előtti járda</t>
  </si>
  <si>
    <t>Csáfordi u. fekvőrendőr</t>
  </si>
  <si>
    <t>Landorhegyi u. 14. sz. társasház melletti járda és lépcsőfelújítás II. ütem</t>
  </si>
  <si>
    <t>Landorhegyi u. 28. mögötti területen parkoló és járda térköves burkolása</t>
  </si>
  <si>
    <t>Bartók Béla utca – Volán utca postaládák környezetének rendbetétele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</si>
  <si>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</si>
  <si>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</si>
  <si>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</si>
  <si>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</si>
  <si>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>Hegyalja utca 59-61 járdafelújítás</t>
  </si>
  <si>
    <t>Hegyalja út 69 – 80 közötti lépcsősor felújítása</t>
  </si>
  <si>
    <t xml:space="preserve">Ságodi út járda rehabilitációja I. ütem </t>
  </si>
  <si>
    <t>Domb utca járdafelújítás I. ütem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</si>
  <si>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</si>
  <si>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</si>
  <si>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</si>
  <si>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</si>
  <si>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</si>
  <si>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</si>
  <si>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</si>
  <si>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</si>
  <si>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</si>
  <si>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Andráshida úton buszöböl felújítása</t>
  </si>
  <si>
    <t>Kinizsi P. u. 34. számú ingatlan előtti járdaszakasz felújítása és tereprendezés</t>
  </si>
  <si>
    <t>Hevesi u. 3. számú ingatlan előtti rácsos folyóka elhelyezése</t>
  </si>
  <si>
    <t>Tóth Árpád utca zsákutcai szakasz deltájának kiépítése</t>
  </si>
  <si>
    <t>Cinke u.4. számú társasháznál akadálymentes átjáró járda építése</t>
  </si>
  <si>
    <t>Játszóterek fejlesztése</t>
  </si>
  <si>
    <t>Udvardy Ignác tér fejlesztés előkészítése</t>
  </si>
  <si>
    <t xml:space="preserve">Kinizsi u. sportpálya kerítésépítés, vagyonvédelem </t>
  </si>
  <si>
    <t>Radnóti óvoda udvari játszóeszköz beszerzés</t>
  </si>
  <si>
    <t>Széna tér játszótér</t>
  </si>
  <si>
    <t>Apáczai tér kosárlabda palánkok felhelyezése</t>
  </si>
  <si>
    <t>Csillagközi Óvoda udvari játszóeszközök fejlesztése</t>
  </si>
  <si>
    <t xml:space="preserve">Nekeresdi játszótér fejlesztése </t>
  </si>
  <si>
    <t>Bazitai kereszt állítás</t>
  </si>
  <si>
    <t>Piac fedett árusítóhelyein található asztalok felújítása</t>
  </si>
  <si>
    <t>Gébárti tó fejlesztési, üzemeltetési, magasabb szintű fenntartási feladatai VÜCS</t>
  </si>
  <si>
    <t>8./1.</t>
  </si>
  <si>
    <t>2./2.</t>
  </si>
  <si>
    <t>Ivóvízvezeték fejlesztések</t>
  </si>
  <si>
    <t>3.a/1.</t>
  </si>
  <si>
    <t>Iskola utcai gáznyomásszabályzó létesítése</t>
  </si>
  <si>
    <t>Perlaki u. járdaépítés</t>
  </si>
  <si>
    <t>Pózva u. útrekonstrukció</t>
  </si>
  <si>
    <t>Táncsics u. gyalogjárda átépítése</t>
  </si>
  <si>
    <t>Liget utca aszfaltozása</t>
  </si>
  <si>
    <t>Ola utca „U” alakú épület mögött új parkolóhelyek kialakítása</t>
  </si>
  <si>
    <t>Eötvös J.Iskola környezetében új parkolóhelyek  kialakítása</t>
  </si>
  <si>
    <t>Berzsenyi u. 13. parkoló építése</t>
  </si>
  <si>
    <t>6./1</t>
  </si>
  <si>
    <t>Iskola köz gáznyomásszabályozó cseréje</t>
  </si>
  <si>
    <t>6./2</t>
  </si>
  <si>
    <t>Morandini köztéri alkotás és téralakítás munkái</t>
  </si>
  <si>
    <t>6./3</t>
  </si>
  <si>
    <t>Németh János emléktábla elhelyezése Kerámia lakóparkban</t>
  </si>
  <si>
    <t>6./4</t>
  </si>
  <si>
    <t>Vizslaparki pavilon hálózatfejlesztés</t>
  </si>
  <si>
    <t>Vásárcsarnok vizesblokk felújítás</t>
  </si>
  <si>
    <t>Andráshidai Közösségi Ház felújítása</t>
  </si>
  <si>
    <t xml:space="preserve">Botfai közösségi ház bejárat és kapu felújítása </t>
  </si>
  <si>
    <t xml:space="preserve">Közösségi Ház fejlesztése Zalabesenyőben </t>
  </si>
  <si>
    <t>Önkormányzat tulajdonában lévő mintegy 20 db bérlakás   teljes vagy részleges  felújítása, korszerűsítése  (Lakásalap)</t>
  </si>
  <si>
    <t>9.a/3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</si>
  <si>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</si>
  <si>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</si>
  <si>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</si>
  <si>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10./1./1</t>
  </si>
  <si>
    <t>TOP-6.3.2-15-ZL1-2020-00004 "A Gébárti-tó és környékének rekreációs, szabadidős használatát elősegítő infrastruktúra kialakítása II. ütem "</t>
  </si>
  <si>
    <t>10./1./2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</si>
  <si>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</si>
  <si>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</si>
  <si>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</si>
  <si>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TOP-6.1.3 -15-ZL1-2016-00001 Helyi termelői és kézműves piac kialakítása Zalaegerszegen ( nettó)</t>
  </si>
  <si>
    <t xml:space="preserve">     -  Keresztury Dezső tér felújítása </t>
  </si>
  <si>
    <t>Modern Városok Program keretében tervezett közúthálózat és kapcsolódó tereinek fejlesztései</t>
  </si>
  <si>
    <t>10./4.a/5</t>
  </si>
  <si>
    <t>10./4.a/6</t>
  </si>
  <si>
    <t>"Zöld busz mintaprojekt"</t>
  </si>
  <si>
    <t>Stratégiai előkészítő feladatok</t>
  </si>
  <si>
    <t>Műszaki ellenőri feladatok ellátása</t>
  </si>
  <si>
    <t>10./5.3</t>
  </si>
  <si>
    <t>10./5.4</t>
  </si>
  <si>
    <t>10./5.5</t>
  </si>
  <si>
    <t>10./5.6</t>
  </si>
  <si>
    <t>Területvásárlások a TOP 6.1.1-16 Zalaegerszegi logisztikai Központ projekthez és egyéb fejlesztésekhez</t>
  </si>
  <si>
    <t>10./5.7</t>
  </si>
  <si>
    <t>ELENA program bérek fedezetének átadása</t>
  </si>
  <si>
    <t xml:space="preserve"> - ZALAZONE terület értékesítés és művelési ágból történő kivonás</t>
  </si>
  <si>
    <t>Cserével vegyes ingatlanszerződések</t>
  </si>
  <si>
    <t>Befektetés támogatás  az ECT Hungary Kft. részére  ( telekár  kedvezméy)</t>
  </si>
  <si>
    <t xml:space="preserve"> - 2020. évi állami hozzájárulás elszámolása </t>
  </si>
  <si>
    <t xml:space="preserve"> - 2021. évi állami hozzájárulás előleg visszafizetése </t>
  </si>
  <si>
    <t>"Zalaegerszeg " felirat cseréje</t>
  </si>
  <si>
    <t>ZALAVÍZ Zrt. ázsiós tőkeemelés</t>
  </si>
  <si>
    <t>Zalai Közszolgáltató Nonprofit Kft. tőkeemelés</t>
  </si>
  <si>
    <t>1.a/2.</t>
  </si>
  <si>
    <t xml:space="preserve"> - Nyugdíjas Otthonházi  adományok</t>
  </si>
  <si>
    <t xml:space="preserve"> - 2019. évi Aquapark jótékonysági nap bevételéből támogatás visszafizetése</t>
  </si>
  <si>
    <t xml:space="preserve"> - településrészi önkormányzatok</t>
  </si>
  <si>
    <t>2216*</t>
  </si>
  <si>
    <t>4./51.</t>
  </si>
  <si>
    <t>Szívhegyi u.-Szüret u. csomópont és csapadékvízelvezető rendszer átépítése</t>
  </si>
  <si>
    <t>Altatás Biztonságáért Alapítvány támogatása</t>
  </si>
  <si>
    <t xml:space="preserve"> - Idősek Otthona férőhely megváltás</t>
  </si>
  <si>
    <t xml:space="preserve"> - Vis maior támogatás</t>
  </si>
  <si>
    <t>2. 2.22 Szociális ágazati összevont pótlék és egészségügyi kiegészítő pótlék</t>
  </si>
  <si>
    <t>3.1. Vis maior támogatás</t>
  </si>
  <si>
    <t xml:space="preserve"> - MOL adomány</t>
  </si>
  <si>
    <t xml:space="preserve"> - Széna tér zártkerti fejlesztése</t>
  </si>
  <si>
    <t>152946</t>
  </si>
  <si>
    <t xml:space="preserve"> - intézményi elvonás maradvány terhére</t>
  </si>
  <si>
    <t xml:space="preserve"> - Elszámolásból származó bevétel</t>
  </si>
  <si>
    <t xml:space="preserve"> - helyi önkormányzatok kiegészítő állami támogatásai</t>
  </si>
  <si>
    <t xml:space="preserve"> - Pedagógus napi rendezvény szervezése</t>
  </si>
  <si>
    <t>kgy,pm</t>
  </si>
  <si>
    <t xml:space="preserve"> - Zöld Irány Egyesület támogatása</t>
  </si>
  <si>
    <t xml:space="preserve"> - Zala Megyei Diáksport Szövetség támogatása</t>
  </si>
  <si>
    <t>1./2./7.</t>
  </si>
  <si>
    <t xml:space="preserve">Petőfi S. Iskola lámpatestek cseréje </t>
  </si>
  <si>
    <t>2./6.</t>
  </si>
  <si>
    <t>Székelykapu felállítása</t>
  </si>
  <si>
    <t>2./7.</t>
  </si>
  <si>
    <t>Erdődy család emléktábla</t>
  </si>
  <si>
    <t>2./8.</t>
  </si>
  <si>
    <t>Art moziban nézőtéri székek beszerzése</t>
  </si>
  <si>
    <t>2./9.</t>
  </si>
  <si>
    <t>Kézművesek Háza tető felújítás</t>
  </si>
  <si>
    <t>2./10.</t>
  </si>
  <si>
    <t>Mihály deák szobor telepítésének járulékos munkái</t>
  </si>
  <si>
    <t>3./2.</t>
  </si>
  <si>
    <t>Idősek Otthona épületének fejlesztése</t>
  </si>
  <si>
    <t>4./4.</t>
  </si>
  <si>
    <t>Ostoros munkacsarnok öltöző tetőszigetelés</t>
  </si>
  <si>
    <t xml:space="preserve"> - Z.M.Rendőrfőkapitányság FORFA épület bontása</t>
  </si>
  <si>
    <t>1./5.</t>
  </si>
  <si>
    <t>Idősek Gondozóháza szennyvíz rekonstrukciós munkák</t>
  </si>
  <si>
    <t>4./52.</t>
  </si>
  <si>
    <t>Rózsás úti buszöböl felújítása</t>
  </si>
  <si>
    <t>4./53.</t>
  </si>
  <si>
    <t>Besenyő utca 1. szám előtt útburkolat aszfaltozásai munkái</t>
  </si>
  <si>
    <t>4./54.</t>
  </si>
  <si>
    <t>Platán sor 5. szám előtti járdák felújítása</t>
  </si>
  <si>
    <t>4./55.</t>
  </si>
  <si>
    <t>Parkolóépítés parkolómegváltás bevételéből</t>
  </si>
  <si>
    <t>5./13.</t>
  </si>
  <si>
    <t>Vizslapark, Fiatalok című szobor szökőkúttá történő alakítása</t>
  </si>
  <si>
    <t>9./3.</t>
  </si>
  <si>
    <t>9./4.</t>
  </si>
  <si>
    <t>Arányos városfejlesztés feladatai</t>
  </si>
  <si>
    <t>4./14.</t>
  </si>
  <si>
    <t>Kiscsarit út burkolatfelújítás</t>
  </si>
  <si>
    <t>9./6</t>
  </si>
  <si>
    <t>Besenyő a 2000-es években Alapítvány részére pe. átadás közösségi ház felújítási munkáira</t>
  </si>
  <si>
    <t>9./7.</t>
  </si>
  <si>
    <t>Színház  elektromos többlet teljesítmény</t>
  </si>
  <si>
    <t xml:space="preserve"> - Regőczi István Alapítvány támogatása</t>
  </si>
  <si>
    <t>Következő év feladatai</t>
  </si>
  <si>
    <t xml:space="preserve">         - városüzemeltetési feladatok</t>
  </si>
  <si>
    <t xml:space="preserve">          -játszóterek fenntartása</t>
  </si>
  <si>
    <t xml:space="preserve">          - köztéri hulladékgyűjtők</t>
  </si>
  <si>
    <t xml:space="preserve">         - temetők fenntartása</t>
  </si>
  <si>
    <t xml:space="preserve">         - új városi honlap készítés</t>
  </si>
  <si>
    <t>9./5.</t>
  </si>
  <si>
    <t>Göcseji úti temető- ideiglenes ravatalozó áthelyezése</t>
  </si>
  <si>
    <t xml:space="preserve"> - ingatlanvásárlás</t>
  </si>
  <si>
    <t xml:space="preserve"> - Nemzetközi Vadászati és Természeti Kiállítás</t>
  </si>
  <si>
    <t xml:space="preserve"> Nemzetközi Vadászati és Természeti Kiállítás</t>
  </si>
  <si>
    <t>Elszámolásból származó bevétel</t>
  </si>
  <si>
    <t>Kormányzati támogatás (HIPA ellentételezés)</t>
  </si>
  <si>
    <t xml:space="preserve"> - Cédrus u.felújításához lakossági befizetés</t>
  </si>
  <si>
    <t>155443</t>
  </si>
  <si>
    <t xml:space="preserve"> - Kossuth utca posta előtti burkolat karbantartás, csere</t>
  </si>
  <si>
    <t>Zúzalékos utak felújítása</t>
  </si>
  <si>
    <t>Aquacity Hullám-medence gépház felőli falának statikai megerősítése</t>
  </si>
  <si>
    <t>Eötvös J. Iskola környezetében új parkolóhelyek  kialakítása</t>
  </si>
  <si>
    <t xml:space="preserve">TOP-6.5.1-16-ZL1-2017-00001 Liszt F. tagiskola energetikai korszerűsítése </t>
  </si>
  <si>
    <t xml:space="preserve">     1.2.3.1.1.1.2. Pedagógus II. kategóriába sorolt óvodapedagógusok kiegészítő támogatása, akik a minősítés 2021. jan-1-jei átsorolással szerezték meg</t>
  </si>
  <si>
    <t>B12</t>
  </si>
  <si>
    <t>Elvonások és befizetések</t>
  </si>
  <si>
    <t>2.3.2.4. Könyvtári célú érdekeltségnövelő támogatás</t>
  </si>
  <si>
    <t>Önkormányzati feladatellátást szolgáló fejlesztése</t>
  </si>
  <si>
    <t xml:space="preserve"> - Mihály deák szobor Göcseji Múzeum előtt</t>
  </si>
  <si>
    <t>082030 Művészeti tevékenységek</t>
  </si>
  <si>
    <t xml:space="preserve"> - Térzenei koncertek EMT-TE-B-A-21-0515</t>
  </si>
  <si>
    <t>016040 Nemzetpolitikai tevékenység igazgatása és támogatása</t>
  </si>
  <si>
    <t xml:space="preserve">  -   Székelykapu felállítása</t>
  </si>
  <si>
    <t xml:space="preserve"> - kulturális intézményekben béremelés finanszírozása</t>
  </si>
  <si>
    <t xml:space="preserve"> - koronavírus járvány által okozott, kulturális ágazatot érintő károk enyhítése</t>
  </si>
  <si>
    <t xml:space="preserve"> - Gébárti kemping földhasználat, fedett fürdő földhasználat</t>
  </si>
  <si>
    <t>151909</t>
  </si>
  <si>
    <t xml:space="preserve"> - közművesítési hozzájárulás</t>
  </si>
  <si>
    <t>151611</t>
  </si>
  <si>
    <t xml:space="preserve"> - TOP-7.1.1-16-H-ERFA-2019-00089 TOP CLLD Art mozi közösségi és rendezvény térré alakítása</t>
  </si>
  <si>
    <t xml:space="preserve"> - Északi Ipari park infrastuktúra fejlesztésével összefüggő közműfejlesztések és közműcsatlakozások</t>
  </si>
  <si>
    <t xml:space="preserve"> - ZalaZone terület értékesítés</t>
  </si>
  <si>
    <t xml:space="preserve"> - Városi uszoda kültéri medence bérleti díja</t>
  </si>
  <si>
    <t xml:space="preserve"> -felhalmozási célú pénzeszköz átvétel a MOL Nyrt-től </t>
  </si>
  <si>
    <t>kgy</t>
  </si>
  <si>
    <t>pm</t>
  </si>
  <si>
    <t xml:space="preserve"> - Páterdomb LSC működési és sportlétesítmény üzemeltetési tám.</t>
  </si>
  <si>
    <t xml:space="preserve"> Iskola utcai grund méretű műfüves sportpálya felújítása</t>
  </si>
  <si>
    <t xml:space="preserve"> - fedett fürdő jegyár kompenzáció</t>
  </si>
  <si>
    <t>Kiseredei úti temető locsoló- és tüzivízvezeték felújítása</t>
  </si>
  <si>
    <t>3./5</t>
  </si>
  <si>
    <t>4./56.</t>
  </si>
  <si>
    <t>Baráth Ferenc utca járdafelújítási munkák</t>
  </si>
  <si>
    <t>4./57.</t>
  </si>
  <si>
    <t>Göcseji út 49. sz. mögötti járda felújítási munkái</t>
  </si>
  <si>
    <t>4./58.</t>
  </si>
  <si>
    <t>Berzsenyi D.u. 13.előtti járdaburkolat felújítási munkái</t>
  </si>
  <si>
    <t>4./59.</t>
  </si>
  <si>
    <t>Platán sor 16. és Gasparich M.u. 13. előtti járdaszakasz felújítási munkái</t>
  </si>
  <si>
    <t>4./60.</t>
  </si>
  <si>
    <t>Cinke Park bevezető szakasz térkövezése</t>
  </si>
  <si>
    <t xml:space="preserve">4./61. </t>
  </si>
  <si>
    <t>Platán sor 19. bevezető járda felújítása</t>
  </si>
  <si>
    <t>4./62.</t>
  </si>
  <si>
    <t>745/95 hrsz-ú kivett közterület járda felújítás pályázati támogatással</t>
  </si>
  <si>
    <t>Páterdombi kutyafuttató bővítése a Baross G.utcában</t>
  </si>
  <si>
    <t>5./14.</t>
  </si>
  <si>
    <t>Református templom tetőfelújítás támogatása</t>
  </si>
  <si>
    <t>9./6.</t>
  </si>
  <si>
    <t xml:space="preserve"> Botfai temető északi oldali kerítés cseréje</t>
  </si>
  <si>
    <t>4./15.</t>
  </si>
  <si>
    <t>Juhász Gyula u. felújítása (aszfaltozás)</t>
  </si>
  <si>
    <t>9./8.</t>
  </si>
  <si>
    <t>Hatháza közösségi tér fejlesztése</t>
  </si>
  <si>
    <t>9./9.</t>
  </si>
  <si>
    <t>Honvédelmi Sportközpont járulékos előkészítő feladatai</t>
  </si>
  <si>
    <t>10./4./1.</t>
  </si>
  <si>
    <t>Északi Ipari park infrastuktúra fejlesztésével összefüggő közműfejlesztések és közműcsatlakozások</t>
  </si>
  <si>
    <t>10./4./2.</t>
  </si>
  <si>
    <t>ZalaZone Tudományos és Innovációs Park</t>
  </si>
  <si>
    <t xml:space="preserve"> - Deák F. Megyei és Városi Könyvtár részére ált.forgalmi adó megelőlegezés </t>
  </si>
  <si>
    <t>Felhalmozási célú pénzeszköz átadás a Z.M.Katasztrófavéd. Igazgatóság részére</t>
  </si>
  <si>
    <t xml:space="preserve"> - beruházási feladatokhoz kapcsolódó működési kiadások</t>
  </si>
  <si>
    <t>Fejlesztési tartalék</t>
  </si>
  <si>
    <t>4./5.</t>
  </si>
  <si>
    <t>Tekepályák felújítása</t>
  </si>
  <si>
    <t>4./6.</t>
  </si>
  <si>
    <t xml:space="preserve"> Csácsi multifunkcionális sportpálya befejező munkái</t>
  </si>
  <si>
    <t>B75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</si>
</sst>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</numFmts>
  <fonts count="100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8"/>
      <name val="Times New Roman"/>
      <family val="1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b/>
      <i/>
      <sz val="9"/>
      <name val="Times New Roman"/>
      <family val="1"/>
      <charset val="1"/>
    </font>
    <font>
      <strike/>
      <sz val="10"/>
      <name val="Times New Roman"/>
      <family val="1"/>
      <charset val="238"/>
    </font>
    <font>
      <strike/>
      <sz val="10"/>
      <color indexed="53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name val="Times New Roman"/>
      <family val="1"/>
    </font>
    <font>
      <sz val="9"/>
      <name val="Times New Roman"/>
      <family val="1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sz val="8"/>
      <name val="Times New Roman CE"/>
      <charset val="238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9"/>
      <color theme="1"/>
      <name val="Times New Roman"/>
      <family val="1"/>
      <charset val="238"/>
    </font>
  </fonts>
  <fills count="52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1" fillId="4" borderId="0" applyNumberFormat="0" applyBorder="0" applyAlignment="0" applyProtection="0"/>
    <xf numFmtId="0" fontId="60" fillId="5" borderId="0" applyNumberFormat="0" applyBorder="0" applyAlignment="0" applyProtection="0"/>
    <xf numFmtId="0" fontId="21" fillId="6" borderId="0" applyNumberFormat="0" applyBorder="0" applyAlignment="0" applyProtection="0"/>
    <xf numFmtId="0" fontId="60" fillId="7" borderId="0" applyNumberFormat="0" applyBorder="0" applyAlignment="0" applyProtection="0"/>
    <xf numFmtId="0" fontId="21" fillId="8" borderId="0" applyNumberFormat="0" applyBorder="0" applyAlignment="0" applyProtection="0"/>
    <xf numFmtId="0" fontId="60" fillId="9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2" borderId="0" applyNumberFormat="0" applyBorder="0" applyAlignment="0" applyProtection="0"/>
    <xf numFmtId="0" fontId="60" fillId="13" borderId="0" applyNumberFormat="0" applyBorder="0" applyAlignment="0" applyProtection="0"/>
    <xf numFmtId="0" fontId="21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20" borderId="0" applyNumberFormat="0" applyBorder="0" applyAlignment="0" applyProtection="0"/>
    <xf numFmtId="0" fontId="60" fillId="21" borderId="0" applyNumberFormat="0" applyBorder="0" applyAlignment="0" applyProtection="0"/>
    <xf numFmtId="0" fontId="21" fillId="22" borderId="0" applyNumberFormat="0" applyBorder="0" applyAlignment="0" applyProtection="0"/>
    <xf numFmtId="0" fontId="60" fillId="23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2" fillId="27" borderId="0" applyNumberFormat="0" applyBorder="0" applyAlignment="0" applyProtection="0"/>
    <xf numFmtId="0" fontId="61" fillId="28" borderId="0" applyNumberFormat="0" applyBorder="0" applyAlignment="0" applyProtection="0"/>
    <xf numFmtId="0" fontId="22" fillId="20" borderId="0" applyNumberFormat="0" applyBorder="0" applyAlignment="0" applyProtection="0"/>
    <xf numFmtId="0" fontId="61" fillId="21" borderId="0" applyNumberFormat="0" applyBorder="0" applyAlignment="0" applyProtection="0"/>
    <xf numFmtId="0" fontId="22" fillId="22" borderId="0" applyNumberFormat="0" applyBorder="0" applyAlignment="0" applyProtection="0"/>
    <xf numFmtId="0" fontId="61" fillId="23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3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4" fillId="0" borderId="0" applyNumberFormat="0" applyFill="0" applyBorder="0" applyAlignment="0" applyProtection="0"/>
    <xf numFmtId="0" fontId="25" fillId="0" borderId="3" applyNumberFormat="0" applyFill="0" applyAlignment="0" applyProtection="0"/>
    <xf numFmtId="0" fontId="63" fillId="0" borderId="4" applyNumberFormat="0" applyFill="0" applyAlignment="0" applyProtection="0"/>
    <xf numFmtId="0" fontId="26" fillId="0" borderId="5" applyNumberFormat="0" applyFill="0" applyAlignment="0" applyProtection="0"/>
    <xf numFmtId="0" fontId="64" fillId="0" borderId="6" applyNumberFormat="0" applyFill="0" applyAlignment="0" applyProtection="0"/>
    <xf numFmtId="0" fontId="27" fillId="0" borderId="7" applyNumberFormat="0" applyFill="0" applyAlignment="0" applyProtection="0"/>
    <xf numFmtId="0" fontId="65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8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1" fillId="37" borderId="10" applyNumberFormat="0" applyFont="0" applyAlignment="0" applyProtection="0"/>
    <xf numFmtId="0" fontId="59" fillId="38" borderId="10" applyNumberFormat="0" applyAlignment="0" applyProtection="0"/>
    <xf numFmtId="0" fontId="22" fillId="25" borderId="0" applyNumberFormat="0" applyBorder="0" applyAlignment="0" applyProtection="0"/>
    <xf numFmtId="0" fontId="61" fillId="39" borderId="0" applyNumberFormat="0" applyBorder="0" applyAlignment="0" applyProtection="0"/>
    <xf numFmtId="0" fontId="22" fillId="34" borderId="0" applyNumberFormat="0" applyBorder="0" applyAlignment="0" applyProtection="0"/>
    <xf numFmtId="0" fontId="61" fillId="40" borderId="0" applyNumberFormat="0" applyBorder="0" applyAlignment="0" applyProtection="0"/>
    <xf numFmtId="0" fontId="22" fillId="26" borderId="0" applyNumberFormat="0" applyBorder="0" applyAlignment="0" applyProtection="0"/>
    <xf numFmtId="0" fontId="61" fillId="41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2" fillId="8" borderId="0" applyNumberFormat="0" applyBorder="0" applyAlignment="0" applyProtection="0"/>
    <xf numFmtId="0" fontId="69" fillId="9" borderId="0" applyNumberFormat="0" applyBorder="0" applyAlignment="0" applyProtection="0"/>
    <xf numFmtId="0" fontId="33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1" fillId="0" borderId="0"/>
    <xf numFmtId="0" fontId="59" fillId="0" borderId="0"/>
    <xf numFmtId="0" fontId="17" fillId="0" borderId="0"/>
    <xf numFmtId="0" fontId="6" fillId="0" borderId="0"/>
    <xf numFmtId="0" fontId="7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6" fillId="0" borderId="0"/>
    <xf numFmtId="0" fontId="76" fillId="0" borderId="0"/>
    <xf numFmtId="0" fontId="5" fillId="0" borderId="0"/>
    <xf numFmtId="0" fontId="6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5" fillId="0" borderId="12" applyNumberFormat="0" applyFill="0" applyAlignment="0" applyProtection="0"/>
    <xf numFmtId="0" fontId="72" fillId="0" borderId="12" applyNumberFormat="0" applyFill="0" applyAlignment="0" applyProtection="0"/>
    <xf numFmtId="0" fontId="36" fillId="6" borderId="0" applyNumberFormat="0" applyBorder="0" applyAlignment="0" applyProtection="0"/>
    <xf numFmtId="0" fontId="73" fillId="7" borderId="0" applyNumberFormat="0" applyBorder="0" applyAlignment="0" applyProtection="0"/>
    <xf numFmtId="0" fontId="37" fillId="44" borderId="0" applyNumberFormat="0" applyBorder="0" applyAlignment="0" applyProtection="0"/>
    <xf numFmtId="0" fontId="74" fillId="45" borderId="0" applyNumberFormat="0" applyBorder="0" applyAlignment="0" applyProtection="0"/>
    <xf numFmtId="0" fontId="38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84" fillId="0" borderId="0"/>
    <xf numFmtId="0" fontId="40" fillId="0" borderId="0"/>
    <xf numFmtId="0" fontId="17" fillId="0" borderId="0"/>
    <xf numFmtId="0" fontId="9" fillId="0" borderId="0"/>
    <xf numFmtId="0" fontId="6" fillId="0" borderId="0"/>
    <xf numFmtId="0" fontId="59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76" fillId="0" borderId="0"/>
  </cellStyleXfs>
  <cellXfs count="984">
    <xf numFmtId="0" fontId="0" fillId="0" borderId="0" xfId="0"/>
    <xf numFmtId="3" fontId="7" fillId="0" borderId="0" xfId="0" applyNumberFormat="1" applyFont="1" applyAlignment="1">
      <alignment vertical="center"/>
    </xf>
    <xf numFmtId="3" fontId="12" fillId="0" borderId="1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center" vertical="center"/>
    </xf>
    <xf numFmtId="3" fontId="12" fillId="0" borderId="13" xfId="136" applyNumberFormat="1" applyFont="1" applyBorder="1" applyAlignment="1">
      <alignment horizontal="right" vertical="center"/>
    </xf>
    <xf numFmtId="3" fontId="12" fillId="0" borderId="13" xfId="136" applyNumberFormat="1" applyFont="1" applyBorder="1" applyAlignment="1">
      <alignment vertical="center"/>
    </xf>
    <xf numFmtId="3" fontId="12" fillId="0" borderId="13" xfId="136" applyNumberFormat="1" applyFont="1" applyFill="1" applyBorder="1" applyAlignment="1">
      <alignment vertical="center"/>
    </xf>
    <xf numFmtId="3" fontId="11" fillId="46" borderId="13" xfId="136" applyNumberFormat="1" applyFont="1" applyFill="1" applyBorder="1" applyAlignment="1">
      <alignment horizontal="right" vertical="center"/>
    </xf>
    <xf numFmtId="3" fontId="11" fillId="46" borderId="13" xfId="136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/>
    </xf>
    <xf numFmtId="3" fontId="12" fillId="0" borderId="14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 applyFill="1"/>
    <xf numFmtId="0" fontId="8" fillId="0" borderId="0" xfId="0" applyFont="1"/>
    <xf numFmtId="3" fontId="7" fillId="0" borderId="0" xfId="0" applyNumberFormat="1" applyFont="1" applyFill="1" applyBorder="1" applyAlignment="1">
      <alignment vertical="center"/>
    </xf>
    <xf numFmtId="0" fontId="7" fillId="0" borderId="0" xfId="0" applyFont="1"/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0" fontId="8" fillId="0" borderId="0" xfId="0" applyFont="1" applyFill="1"/>
    <xf numFmtId="3" fontId="7" fillId="0" borderId="0" xfId="0" applyNumberFormat="1" applyFont="1" applyAlignment="1">
      <alignment horizontal="center" vertical="center" wrapText="1"/>
    </xf>
    <xf numFmtId="0" fontId="6" fillId="0" borderId="0" xfId="127" applyAlignment="1">
      <alignment vertical="center"/>
    </xf>
    <xf numFmtId="0" fontId="6" fillId="0" borderId="0" xfId="127" applyAlignment="1">
      <alignment vertical="top"/>
    </xf>
    <xf numFmtId="0" fontId="15" fillId="0" borderId="0" xfId="127" applyFont="1" applyAlignment="1">
      <alignment vertical="center"/>
    </xf>
    <xf numFmtId="3" fontId="6" fillId="0" borderId="0" xfId="127" applyNumberFormat="1" applyAlignment="1">
      <alignment vertical="center"/>
    </xf>
    <xf numFmtId="3" fontId="16" fillId="0" borderId="0" xfId="136" applyNumberFormat="1" applyFont="1" applyFill="1" applyAlignment="1">
      <alignment vertical="center"/>
    </xf>
    <xf numFmtId="3" fontId="7" fillId="0" borderId="0" xfId="136" applyNumberFormat="1" applyFont="1" applyAlignment="1">
      <alignment vertical="center"/>
    </xf>
    <xf numFmtId="3" fontId="7" fillId="0" borderId="0" xfId="136" applyNumberFormat="1" applyFont="1" applyFill="1" applyBorder="1" applyAlignment="1">
      <alignment vertical="center"/>
    </xf>
    <xf numFmtId="0" fontId="7" fillId="0" borderId="0" xfId="0" applyFont="1" applyBorder="1"/>
    <xf numFmtId="3" fontId="11" fillId="46" borderId="16" xfId="0" applyNumberFormat="1" applyFont="1" applyFill="1" applyBorder="1" applyAlignment="1">
      <alignment horizontal="center" vertical="center" wrapText="1"/>
    </xf>
    <xf numFmtId="3" fontId="11" fillId="46" borderId="17" xfId="0" applyNumberFormat="1" applyFont="1" applyFill="1" applyBorder="1" applyAlignment="1">
      <alignment horizontal="center" vertical="center" wrapText="1"/>
    </xf>
    <xf numFmtId="3" fontId="11" fillId="46" borderId="18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3" fontId="11" fillId="0" borderId="13" xfId="0" applyNumberFormat="1" applyFont="1" applyBorder="1" applyAlignment="1">
      <alignment vertical="center" wrapText="1"/>
    </xf>
    <xf numFmtId="3" fontId="11" fillId="0" borderId="15" xfId="0" applyNumberFormat="1" applyFont="1" applyBorder="1" applyAlignment="1">
      <alignment vertical="center" wrapText="1"/>
    </xf>
    <xf numFmtId="3" fontId="11" fillId="0" borderId="0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 wrapText="1"/>
    </xf>
    <xf numFmtId="3" fontId="11" fillId="46" borderId="13" xfId="0" applyNumberFormat="1" applyFont="1" applyFill="1" applyBorder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1" fillId="46" borderId="19" xfId="0" applyNumberFormat="1" applyFont="1" applyFill="1" applyBorder="1" applyAlignment="1">
      <alignment vertical="center"/>
    </xf>
    <xf numFmtId="3" fontId="11" fillId="46" borderId="20" xfId="0" applyNumberFormat="1" applyFont="1" applyFill="1" applyBorder="1" applyAlignment="1">
      <alignment horizontal="left" vertical="center" wrapText="1"/>
    </xf>
    <xf numFmtId="3" fontId="16" fillId="0" borderId="0" xfId="136" applyNumberFormat="1" applyFont="1" applyAlignment="1">
      <alignment vertical="center"/>
    </xf>
    <xf numFmtId="3" fontId="7" fillId="0" borderId="0" xfId="136" applyNumberFormat="1" applyFont="1" applyFill="1" applyAlignment="1">
      <alignment vertical="center"/>
    </xf>
    <xf numFmtId="3" fontId="10" fillId="46" borderId="13" xfId="0" applyNumberFormat="1" applyFont="1" applyFill="1" applyBorder="1" applyAlignment="1">
      <alignment vertical="center" wrapText="1"/>
    </xf>
    <xf numFmtId="3" fontId="10" fillId="46" borderId="16" xfId="0" applyNumberFormat="1" applyFont="1" applyFill="1" applyBorder="1" applyAlignment="1">
      <alignment horizontal="center" vertical="center" wrapText="1"/>
    </xf>
    <xf numFmtId="3" fontId="10" fillId="46" borderId="21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3" fontId="9" fillId="0" borderId="13" xfId="0" applyNumberFormat="1" applyFont="1" applyFill="1" applyBorder="1" applyAlignment="1">
      <alignment horizontal="center" vertical="center" wrapText="1"/>
    </xf>
    <xf numFmtId="3" fontId="9" fillId="0" borderId="13" xfId="0" applyNumberFormat="1" applyFont="1" applyFill="1" applyBorder="1" applyAlignment="1">
      <alignment vertical="center" wrapText="1"/>
    </xf>
    <xf numFmtId="3" fontId="10" fillId="46" borderId="13" xfId="0" applyNumberFormat="1" applyFont="1" applyFill="1" applyBorder="1" applyAlignment="1">
      <alignment horizontal="center" vertical="center" wrapText="1"/>
    </xf>
    <xf numFmtId="0" fontId="12" fillId="0" borderId="13" xfId="127" applyFont="1" applyBorder="1" applyAlignment="1">
      <alignment vertical="center"/>
    </xf>
    <xf numFmtId="0" fontId="12" fillId="0" borderId="13" xfId="127" applyFont="1" applyBorder="1" applyAlignment="1">
      <alignment horizontal="center" vertical="center"/>
    </xf>
    <xf numFmtId="3" fontId="12" fillId="0" borderId="13" xfId="127" applyNumberFormat="1" applyFont="1" applyBorder="1" applyAlignment="1">
      <alignment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vertical="center"/>
    </xf>
    <xf numFmtId="3" fontId="12" fillId="0" borderId="13" xfId="136" applyNumberFormat="1" applyFont="1" applyBorder="1" applyAlignment="1">
      <alignment horizontal="left" vertical="center" wrapText="1"/>
    </xf>
    <xf numFmtId="3" fontId="12" fillId="0" borderId="13" xfId="136" applyNumberFormat="1" applyFont="1" applyBorder="1" applyAlignment="1">
      <alignment horizontal="left" vertical="center"/>
    </xf>
    <xf numFmtId="3" fontId="12" fillId="46" borderId="13" xfId="136" applyNumberFormat="1" applyFont="1" applyFill="1" applyBorder="1" applyAlignment="1">
      <alignment horizontal="center" vertical="center"/>
    </xf>
    <xf numFmtId="3" fontId="10" fillId="47" borderId="21" xfId="136" applyNumberFormat="1" applyFont="1" applyFill="1" applyBorder="1" applyAlignment="1">
      <alignment horizontal="center" vertical="center" wrapText="1"/>
    </xf>
    <xf numFmtId="3" fontId="10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Fill="1" applyBorder="1" applyAlignment="1">
      <alignment horizontal="center" vertical="center" wrapText="1"/>
    </xf>
    <xf numFmtId="3" fontId="9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Border="1" applyAlignment="1">
      <alignment horizontal="center" vertical="center"/>
    </xf>
    <xf numFmtId="3" fontId="9" fillId="0" borderId="13" xfId="136" applyNumberFormat="1" applyFont="1" applyBorder="1" applyAlignment="1">
      <alignment horizontal="left" vertical="center" wrapText="1"/>
    </xf>
    <xf numFmtId="3" fontId="9" fillId="0" borderId="13" xfId="136" applyNumberFormat="1" applyFont="1" applyBorder="1" applyAlignment="1">
      <alignment vertical="center"/>
    </xf>
    <xf numFmtId="3" fontId="9" fillId="0" borderId="13" xfId="136" applyNumberFormat="1" applyFont="1" applyBorder="1" applyAlignment="1">
      <alignment horizontal="left" vertical="center"/>
    </xf>
    <xf numFmtId="3" fontId="9" fillId="46" borderId="13" xfId="136" applyNumberFormat="1" applyFont="1" applyFill="1" applyBorder="1" applyAlignment="1">
      <alignment horizontal="center" vertical="center"/>
    </xf>
    <xf numFmtId="3" fontId="10" fillId="46" borderId="13" xfId="136" applyNumberFormat="1" applyFont="1" applyFill="1" applyBorder="1" applyAlignment="1">
      <alignment horizontal="left" vertical="center" wrapText="1"/>
    </xf>
    <xf numFmtId="3" fontId="9" fillId="0" borderId="0" xfId="0" applyNumberFormat="1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0" fontId="9" fillId="0" borderId="0" xfId="0" applyFont="1"/>
    <xf numFmtId="3" fontId="11" fillId="46" borderId="13" xfId="127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 wrapText="1"/>
    </xf>
    <xf numFmtId="3" fontId="9" fillId="0" borderId="13" xfId="136" applyNumberFormat="1" applyFont="1" applyFill="1" applyBorder="1" applyAlignment="1">
      <alignment vertical="center" wrapText="1"/>
    </xf>
    <xf numFmtId="3" fontId="10" fillId="0" borderId="13" xfId="136" applyNumberFormat="1" applyFont="1" applyBorder="1" applyAlignment="1">
      <alignment horizontal="left" vertical="center" wrapText="1"/>
    </xf>
    <xf numFmtId="3" fontId="9" fillId="46" borderId="13" xfId="0" applyNumberFormat="1" applyFont="1" applyFill="1" applyBorder="1" applyAlignment="1">
      <alignment horizontal="center" vertical="center" wrapText="1"/>
    </xf>
    <xf numFmtId="3" fontId="9" fillId="0" borderId="22" xfId="0" applyNumberFormat="1" applyFont="1" applyFill="1" applyBorder="1" applyAlignment="1">
      <alignment vertical="center" wrapText="1"/>
    </xf>
    <xf numFmtId="3" fontId="12" fillId="0" borderId="13" xfId="136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1" fillId="46" borderId="13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horizontal="right" vertical="center"/>
    </xf>
    <xf numFmtId="0" fontId="11" fillId="46" borderId="13" xfId="127" applyFont="1" applyFill="1" applyBorder="1" applyAlignment="1">
      <alignment vertical="center" wrapText="1"/>
    </xf>
    <xf numFmtId="0" fontId="9" fillId="0" borderId="13" xfId="134" applyFont="1" applyFill="1" applyBorder="1" applyAlignment="1">
      <alignment vertical="center"/>
    </xf>
    <xf numFmtId="0" fontId="11" fillId="46" borderId="13" xfId="127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1" fillId="46" borderId="13" xfId="127" applyFont="1" applyFill="1" applyBorder="1" applyAlignment="1">
      <alignment horizontal="center" vertical="top" wrapText="1"/>
    </xf>
    <xf numFmtId="3" fontId="10" fillId="0" borderId="20" xfId="136" applyNumberFormat="1" applyFont="1" applyFill="1" applyBorder="1" applyAlignment="1">
      <alignment horizontal="center" vertical="center" wrapText="1"/>
    </xf>
    <xf numFmtId="3" fontId="10" fillId="0" borderId="20" xfId="136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right" vertical="center" wrapText="1"/>
    </xf>
    <xf numFmtId="3" fontId="9" fillId="0" borderId="22" xfId="0" applyNumberFormat="1" applyFont="1" applyFill="1" applyBorder="1" applyAlignment="1">
      <alignment horizontal="right" vertical="center" wrapText="1"/>
    </xf>
    <xf numFmtId="3" fontId="9" fillId="46" borderId="22" xfId="0" applyNumberFormat="1" applyFont="1" applyFill="1" applyBorder="1" applyAlignment="1">
      <alignment horizontal="center" vertical="center" wrapText="1"/>
    </xf>
    <xf numFmtId="0" fontId="12" fillId="0" borderId="13" xfId="134" applyFont="1" applyFill="1" applyBorder="1" applyAlignment="1">
      <alignment vertical="center" wrapText="1"/>
    </xf>
    <xf numFmtId="0" fontId="12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2" fillId="0" borderId="19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3" fontId="12" fillId="0" borderId="13" xfId="136" applyNumberFormat="1" applyFont="1" applyFill="1" applyBorder="1" applyAlignment="1">
      <alignment horizontal="left" vertical="center"/>
    </xf>
    <xf numFmtId="0" fontId="12" fillId="0" borderId="14" xfId="0" applyFont="1" applyFill="1" applyBorder="1"/>
    <xf numFmtId="0" fontId="12" fillId="0" borderId="13" xfId="0" applyFont="1" applyFill="1" applyBorder="1"/>
    <xf numFmtId="3" fontId="7" fillId="0" borderId="0" xfId="0" applyNumberFormat="1" applyFont="1" applyBorder="1"/>
    <xf numFmtId="0" fontId="11" fillId="46" borderId="13" xfId="128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left" vertical="center" wrapText="1"/>
    </xf>
    <xf numFmtId="3" fontId="12" fillId="0" borderId="13" xfId="128" applyNumberFormat="1" applyFont="1" applyBorder="1" applyAlignment="1">
      <alignment vertical="center"/>
    </xf>
    <xf numFmtId="0" fontId="12" fillId="0" borderId="13" xfId="133" applyFont="1" applyFill="1" applyBorder="1" applyAlignment="1">
      <alignment vertical="center" wrapText="1"/>
    </xf>
    <xf numFmtId="0" fontId="12" fillId="0" borderId="13" xfId="133" applyFont="1" applyFill="1" applyBorder="1" applyAlignment="1">
      <alignment vertical="center"/>
    </xf>
    <xf numFmtId="0" fontId="12" fillId="0" borderId="13" xfId="133" applyFont="1" applyBorder="1" applyAlignment="1">
      <alignment vertical="center"/>
    </xf>
    <xf numFmtId="0" fontId="12" fillId="0" borderId="13" xfId="135" applyFont="1" applyFill="1" applyBorder="1" applyAlignment="1">
      <alignment vertical="center"/>
    </xf>
    <xf numFmtId="0" fontId="10" fillId="46" borderId="13" xfId="128" applyFont="1" applyFill="1" applyBorder="1" applyAlignment="1">
      <alignment horizontal="center" vertical="center"/>
    </xf>
    <xf numFmtId="0" fontId="10" fillId="46" borderId="13" xfId="128" applyFont="1" applyFill="1" applyBorder="1" applyAlignment="1">
      <alignment vertical="center" wrapText="1"/>
    </xf>
    <xf numFmtId="3" fontId="10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2" fillId="0" borderId="13" xfId="132" applyFont="1" applyFill="1" applyBorder="1" applyAlignment="1">
      <alignment horizontal="center" vertical="center" wrapText="1"/>
    </xf>
    <xf numFmtId="0" fontId="12" fillId="0" borderId="13" xfId="132" applyFont="1" applyFill="1" applyBorder="1" applyAlignment="1">
      <alignment horizontal="left" vertical="center" wrapText="1"/>
    </xf>
    <xf numFmtId="3" fontId="12" fillId="0" borderId="13" xfId="136" applyNumberFormat="1" applyFont="1" applyFill="1" applyBorder="1" applyAlignment="1">
      <alignment horizontal="right" vertical="center" wrapText="1"/>
    </xf>
    <xf numFmtId="0" fontId="11" fillId="46" borderId="13" xfId="128" applyFont="1" applyFill="1" applyBorder="1" applyAlignment="1">
      <alignment horizontal="center" vertical="center"/>
    </xf>
    <xf numFmtId="0" fontId="11" fillId="46" borderId="13" xfId="128" applyFont="1" applyFill="1" applyBorder="1" applyAlignment="1">
      <alignment vertical="center" wrapText="1"/>
    </xf>
    <xf numFmtId="3" fontId="12" fillId="0" borderId="19" xfId="0" applyNumberFormat="1" applyFont="1" applyFill="1" applyBorder="1" applyAlignment="1">
      <alignment vertical="center" wrapText="1"/>
    </xf>
    <xf numFmtId="3" fontId="9" fillId="0" borderId="22" xfId="0" applyNumberFormat="1" applyFont="1" applyFill="1" applyBorder="1" applyAlignment="1">
      <alignment horizontal="left" vertical="center" wrapText="1"/>
    </xf>
    <xf numFmtId="3" fontId="12" fillId="0" borderId="22" xfId="0" applyNumberFormat="1" applyFont="1" applyFill="1" applyBorder="1" applyAlignment="1">
      <alignment vertical="center" wrapText="1"/>
    </xf>
    <xf numFmtId="0" fontId="12" fillId="9" borderId="30" xfId="151" applyFont="1" applyFill="1" applyBorder="1" applyAlignment="1">
      <alignment vertical="center"/>
    </xf>
    <xf numFmtId="0" fontId="7" fillId="0" borderId="0" xfId="151" applyFont="1" applyAlignment="1">
      <alignment vertical="center"/>
    </xf>
    <xf numFmtId="0" fontId="11" fillId="50" borderId="33" xfId="151" applyFont="1" applyFill="1" applyBorder="1" applyAlignment="1">
      <alignment horizontal="center" vertical="top"/>
    </xf>
    <xf numFmtId="0" fontId="6" fillId="0" borderId="0" xfId="154"/>
    <xf numFmtId="0" fontId="10" fillId="46" borderId="31" xfId="127" applyFont="1" applyFill="1" applyBorder="1" applyAlignment="1">
      <alignment horizontal="center" vertical="top" wrapText="1"/>
    </xf>
    <xf numFmtId="0" fontId="3" fillId="46" borderId="31" xfId="0" applyFont="1" applyFill="1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 wrapText="1"/>
    </xf>
    <xf numFmtId="0" fontId="6" fillId="0" borderId="0" xfId="154" applyAlignment="1">
      <alignment vertical="center"/>
    </xf>
    <xf numFmtId="0" fontId="9" fillId="0" borderId="19" xfId="134" applyFont="1" applyBorder="1" applyAlignment="1">
      <alignment horizontal="center" vertical="center"/>
    </xf>
    <xf numFmtId="0" fontId="9" fillId="0" borderId="31" xfId="134" applyFont="1" applyBorder="1" applyAlignment="1">
      <alignment horizontal="center" vertical="center"/>
    </xf>
    <xf numFmtId="0" fontId="10" fillId="0" borderId="31" xfId="134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0" fillId="46" borderId="31" xfId="134" applyFont="1" applyFill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3" fontId="11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 wrapText="1"/>
    </xf>
    <xf numFmtId="0" fontId="9" fillId="0" borderId="36" xfId="134" applyFont="1" applyBorder="1" applyAlignment="1">
      <alignment horizontal="center" vertical="center"/>
    </xf>
    <xf numFmtId="0" fontId="9" fillId="0" borderId="37" xfId="129" applyFont="1" applyBorder="1" applyAlignment="1">
      <alignment vertical="center" wrapText="1"/>
    </xf>
    <xf numFmtId="3" fontId="12" fillId="0" borderId="36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horizontal="left" vertical="center" wrapText="1"/>
    </xf>
    <xf numFmtId="3" fontId="9" fillId="0" borderId="37" xfId="0" applyNumberFormat="1" applyFont="1" applyBorder="1" applyAlignment="1">
      <alignment vertical="center" wrapText="1"/>
    </xf>
    <xf numFmtId="0" fontId="10" fillId="46" borderId="36" xfId="134" applyFont="1" applyFill="1" applyBorder="1" applyAlignment="1">
      <alignment horizontal="center" vertical="center"/>
    </xf>
    <xf numFmtId="0" fontId="10" fillId="0" borderId="36" xfId="134" applyFont="1" applyBorder="1" applyAlignment="1">
      <alignment horizontal="center" vertical="center"/>
    </xf>
    <xf numFmtId="0" fontId="9" fillId="0" borderId="36" xfId="0" applyFont="1" applyBorder="1" applyAlignment="1">
      <alignment vertical="center"/>
    </xf>
    <xf numFmtId="0" fontId="9" fillId="0" borderId="37" xfId="134" applyFont="1" applyBorder="1" applyAlignment="1">
      <alignment vertical="center"/>
    </xf>
    <xf numFmtId="0" fontId="9" fillId="0" borderId="39" xfId="134" applyFont="1" applyBorder="1" applyAlignment="1">
      <alignment horizontal="center" vertical="center"/>
    </xf>
    <xf numFmtId="0" fontId="9" fillId="0" borderId="36" xfId="0" applyFont="1" applyBorder="1" applyAlignment="1">
      <alignment vertical="center" wrapText="1"/>
    </xf>
    <xf numFmtId="3" fontId="9" fillId="0" borderId="36" xfId="0" applyNumberFormat="1" applyFont="1" applyBorder="1" applyAlignment="1">
      <alignment vertical="center"/>
    </xf>
    <xf numFmtId="0" fontId="9" fillId="46" borderId="36" xfId="134" applyFont="1" applyFill="1" applyBorder="1" applyAlignment="1">
      <alignment horizontal="center" vertical="center"/>
    </xf>
    <xf numFmtId="3" fontId="10" fillId="46" borderId="37" xfId="0" applyNumberFormat="1" applyFont="1" applyFill="1" applyBorder="1" applyAlignment="1">
      <alignment vertical="center"/>
    </xf>
    <xf numFmtId="0" fontId="10" fillId="46" borderId="37" xfId="127" applyFont="1" applyFill="1" applyBorder="1" applyAlignment="1">
      <alignment vertical="center" wrapText="1"/>
    </xf>
    <xf numFmtId="3" fontId="6" fillId="0" borderId="0" xfId="154" applyNumberFormat="1"/>
    <xf numFmtId="0" fontId="6" fillId="0" borderId="0" xfId="154" applyAlignment="1">
      <alignment horizontal="center"/>
    </xf>
    <xf numFmtId="3" fontId="11" fillId="46" borderId="43" xfId="136" applyNumberFormat="1" applyFont="1" applyFill="1" applyBorder="1" applyAlignment="1">
      <alignment horizontal="center" vertical="center" wrapText="1"/>
    </xf>
    <xf numFmtId="3" fontId="11" fillId="46" borderId="19" xfId="136" applyNumberFormat="1" applyFont="1" applyFill="1" applyBorder="1" applyAlignment="1">
      <alignment horizontal="center" vertical="center" wrapText="1"/>
    </xf>
    <xf numFmtId="3" fontId="11" fillId="46" borderId="25" xfId="136" applyNumberFormat="1" applyFont="1" applyFill="1" applyBorder="1" applyAlignment="1">
      <alignment horizontal="center" vertical="center" wrapText="1"/>
    </xf>
    <xf numFmtId="3" fontId="12" fillId="0" borderId="19" xfId="136" applyNumberFormat="1" applyFont="1" applyBorder="1" applyAlignment="1">
      <alignment horizontal="center" vertical="center" wrapText="1"/>
    </xf>
    <xf numFmtId="3" fontId="12" fillId="0" borderId="36" xfId="136" applyNumberFormat="1" applyFont="1" applyBorder="1" applyAlignment="1">
      <alignment horizontal="center" vertical="center" wrapText="1"/>
    </xf>
    <xf numFmtId="3" fontId="12" fillId="0" borderId="44" xfId="136" applyNumberFormat="1" applyFont="1" applyBorder="1" applyAlignment="1">
      <alignment horizontal="center" vertical="center" wrapText="1"/>
    </xf>
    <xf numFmtId="3" fontId="11" fillId="0" borderId="41" xfId="136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horizontal="center" vertical="center"/>
    </xf>
    <xf numFmtId="3" fontId="11" fillId="0" borderId="36" xfId="136" applyNumberFormat="1" applyFont="1" applyBorder="1" applyAlignment="1">
      <alignment horizontal="center" vertical="center" wrapText="1"/>
    </xf>
    <xf numFmtId="3" fontId="11" fillId="0" borderId="19" xfId="136" applyNumberFormat="1" applyFont="1" applyBorder="1" applyAlignment="1">
      <alignment horizontal="center" vertical="center" wrapText="1"/>
    </xf>
    <xf numFmtId="3" fontId="12" fillId="0" borderId="36" xfId="0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center" vertical="center"/>
    </xf>
    <xf numFmtId="0" fontId="12" fillId="0" borderId="37" xfId="127" applyFont="1" applyBorder="1" applyAlignment="1">
      <alignment vertical="center"/>
    </xf>
    <xf numFmtId="3" fontId="11" fillId="0" borderId="36" xfId="136" applyNumberFormat="1" applyFont="1" applyBorder="1" applyAlignment="1">
      <alignment horizontal="left" vertical="center"/>
    </xf>
    <xf numFmtId="3" fontId="11" fillId="0" borderId="36" xfId="136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right" vertical="center"/>
    </xf>
    <xf numFmtId="3" fontId="12" fillId="0" borderId="37" xfId="136" applyNumberFormat="1" applyFont="1" applyBorder="1" applyAlignment="1">
      <alignment horizontal="center" vertical="center"/>
    </xf>
    <xf numFmtId="3" fontId="12" fillId="0" borderId="37" xfId="136" applyNumberFormat="1" applyFont="1" applyBorder="1" applyAlignment="1">
      <alignment horizontal="left" vertical="center"/>
    </xf>
    <xf numFmtId="0" fontId="12" fillId="0" borderId="36" xfId="0" applyFont="1" applyBorder="1" applyAlignment="1">
      <alignment horizontal="right" vertical="center"/>
    </xf>
    <xf numFmtId="0" fontId="12" fillId="0" borderId="36" xfId="0" applyFont="1" applyBorder="1" applyAlignment="1">
      <alignment horizontal="center" vertical="center"/>
    </xf>
    <xf numFmtId="3" fontId="12" fillId="0" borderId="37" xfId="136" applyNumberFormat="1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3" fontId="12" fillId="0" borderId="36" xfId="136" applyNumberFormat="1" applyFont="1" applyBorder="1" applyAlignment="1">
      <alignment vertical="center"/>
    </xf>
    <xf numFmtId="3" fontId="12" fillId="0" borderId="35" xfId="136" applyNumberFormat="1" applyFont="1" applyBorder="1" applyAlignment="1">
      <alignment vertical="center"/>
    </xf>
    <xf numFmtId="0" fontId="86" fillId="0" borderId="38" xfId="0" applyFont="1" applyBorder="1" applyAlignment="1">
      <alignment vertical="center"/>
    </xf>
    <xf numFmtId="3" fontId="12" fillId="0" borderId="37" xfId="0" applyNumberFormat="1" applyFont="1" applyBorder="1" applyAlignment="1">
      <alignment horizontal="left" vertical="center"/>
    </xf>
    <xf numFmtId="3" fontId="12" fillId="0" borderId="37" xfId="0" applyNumberFormat="1" applyFont="1" applyBorder="1" applyAlignment="1">
      <alignment vertical="center"/>
    </xf>
    <xf numFmtId="3" fontId="20" fillId="0" borderId="36" xfId="136" applyNumberFormat="1" applyFont="1" applyBorder="1" applyAlignment="1">
      <alignment vertical="center"/>
    </xf>
    <xf numFmtId="3" fontId="13" fillId="0" borderId="36" xfId="0" applyNumberFormat="1" applyFont="1" applyBorder="1" applyAlignment="1">
      <alignment horizontal="center" vertical="center"/>
    </xf>
    <xf numFmtId="3" fontId="13" fillId="0" borderId="41" xfId="0" applyNumberFormat="1" applyFont="1" applyBorder="1" applyAlignment="1">
      <alignment horizontal="center" vertical="center"/>
    </xf>
    <xf numFmtId="3" fontId="12" fillId="0" borderId="37" xfId="0" applyNumberFormat="1" applyFont="1" applyBorder="1" applyAlignment="1">
      <alignment horizontal="center" vertical="center"/>
    </xf>
    <xf numFmtId="0" fontId="12" fillId="0" borderId="37" xfId="134" applyFont="1" applyBorder="1" applyAlignment="1">
      <alignment vertical="center"/>
    </xf>
    <xf numFmtId="3" fontId="12" fillId="51" borderId="37" xfId="0" applyNumberFormat="1" applyFont="1" applyFill="1" applyBorder="1" applyAlignment="1">
      <alignment vertical="center"/>
    </xf>
    <xf numFmtId="3" fontId="12" fillId="51" borderId="37" xfId="0" applyNumberFormat="1" applyFont="1" applyFill="1" applyBorder="1" applyAlignment="1">
      <alignment horizontal="left" vertical="center"/>
    </xf>
    <xf numFmtId="3" fontId="12" fillId="0" borderId="36" xfId="0" applyNumberFormat="1" applyFont="1" applyBorder="1" applyAlignment="1">
      <alignment horizontal="right" vertical="center"/>
    </xf>
    <xf numFmtId="3" fontId="12" fillId="0" borderId="37" xfId="0" applyNumberFormat="1" applyFont="1" applyBorder="1" applyAlignment="1">
      <alignment vertical="center" wrapText="1"/>
    </xf>
    <xf numFmtId="3" fontId="11" fillId="46" borderId="36" xfId="0" applyNumberFormat="1" applyFont="1" applyFill="1" applyBorder="1" applyAlignment="1">
      <alignment horizontal="center" vertical="center"/>
    </xf>
    <xf numFmtId="3" fontId="11" fillId="46" borderId="37" xfId="0" applyNumberFormat="1" applyFont="1" applyFill="1" applyBorder="1" applyAlignment="1">
      <alignment horizontal="center" vertical="center"/>
    </xf>
    <xf numFmtId="3" fontId="11" fillId="46" borderId="37" xfId="0" applyNumberFormat="1" applyFont="1" applyFill="1" applyBorder="1" applyAlignment="1">
      <alignment vertical="center"/>
    </xf>
    <xf numFmtId="3" fontId="11" fillId="46" borderId="42" xfId="0" applyNumberFormat="1" applyFont="1" applyFill="1" applyBorder="1" applyAlignment="1">
      <alignment vertical="center"/>
    </xf>
    <xf numFmtId="3" fontId="11" fillId="46" borderId="36" xfId="0" applyNumberFormat="1" applyFont="1" applyFill="1" applyBorder="1" applyAlignment="1">
      <alignment vertical="center"/>
    </xf>
    <xf numFmtId="3" fontId="10" fillId="46" borderId="36" xfId="0" applyNumberFormat="1" applyFont="1" applyFill="1" applyBorder="1" applyAlignment="1">
      <alignment vertical="center"/>
    </xf>
    <xf numFmtId="3" fontId="11" fillId="0" borderId="36" xfId="0" applyNumberFormat="1" applyFont="1" applyBorder="1" applyAlignment="1">
      <alignment horizontal="center" vertical="center"/>
    </xf>
    <xf numFmtId="3" fontId="12" fillId="0" borderId="42" xfId="0" applyNumberFormat="1" applyFont="1" applyBorder="1" applyAlignment="1">
      <alignment vertical="center"/>
    </xf>
    <xf numFmtId="3" fontId="10" fillId="0" borderId="36" xfId="0" applyNumberFormat="1" applyFont="1" applyBorder="1" applyAlignment="1">
      <alignment vertical="center"/>
    </xf>
    <xf numFmtId="3" fontId="11" fillId="0" borderId="42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vertical="center"/>
    </xf>
    <xf numFmtId="0" fontId="13" fillId="0" borderId="37" xfId="127" applyFont="1" applyBorder="1" applyAlignment="1">
      <alignment vertical="center"/>
    </xf>
    <xf numFmtId="0" fontId="12" fillId="0" borderId="42" xfId="0" applyFont="1" applyBorder="1" applyAlignment="1">
      <alignment vertical="center"/>
    </xf>
    <xf numFmtId="3" fontId="12" fillId="0" borderId="37" xfId="0" applyNumberFormat="1" applyFont="1" applyBorder="1" applyAlignment="1">
      <alignment horizontal="left" vertical="center" wrapText="1"/>
    </xf>
    <xf numFmtId="3" fontId="13" fillId="0" borderId="37" xfId="0" applyNumberFormat="1" applyFont="1" applyBorder="1" applyAlignment="1">
      <alignment vertical="center" wrapText="1"/>
    </xf>
    <xf numFmtId="0" fontId="19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3" fontId="12" fillId="0" borderId="35" xfId="0" applyNumberFormat="1" applyFont="1" applyBorder="1" applyAlignment="1">
      <alignment horizontal="left" vertical="center" wrapText="1"/>
    </xf>
    <xf numFmtId="49" fontId="12" fillId="0" borderId="35" xfId="0" applyNumberFormat="1" applyFont="1" applyBorder="1" applyAlignment="1">
      <alignment horizontal="left" vertical="center" wrapText="1"/>
    </xf>
    <xf numFmtId="3" fontId="12" fillId="0" borderId="47" xfId="0" applyNumberFormat="1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3" fontId="12" fillId="0" borderId="40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vertical="center"/>
    </xf>
    <xf numFmtId="3" fontId="12" fillId="0" borderId="47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horizontal="right" vertical="center" wrapText="1"/>
    </xf>
    <xf numFmtId="3" fontId="12" fillId="0" borderId="36" xfId="0" applyNumberFormat="1" applyFont="1" applyBorder="1" applyAlignment="1">
      <alignment vertical="center" wrapText="1"/>
    </xf>
    <xf numFmtId="0" fontId="19" fillId="0" borderId="15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3" fontId="12" fillId="0" borderId="31" xfId="0" applyNumberFormat="1" applyFont="1" applyBorder="1" applyAlignment="1">
      <alignment vertical="center"/>
    </xf>
    <xf numFmtId="3" fontId="12" fillId="0" borderId="31" xfId="136" applyNumberFormat="1" applyFont="1" applyBorder="1" applyAlignment="1">
      <alignment horizontal="right" vertical="center"/>
    </xf>
    <xf numFmtId="3" fontId="12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2" xfId="136" applyNumberFormat="1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3" fontId="12" fillId="0" borderId="32" xfId="0" applyNumberFormat="1" applyFont="1" applyBorder="1" applyAlignment="1">
      <alignment horizontal="left" vertical="center"/>
    </xf>
    <xf numFmtId="3" fontId="12" fillId="0" borderId="32" xfId="129" applyNumberFormat="1" applyFont="1" applyBorder="1" applyAlignment="1">
      <alignment vertical="center" wrapText="1"/>
    </xf>
    <xf numFmtId="3" fontId="12" fillId="0" borderId="31" xfId="136" applyNumberFormat="1" applyFont="1" applyBorder="1" applyAlignment="1">
      <alignment vertical="center"/>
    </xf>
    <xf numFmtId="3" fontId="12" fillId="0" borderId="32" xfId="0" applyNumberFormat="1" applyFont="1" applyBorder="1" applyAlignment="1">
      <alignment vertical="center"/>
    </xf>
    <xf numFmtId="0" fontId="9" fillId="0" borderId="31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3" fontId="13" fillId="0" borderId="32" xfId="0" applyNumberFormat="1" applyFont="1" applyBorder="1" applyAlignment="1">
      <alignment vertical="center"/>
    </xf>
    <xf numFmtId="3" fontId="12" fillId="0" borderId="31" xfId="0" applyNumberFormat="1" applyFont="1" applyBorder="1" applyAlignment="1">
      <alignment horizontal="right" vertical="center"/>
    </xf>
    <xf numFmtId="0" fontId="12" fillId="0" borderId="32" xfId="0" applyFont="1" applyBorder="1" applyAlignment="1">
      <alignment horizontal="left" wrapText="1"/>
    </xf>
    <xf numFmtId="0" fontId="12" fillId="0" borderId="31" xfId="0" applyFont="1" applyBorder="1" applyAlignment="1">
      <alignment wrapText="1"/>
    </xf>
    <xf numFmtId="0" fontId="12" fillId="0" borderId="31" xfId="0" applyFont="1" applyBorder="1" applyAlignment="1">
      <alignment horizontal="right" wrapText="1"/>
    </xf>
    <xf numFmtId="3" fontId="12" fillId="0" borderId="31" xfId="0" applyNumberFormat="1" applyFont="1" applyBorder="1" applyAlignment="1">
      <alignment wrapText="1"/>
    </xf>
    <xf numFmtId="3" fontId="12" fillId="0" borderId="31" xfId="0" applyNumberFormat="1" applyFont="1" applyBorder="1" applyAlignment="1">
      <alignment horizontal="right" wrapText="1"/>
    </xf>
    <xf numFmtId="3" fontId="12" fillId="0" borderId="35" xfId="0" applyNumberFormat="1" applyFont="1" applyBorder="1" applyAlignment="1">
      <alignment vertical="center"/>
    </xf>
    <xf numFmtId="0" fontId="12" fillId="0" borderId="36" xfId="0" applyFont="1" applyBorder="1" applyAlignment="1">
      <alignment horizontal="right" wrapText="1"/>
    </xf>
    <xf numFmtId="3" fontId="12" fillId="0" borderId="36" xfId="0" applyNumberFormat="1" applyFont="1" applyBorder="1" applyAlignment="1">
      <alignment wrapText="1"/>
    </xf>
    <xf numFmtId="3" fontId="12" fillId="0" borderId="36" xfId="0" applyNumberFormat="1" applyFont="1" applyBorder="1" applyAlignment="1">
      <alignment horizontal="right" wrapText="1"/>
    </xf>
    <xf numFmtId="49" fontId="12" fillId="0" borderId="36" xfId="0" applyNumberFormat="1" applyFont="1" applyBorder="1" applyAlignment="1">
      <alignment horizontal="left" vertical="center" wrapText="1"/>
    </xf>
    <xf numFmtId="0" fontId="12" fillId="0" borderId="36" xfId="0" applyFont="1" applyBorder="1" applyAlignment="1">
      <alignment horizontal="right" vertical="center" wrapText="1"/>
    </xf>
    <xf numFmtId="49" fontId="12" fillId="0" borderId="35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horizontal="left" wrapText="1"/>
    </xf>
    <xf numFmtId="3" fontId="11" fillId="46" borderId="42" xfId="0" applyNumberFormat="1" applyFont="1" applyFill="1" applyBorder="1" applyAlignment="1">
      <alignment horizontal="right" vertical="center"/>
    </xf>
    <xf numFmtId="3" fontId="11" fillId="0" borderId="37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vertical="center"/>
    </xf>
    <xf numFmtId="3" fontId="11" fillId="0" borderId="42" xfId="0" applyNumberFormat="1" applyFont="1" applyBorder="1" applyAlignment="1">
      <alignment horizontal="right" vertical="center"/>
    </xf>
    <xf numFmtId="3" fontId="11" fillId="0" borderId="36" xfId="0" applyNumberFormat="1" applyFont="1" applyBorder="1" applyAlignment="1">
      <alignment horizontal="right" vertical="center"/>
    </xf>
    <xf numFmtId="3" fontId="10" fillId="0" borderId="37" xfId="0" applyNumberFormat="1" applyFont="1" applyBorder="1" applyAlignment="1">
      <alignment horizontal="center" vertical="center"/>
    </xf>
    <xf numFmtId="3" fontId="11" fillId="0" borderId="37" xfId="0" applyNumberFormat="1" applyFont="1" applyBorder="1" applyAlignment="1">
      <alignment vertical="center"/>
    </xf>
    <xf numFmtId="3" fontId="10" fillId="0" borderId="40" xfId="0" applyNumberFormat="1" applyFont="1" applyBorder="1" applyAlignment="1">
      <alignment horizontal="center" vertical="center"/>
    </xf>
    <xf numFmtId="49" fontId="10" fillId="0" borderId="47" xfId="164" applyNumberFormat="1" applyFont="1" applyBorder="1" applyAlignment="1">
      <alignment horizontal="left" vertical="center" wrapText="1"/>
    </xf>
    <xf numFmtId="3" fontId="11" fillId="0" borderId="48" xfId="0" applyNumberFormat="1" applyFont="1" applyBorder="1" applyAlignment="1">
      <alignment vertical="center"/>
    </xf>
    <xf numFmtId="3" fontId="12" fillId="0" borderId="42" xfId="0" applyNumberFormat="1" applyFont="1" applyBorder="1" applyAlignment="1">
      <alignment horizontal="right" vertical="center"/>
    </xf>
    <xf numFmtId="3" fontId="9" fillId="0" borderId="37" xfId="0" applyNumberFormat="1" applyFont="1" applyBorder="1" applyAlignment="1">
      <alignment horizontal="center" vertical="center"/>
    </xf>
    <xf numFmtId="3" fontId="83" fillId="0" borderId="42" xfId="0" applyNumberFormat="1" applyFont="1" applyBorder="1" applyAlignment="1">
      <alignment vertical="center"/>
    </xf>
    <xf numFmtId="3" fontId="10" fillId="0" borderId="37" xfId="157" applyNumberFormat="1" applyFont="1" applyBorder="1" applyAlignment="1">
      <alignment vertical="top" wrapText="1"/>
    </xf>
    <xf numFmtId="3" fontId="12" fillId="0" borderId="28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3" fontId="78" fillId="0" borderId="37" xfId="0" applyNumberFormat="1" applyFont="1" applyBorder="1" applyAlignment="1">
      <alignment horizontal="center" vertical="center"/>
    </xf>
    <xf numFmtId="3" fontId="78" fillId="0" borderId="35" xfId="0" applyNumberFormat="1" applyFont="1" applyBorder="1" applyAlignment="1">
      <alignment horizontal="center" vertical="center"/>
    </xf>
    <xf numFmtId="3" fontId="10" fillId="0" borderId="37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vertical="center"/>
    </xf>
    <xf numFmtId="3" fontId="12" fillId="46" borderId="42" xfId="0" applyNumberFormat="1" applyFont="1" applyFill="1" applyBorder="1" applyAlignment="1">
      <alignment vertical="center"/>
    </xf>
    <xf numFmtId="3" fontId="12" fillId="46" borderId="36" xfId="0" applyNumberFormat="1" applyFont="1" applyFill="1" applyBorder="1" applyAlignment="1">
      <alignment vertical="center"/>
    </xf>
    <xf numFmtId="3" fontId="12" fillId="46" borderId="36" xfId="136" applyNumberFormat="1" applyFont="1" applyFill="1" applyBorder="1" applyAlignment="1">
      <alignment horizontal="right" vertical="center"/>
    </xf>
    <xf numFmtId="3" fontId="19" fillId="0" borderId="37" xfId="0" applyNumberFormat="1" applyFont="1" applyBorder="1" applyAlignment="1">
      <alignment vertical="center"/>
    </xf>
    <xf numFmtId="3" fontId="87" fillId="0" borderId="35" xfId="0" applyNumberFormat="1" applyFont="1" applyBorder="1" applyAlignment="1">
      <alignment horizontal="center" vertical="center"/>
    </xf>
    <xf numFmtId="3" fontId="86" fillId="0" borderId="49" xfId="0" applyNumberFormat="1" applyFont="1" applyBorder="1" applyAlignment="1">
      <alignment vertical="center"/>
    </xf>
    <xf numFmtId="3" fontId="86" fillId="0" borderId="35" xfId="0" applyNumberFormat="1" applyFont="1" applyBorder="1" applyAlignment="1">
      <alignment horizontal="center" vertical="center"/>
    </xf>
    <xf numFmtId="3" fontId="9" fillId="0" borderId="35" xfId="0" applyNumberFormat="1" applyFont="1" applyBorder="1" applyAlignment="1">
      <alignment vertical="center"/>
    </xf>
    <xf numFmtId="0" fontId="9" fillId="0" borderId="35" xfId="158" applyFont="1" applyBorder="1" applyAlignment="1">
      <alignment vertical="center" wrapText="1"/>
    </xf>
    <xf numFmtId="49" fontId="9" fillId="0" borderId="37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horizontal="left" vertical="center"/>
    </xf>
    <xf numFmtId="3" fontId="20" fillId="0" borderId="36" xfId="0" applyNumberFormat="1" applyFont="1" applyBorder="1" applyAlignment="1">
      <alignment vertical="center"/>
    </xf>
    <xf numFmtId="3" fontId="9" fillId="0" borderId="28" xfId="0" applyNumberFormat="1" applyFont="1" applyBorder="1" applyAlignment="1">
      <alignment horizontal="left" vertical="center"/>
    </xf>
    <xf numFmtId="3" fontId="9" fillId="0" borderId="35" xfId="0" applyNumberFormat="1" applyFont="1" applyBorder="1" applyAlignment="1">
      <alignment horizontal="left" vertical="center"/>
    </xf>
    <xf numFmtId="49" fontId="9" fillId="0" borderId="35" xfId="0" applyNumberFormat="1" applyFont="1" applyBorder="1" applyAlignment="1">
      <alignment vertical="center" wrapText="1"/>
    </xf>
    <xf numFmtId="0" fontId="86" fillId="0" borderId="38" xfId="0" applyFont="1" applyBorder="1" applyAlignment="1">
      <alignment vertical="center" wrapText="1"/>
    </xf>
    <xf numFmtId="0" fontId="86" fillId="0" borderId="0" xfId="0" applyFont="1" applyAlignment="1">
      <alignment vertical="center" wrapText="1"/>
    </xf>
    <xf numFmtId="3" fontId="9" fillId="0" borderId="36" xfId="0" applyNumberFormat="1" applyFont="1" applyBorder="1" applyAlignment="1">
      <alignment vertical="center" wrapText="1"/>
    </xf>
    <xf numFmtId="3" fontId="9" fillId="0" borderId="47" xfId="0" applyNumberFormat="1" applyFont="1" applyBorder="1" applyAlignment="1">
      <alignment horizontal="left" vertical="center"/>
    </xf>
    <xf numFmtId="3" fontId="9" fillId="0" borderId="36" xfId="0" applyNumberFormat="1" applyFont="1" applyBorder="1" applyAlignment="1">
      <alignment horizontal="left" vertical="center" wrapText="1"/>
    </xf>
    <xf numFmtId="3" fontId="9" fillId="0" borderId="36" xfId="0" applyNumberFormat="1" applyFont="1" applyBorder="1" applyAlignment="1">
      <alignment horizontal="left" vertical="center"/>
    </xf>
    <xf numFmtId="49" fontId="9" fillId="0" borderId="35" xfId="0" applyNumberFormat="1" applyFont="1" applyBorder="1" applyAlignment="1">
      <alignment horizontal="left" vertical="center"/>
    </xf>
    <xf numFmtId="3" fontId="10" fillId="46" borderId="37" xfId="0" applyNumberFormat="1" applyFont="1" applyFill="1" applyBorder="1" applyAlignment="1">
      <alignment horizontal="left" vertical="center"/>
    </xf>
    <xf numFmtId="3" fontId="11" fillId="0" borderId="39" xfId="0" applyNumberFormat="1" applyFont="1" applyBorder="1" applyAlignment="1">
      <alignment horizontal="center" vertical="center"/>
    </xf>
    <xf numFmtId="0" fontId="10" fillId="0" borderId="47" xfId="166" applyFont="1" applyBorder="1" applyAlignment="1">
      <alignment horizontal="center" vertical="center"/>
    </xf>
    <xf numFmtId="3" fontId="7" fillId="0" borderId="36" xfId="0" applyNumberFormat="1" applyFont="1" applyBorder="1" applyAlignment="1">
      <alignment vertical="center"/>
    </xf>
    <xf numFmtId="3" fontId="9" fillId="0" borderId="25" xfId="0" applyNumberFormat="1" applyFont="1" applyBorder="1" applyAlignment="1">
      <alignment vertical="center"/>
    </xf>
    <xf numFmtId="0" fontId="9" fillId="0" borderId="25" xfId="0" applyFont="1" applyBorder="1" applyAlignment="1">
      <alignment horizontal="left" vertical="center" wrapText="1"/>
    </xf>
    <xf numFmtId="3" fontId="11" fillId="48" borderId="51" xfId="0" applyNumberFormat="1" applyFont="1" applyFill="1" applyBorder="1" applyAlignment="1">
      <alignment horizontal="center" vertical="center"/>
    </xf>
    <xf numFmtId="0" fontId="10" fillId="0" borderId="37" xfId="161" applyFont="1" applyBorder="1" applyAlignment="1">
      <alignment horizontal="center" vertical="center"/>
    </xf>
    <xf numFmtId="3" fontId="87" fillId="48" borderId="51" xfId="0" applyNumberFormat="1" applyFont="1" applyFill="1" applyBorder="1" applyAlignment="1">
      <alignment horizontal="center" vertical="center"/>
    </xf>
    <xf numFmtId="3" fontId="12" fillId="48" borderId="36" xfId="0" applyNumberFormat="1" applyFont="1" applyFill="1" applyBorder="1" applyAlignment="1">
      <alignment horizontal="center" vertical="center"/>
    </xf>
    <xf numFmtId="3" fontId="87" fillId="48" borderId="36" xfId="0" applyNumberFormat="1" applyFont="1" applyFill="1" applyBorder="1" applyAlignment="1">
      <alignment horizontal="center" vertical="center"/>
    </xf>
    <xf numFmtId="3" fontId="12" fillId="48" borderId="19" xfId="0" applyNumberFormat="1" applyFont="1" applyFill="1" applyBorder="1" applyAlignment="1">
      <alignment horizontal="center" vertical="center"/>
    </xf>
    <xf numFmtId="0" fontId="10" fillId="0" borderId="37" xfId="161" applyFont="1" applyBorder="1" applyAlignment="1">
      <alignment horizontal="center" vertical="top"/>
    </xf>
    <xf numFmtId="3" fontId="86" fillId="0" borderId="42" xfId="0" applyNumberFormat="1" applyFont="1" applyBorder="1" applyAlignment="1">
      <alignment vertical="center"/>
    </xf>
    <xf numFmtId="3" fontId="87" fillId="48" borderId="19" xfId="0" applyNumberFormat="1" applyFont="1" applyFill="1" applyBorder="1" applyAlignment="1">
      <alignment horizontal="center" vertical="center"/>
    </xf>
    <xf numFmtId="3" fontId="87" fillId="48" borderId="50" xfId="0" applyNumberFormat="1" applyFont="1" applyFill="1" applyBorder="1" applyAlignment="1">
      <alignment horizontal="center" vertical="center"/>
    </xf>
    <xf numFmtId="3" fontId="10" fillId="0" borderId="28" xfId="0" applyNumberFormat="1" applyFont="1" applyBorder="1" applyAlignment="1">
      <alignment horizontal="center" vertical="center"/>
    </xf>
    <xf numFmtId="3" fontId="12" fillId="0" borderId="25" xfId="0" applyNumberFormat="1" applyFont="1" applyBorder="1" applyAlignment="1">
      <alignment horizontal="center" vertical="center"/>
    </xf>
    <xf numFmtId="0" fontId="87" fillId="48" borderId="36" xfId="161" applyFont="1" applyFill="1" applyBorder="1" applyAlignment="1">
      <alignment horizontal="center" vertical="top" wrapText="1"/>
    </xf>
    <xf numFmtId="0" fontId="9" fillId="0" borderId="52" xfId="0" applyFont="1" applyBorder="1" applyAlignment="1">
      <alignment horizontal="left" vertical="center" wrapText="1"/>
    </xf>
    <xf numFmtId="3" fontId="87" fillId="48" borderId="35" xfId="0" applyNumberFormat="1" applyFont="1" applyFill="1" applyBorder="1" applyAlignment="1">
      <alignment horizontal="center" vertical="center"/>
    </xf>
    <xf numFmtId="3" fontId="11" fillId="46" borderId="26" xfId="0" applyNumberFormat="1" applyFont="1" applyFill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3" fontId="9" fillId="0" borderId="53" xfId="0" applyNumberFormat="1" applyFont="1" applyBorder="1" applyAlignment="1">
      <alignment horizontal="left" vertical="center" wrapText="1"/>
    </xf>
    <xf numFmtId="3" fontId="86" fillId="0" borderId="27" xfId="0" applyNumberFormat="1" applyFont="1" applyBorder="1" applyAlignment="1">
      <alignment vertical="center"/>
    </xf>
    <xf numFmtId="3" fontId="12" fillId="46" borderId="36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horizontal="center" vertical="center"/>
    </xf>
    <xf numFmtId="0" fontId="10" fillId="0" borderId="36" xfId="161" applyFont="1" applyBorder="1" applyAlignment="1">
      <alignment horizontal="center" vertical="center"/>
    </xf>
    <xf numFmtId="0" fontId="10" fillId="0" borderId="37" xfId="166" applyFont="1" applyBorder="1" applyAlignment="1">
      <alignment horizontal="center" vertical="center"/>
    </xf>
    <xf numFmtId="3" fontId="12" fillId="0" borderId="39" xfId="0" applyNumberFormat="1" applyFont="1" applyBorder="1" applyAlignment="1">
      <alignment horizontal="center" vertical="center"/>
    </xf>
    <xf numFmtId="3" fontId="92" fillId="0" borderId="36" xfId="0" applyNumberFormat="1" applyFont="1" applyBorder="1" applyAlignment="1">
      <alignment vertical="center"/>
    </xf>
    <xf numFmtId="0" fontId="10" fillId="0" borderId="37" xfId="161" applyFont="1" applyBorder="1" applyAlignment="1">
      <alignment vertical="top"/>
    </xf>
    <xf numFmtId="0" fontId="9" fillId="0" borderId="37" xfId="170" applyFont="1" applyBorder="1" applyAlignment="1">
      <alignment vertical="top" wrapText="1"/>
    </xf>
    <xf numFmtId="0" fontId="10" fillId="0" borderId="37" xfId="161" applyFont="1" applyBorder="1" applyAlignment="1">
      <alignment vertical="center"/>
    </xf>
    <xf numFmtId="3" fontId="12" fillId="0" borderId="42" xfId="136" applyNumberFormat="1" applyFont="1" applyBorder="1" applyAlignment="1">
      <alignment horizontal="right" vertical="center"/>
    </xf>
    <xf numFmtId="0" fontId="19" fillId="0" borderId="37" xfId="161" applyFont="1" applyBorder="1" applyAlignment="1">
      <alignment vertical="center"/>
    </xf>
    <xf numFmtId="3" fontId="9" fillId="0" borderId="35" xfId="0" applyNumberFormat="1" applyFont="1" applyBorder="1" applyAlignment="1">
      <alignment vertical="center" wrapText="1"/>
    </xf>
    <xf numFmtId="3" fontId="10" fillId="46" borderId="25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/>
    </xf>
    <xf numFmtId="3" fontId="12" fillId="0" borderId="36" xfId="171" applyNumberFormat="1" applyFont="1" applyBorder="1" applyAlignment="1">
      <alignment vertical="center" wrapText="1"/>
    </xf>
    <xf numFmtId="3" fontId="11" fillId="0" borderId="42" xfId="0" applyNumberFormat="1" applyFont="1" applyBorder="1" applyAlignment="1">
      <alignment horizontal="left" vertical="center"/>
    </xf>
    <xf numFmtId="3" fontId="87" fillId="0" borderId="49" xfId="0" applyNumberFormat="1" applyFont="1" applyBorder="1" applyAlignment="1">
      <alignment vertical="center"/>
    </xf>
    <xf numFmtId="3" fontId="12" fillId="51" borderId="36" xfId="0" applyNumberFormat="1" applyFont="1" applyFill="1" applyBorder="1" applyAlignment="1">
      <alignment vertical="center"/>
    </xf>
    <xf numFmtId="3" fontId="93" fillId="0" borderId="36" xfId="136" applyNumberFormat="1" applyFont="1" applyBorder="1" applyAlignment="1">
      <alignment horizontal="center" vertical="top" wrapText="1"/>
    </xf>
    <xf numFmtId="3" fontId="39" fillId="0" borderId="36" xfId="136" applyNumberFormat="1" applyFont="1" applyBorder="1" applyAlignment="1">
      <alignment horizontal="right" vertical="top" wrapText="1"/>
    </xf>
    <xf numFmtId="3" fontId="11" fillId="0" borderId="26" xfId="0" applyNumberFormat="1" applyFont="1" applyBorder="1" applyAlignment="1">
      <alignment vertical="center"/>
    </xf>
    <xf numFmtId="3" fontId="12" fillId="0" borderId="19" xfId="136" applyNumberFormat="1" applyFont="1" applyBorder="1" applyAlignment="1">
      <alignment horizontal="right" vertical="center"/>
    </xf>
    <xf numFmtId="3" fontId="12" fillId="0" borderId="25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49" xfId="0" applyNumberFormat="1" applyFont="1" applyBorder="1" applyAlignment="1">
      <alignment vertical="center"/>
    </xf>
    <xf numFmtId="3" fontId="9" fillId="51" borderId="37" xfId="0" applyNumberFormat="1" applyFont="1" applyFill="1" applyBorder="1" applyAlignment="1">
      <alignment vertical="center"/>
    </xf>
    <xf numFmtId="1" fontId="13" fillId="0" borderId="36" xfId="0" applyNumberFormat="1" applyFont="1" applyBorder="1" applyAlignment="1">
      <alignment vertical="center"/>
    </xf>
    <xf numFmtId="49" fontId="12" fillId="0" borderId="36" xfId="0" applyNumberFormat="1" applyFont="1" applyBorder="1" applyAlignment="1">
      <alignment horizontal="right" vertical="center"/>
    </xf>
    <xf numFmtId="3" fontId="92" fillId="0" borderId="36" xfId="0" applyNumberFormat="1" applyFont="1" applyBorder="1" applyAlignment="1">
      <alignment horizontal="center" vertical="center"/>
    </xf>
    <xf numFmtId="3" fontId="11" fillId="51" borderId="36" xfId="0" applyNumberFormat="1" applyFont="1" applyFill="1" applyBorder="1" applyAlignment="1">
      <alignment horizontal="center" vertical="center"/>
    </xf>
    <xf numFmtId="3" fontId="11" fillId="51" borderId="37" xfId="0" applyNumberFormat="1" applyFont="1" applyFill="1" applyBorder="1" applyAlignment="1">
      <alignment horizontal="center" vertical="center"/>
    </xf>
    <xf numFmtId="3" fontId="10" fillId="51" borderId="37" xfId="0" applyNumberFormat="1" applyFont="1" applyFill="1" applyBorder="1" applyAlignment="1">
      <alignment vertical="center"/>
    </xf>
    <xf numFmtId="3" fontId="11" fillId="51" borderId="42" xfId="0" applyNumberFormat="1" applyFont="1" applyFill="1" applyBorder="1" applyAlignment="1">
      <alignment vertical="center"/>
    </xf>
    <xf numFmtId="3" fontId="11" fillId="51" borderId="36" xfId="0" applyNumberFormat="1" applyFont="1" applyFill="1" applyBorder="1" applyAlignment="1">
      <alignment vertical="center"/>
    </xf>
    <xf numFmtId="3" fontId="12" fillId="51" borderId="36" xfId="0" applyNumberFormat="1" applyFont="1" applyFill="1" applyBorder="1" applyAlignment="1">
      <alignment horizontal="right" vertical="center"/>
    </xf>
    <xf numFmtId="3" fontId="9" fillId="0" borderId="25" xfId="0" applyNumberFormat="1" applyFont="1" applyBorder="1" applyAlignment="1">
      <alignment horizontal="left" vertical="center"/>
    </xf>
    <xf numFmtId="3" fontId="11" fillId="51" borderId="36" xfId="0" applyNumberFormat="1" applyFont="1" applyFill="1" applyBorder="1" applyAlignment="1">
      <alignment horizontal="left" vertical="center"/>
    </xf>
    <xf numFmtId="3" fontId="11" fillId="51" borderId="42" xfId="0" applyNumberFormat="1" applyFont="1" applyFill="1" applyBorder="1" applyAlignment="1">
      <alignment horizontal="center" vertical="center"/>
    </xf>
    <xf numFmtId="0" fontId="9" fillId="0" borderId="37" xfId="0" applyFont="1" applyBorder="1" applyAlignment="1">
      <alignment horizontal="left" vertical="center"/>
    </xf>
    <xf numFmtId="3" fontId="11" fillId="51" borderId="41" xfId="0" applyNumberFormat="1" applyFont="1" applyFill="1" applyBorder="1" applyAlignment="1">
      <alignment horizontal="center" vertical="center"/>
    </xf>
    <xf numFmtId="3" fontId="11" fillId="46" borderId="42" xfId="0" applyNumberFormat="1" applyFont="1" applyFill="1" applyBorder="1" applyAlignment="1">
      <alignment horizontal="left" vertical="center"/>
    </xf>
    <xf numFmtId="3" fontId="11" fillId="46" borderId="36" xfId="0" applyNumberFormat="1" applyFont="1" applyFill="1" applyBorder="1" applyAlignment="1">
      <alignment horizontal="right" vertical="center"/>
    </xf>
    <xf numFmtId="3" fontId="19" fillId="0" borderId="37" xfId="0" applyNumberFormat="1" applyFont="1" applyBorder="1" applyAlignment="1">
      <alignment horizontal="left" vertical="center"/>
    </xf>
    <xf numFmtId="3" fontId="14" fillId="51" borderId="36" xfId="136" applyNumberFormat="1" applyFont="1" applyFill="1" applyBorder="1" applyAlignment="1">
      <alignment horizontal="center" vertical="top" wrapText="1"/>
    </xf>
    <xf numFmtId="3" fontId="9" fillId="51" borderId="37" xfId="136" applyNumberFormat="1" applyFont="1" applyFill="1" applyBorder="1" applyAlignment="1">
      <alignment horizontal="left" vertical="top"/>
    </xf>
    <xf numFmtId="3" fontId="12" fillId="51" borderId="36" xfId="136" applyNumberFormat="1" applyFont="1" applyFill="1" applyBorder="1" applyAlignment="1">
      <alignment horizontal="right" vertical="top" wrapText="1"/>
    </xf>
    <xf numFmtId="3" fontId="12" fillId="51" borderId="36" xfId="136" applyNumberFormat="1" applyFont="1" applyFill="1" applyBorder="1" applyAlignment="1">
      <alignment vertical="top" wrapText="1"/>
    </xf>
    <xf numFmtId="3" fontId="39" fillId="51" borderId="36" xfId="136" applyNumberFormat="1" applyFont="1" applyFill="1" applyBorder="1" applyAlignment="1">
      <alignment horizontal="right" vertical="center" wrapText="1"/>
    </xf>
    <xf numFmtId="3" fontId="9" fillId="0" borderId="55" xfId="0" applyNumberFormat="1" applyFont="1" applyBorder="1" applyAlignment="1">
      <alignment vertical="center" wrapText="1"/>
    </xf>
    <xf numFmtId="0" fontId="9" fillId="0" borderId="35" xfId="173" applyFont="1" applyBorder="1" applyAlignment="1">
      <alignment vertical="center"/>
    </xf>
    <xf numFmtId="0" fontId="9" fillId="0" borderId="53" xfId="173" applyFont="1" applyBorder="1" applyAlignment="1">
      <alignment vertical="center" wrapText="1"/>
    </xf>
    <xf numFmtId="3" fontId="11" fillId="46" borderId="42" xfId="0" applyNumberFormat="1" applyFont="1" applyFill="1" applyBorder="1" applyAlignment="1">
      <alignment horizontal="center" vertical="center"/>
    </xf>
    <xf numFmtId="3" fontId="11" fillId="46" borderId="36" xfId="136" applyNumberFormat="1" applyFont="1" applyFill="1" applyBorder="1" applyAlignment="1">
      <alignment horizontal="right" vertical="center"/>
    </xf>
    <xf numFmtId="0" fontId="9" fillId="46" borderId="48" xfId="0" applyFont="1" applyFill="1" applyBorder="1" applyAlignment="1">
      <alignment vertical="center"/>
    </xf>
    <xf numFmtId="0" fontId="9" fillId="46" borderId="48" xfId="0" applyFont="1" applyFill="1" applyBorder="1" applyAlignment="1">
      <alignment horizontal="center" vertical="center"/>
    </xf>
    <xf numFmtId="3" fontId="11" fillId="46" borderId="39" xfId="0" applyNumberFormat="1" applyFont="1" applyFill="1" applyBorder="1" applyAlignment="1">
      <alignment vertical="center"/>
    </xf>
    <xf numFmtId="0" fontId="9" fillId="0" borderId="37" xfId="127" applyFont="1" applyBorder="1" applyAlignment="1">
      <alignment vertical="center"/>
    </xf>
    <xf numFmtId="3" fontId="12" fillId="0" borderId="42" xfId="0" applyNumberFormat="1" applyFont="1" applyBorder="1" applyAlignment="1">
      <alignment horizontal="center" vertical="center"/>
    </xf>
    <xf numFmtId="3" fontId="12" fillId="0" borderId="36" xfId="133" applyNumberFormat="1" applyFont="1" applyBorder="1" applyAlignment="1">
      <alignment horizontal="right" vertical="center"/>
    </xf>
    <xf numFmtId="3" fontId="11" fillId="46" borderId="26" xfId="0" applyNumberFormat="1" applyFont="1" applyFill="1" applyBorder="1" applyAlignment="1">
      <alignment horizontal="center" vertical="center"/>
    </xf>
    <xf numFmtId="3" fontId="94" fillId="0" borderId="0" xfId="0" applyNumberFormat="1" applyFont="1" applyAlignment="1">
      <alignment vertical="center"/>
    </xf>
    <xf numFmtId="3" fontId="95" fillId="0" borderId="0" xfId="0" applyNumberFormat="1" applyFont="1" applyAlignment="1">
      <alignment vertical="center"/>
    </xf>
    <xf numFmtId="3" fontId="12" fillId="0" borderId="36" xfId="0" applyNumberFormat="1" applyFont="1" applyFill="1" applyBorder="1" applyAlignment="1">
      <alignment horizontal="right" vertical="center"/>
    </xf>
    <xf numFmtId="3" fontId="12" fillId="0" borderId="36" xfId="0" applyNumberFormat="1" applyFont="1" applyFill="1" applyBorder="1" applyAlignment="1">
      <alignment vertical="center"/>
    </xf>
    <xf numFmtId="3" fontId="12" fillId="0" borderId="36" xfId="136" applyNumberFormat="1" applyFont="1" applyFill="1" applyBorder="1" applyAlignment="1">
      <alignment horizontal="right" vertical="center"/>
    </xf>
    <xf numFmtId="0" fontId="97" fillId="0" borderId="25" xfId="134" applyFont="1" applyBorder="1" applyAlignment="1">
      <alignment vertical="center"/>
    </xf>
    <xf numFmtId="0" fontId="97" fillId="0" borderId="19" xfId="134" applyFont="1" applyBorder="1" applyAlignment="1">
      <alignment horizontal="center" vertical="center"/>
    </xf>
    <xf numFmtId="0" fontId="91" fillId="0" borderId="19" xfId="134" applyFont="1" applyBorder="1" applyAlignment="1">
      <alignment vertical="center"/>
    </xf>
    <xf numFmtId="0" fontId="97" fillId="0" borderId="32" xfId="134" applyFont="1" applyBorder="1" applyAlignment="1">
      <alignment vertical="center"/>
    </xf>
    <xf numFmtId="0" fontId="97" fillId="0" borderId="31" xfId="134" applyFont="1" applyBorder="1" applyAlignment="1">
      <alignment horizontal="center" vertical="center"/>
    </xf>
    <xf numFmtId="0" fontId="91" fillId="0" borderId="31" xfId="134" applyFont="1" applyBorder="1" applyAlignment="1">
      <alignment vertical="center"/>
    </xf>
    <xf numFmtId="0" fontId="91" fillId="0" borderId="32" xfId="127" applyFont="1" applyBorder="1" applyAlignment="1">
      <alignment vertical="center"/>
    </xf>
    <xf numFmtId="0" fontId="91" fillId="0" borderId="31" xfId="127" applyFont="1" applyBorder="1" applyAlignment="1">
      <alignment horizontal="center" vertical="center"/>
    </xf>
    <xf numFmtId="3" fontId="97" fillId="0" borderId="31" xfId="0" applyNumberFormat="1" applyFont="1" applyBorder="1" applyAlignment="1">
      <alignment vertical="center"/>
    </xf>
    <xf numFmtId="3" fontId="91" fillId="0" borderId="31" xfId="134" applyNumberFormat="1" applyFont="1" applyBorder="1" applyAlignment="1">
      <alignment vertical="center"/>
    </xf>
    <xf numFmtId="0" fontId="91" fillId="0" borderId="32" xfId="134" applyFont="1" applyBorder="1" applyAlignment="1">
      <alignment vertical="center" wrapText="1"/>
    </xf>
    <xf numFmtId="0" fontId="92" fillId="0" borderId="31" xfId="134" applyFont="1" applyBorder="1" applyAlignment="1">
      <alignment horizontal="center" vertical="center" wrapText="1"/>
    </xf>
    <xf numFmtId="0" fontId="91" fillId="0" borderId="32" xfId="134" applyFont="1" applyBorder="1" applyAlignment="1">
      <alignment vertical="center"/>
    </xf>
    <xf numFmtId="166" fontId="91" fillId="0" borderId="31" xfId="84" applyNumberFormat="1" applyFont="1" applyBorder="1" applyAlignment="1">
      <alignment horizontal="center" vertical="center"/>
    </xf>
    <xf numFmtId="3" fontId="97" fillId="46" borderId="32" xfId="0" applyNumberFormat="1" applyFont="1" applyFill="1" applyBorder="1" applyAlignment="1">
      <alignment vertical="center"/>
    </xf>
    <xf numFmtId="3" fontId="97" fillId="46" borderId="31" xfId="134" applyNumberFormat="1" applyFont="1" applyFill="1" applyBorder="1" applyAlignment="1">
      <alignment vertical="center"/>
    </xf>
    <xf numFmtId="0" fontId="91" fillId="0" borderId="31" xfId="0" applyFont="1" applyBorder="1" applyAlignment="1">
      <alignment vertical="center"/>
    </xf>
    <xf numFmtId="3" fontId="97" fillId="0" borderId="31" xfId="134" applyNumberFormat="1" applyFont="1" applyBorder="1" applyAlignment="1">
      <alignment vertical="center"/>
    </xf>
    <xf numFmtId="0" fontId="91" fillId="0" borderId="32" xfId="155" applyFont="1" applyBorder="1" applyAlignment="1">
      <alignment vertical="center" wrapText="1"/>
    </xf>
    <xf numFmtId="3" fontId="97" fillId="46" borderId="31" xfId="0" applyNumberFormat="1" applyFont="1" applyFill="1" applyBorder="1" applyAlignment="1">
      <alignment horizontal="center" vertical="center"/>
    </xf>
    <xf numFmtId="3" fontId="97" fillId="0" borderId="32" xfId="0" applyNumberFormat="1" applyFont="1" applyBorder="1" applyAlignment="1">
      <alignment vertical="center"/>
    </xf>
    <xf numFmtId="3" fontId="98" fillId="0" borderId="31" xfId="0" applyNumberFormat="1" applyFont="1" applyBorder="1" applyAlignment="1">
      <alignment horizontal="center" vertical="center"/>
    </xf>
    <xf numFmtId="0" fontId="91" fillId="0" borderId="32" xfId="156" applyFont="1" applyBorder="1" applyAlignment="1">
      <alignment vertical="center" wrapText="1"/>
    </xf>
    <xf numFmtId="3" fontId="97" fillId="0" borderId="31" xfId="0" applyNumberFormat="1" applyFont="1" applyBorder="1" applyAlignment="1">
      <alignment horizontal="center" vertical="center"/>
    </xf>
    <xf numFmtId="3" fontId="91" fillId="0" borderId="32" xfId="0" applyNumberFormat="1" applyFont="1" applyBorder="1" applyAlignment="1">
      <alignment vertical="center" wrapText="1"/>
    </xf>
    <xf numFmtId="3" fontId="91" fillId="0" borderId="31" xfId="0" applyNumberFormat="1" applyFont="1" applyBorder="1" applyAlignment="1">
      <alignment horizontal="center" vertical="center"/>
    </xf>
    <xf numFmtId="0" fontId="98" fillId="0" borderId="31" xfId="134" applyFont="1" applyBorder="1" applyAlignment="1">
      <alignment horizontal="center" vertical="center"/>
    </xf>
    <xf numFmtId="3" fontId="91" fillId="0" borderId="32" xfId="0" applyNumberFormat="1" applyFont="1" applyBorder="1" applyAlignment="1">
      <alignment horizontal="left" vertical="center" wrapText="1"/>
    </xf>
    <xf numFmtId="3" fontId="92" fillId="0" borderId="31" xfId="0" applyNumberFormat="1" applyFont="1" applyBorder="1" applyAlignment="1">
      <alignment horizontal="center" vertical="center" wrapText="1"/>
    </xf>
    <xf numFmtId="49" fontId="92" fillId="0" borderId="31" xfId="134" applyNumberFormat="1" applyFont="1" applyBorder="1" applyAlignment="1">
      <alignment horizontal="center" vertical="center"/>
    </xf>
    <xf numFmtId="0" fontId="91" fillId="0" borderId="32" xfId="129" applyFont="1" applyBorder="1" applyAlignment="1">
      <alignment vertical="center" wrapText="1"/>
    </xf>
    <xf numFmtId="49" fontId="92" fillId="0" borderId="31" xfId="129" applyNumberFormat="1" applyFont="1" applyBorder="1" applyAlignment="1">
      <alignment horizontal="center" vertical="center" wrapText="1"/>
    </xf>
    <xf numFmtId="0" fontId="91" fillId="0" borderId="31" xfId="134" applyFont="1" applyBorder="1" applyAlignment="1">
      <alignment horizontal="left" vertical="center"/>
    </xf>
    <xf numFmtId="49" fontId="92" fillId="0" borderId="31" xfId="134" applyNumberFormat="1" applyFont="1" applyBorder="1" applyAlignment="1">
      <alignment horizontal="center" vertical="center" wrapText="1"/>
    </xf>
    <xf numFmtId="49" fontId="92" fillId="0" borderId="31" xfId="0" applyNumberFormat="1" applyFont="1" applyBorder="1" applyAlignment="1">
      <alignment horizontal="center" vertical="center" wrapText="1"/>
    </xf>
    <xf numFmtId="3" fontId="91" fillId="0" borderId="31" xfId="134" applyNumberFormat="1" applyFont="1" applyBorder="1" applyAlignment="1">
      <alignment vertical="center" wrapText="1"/>
    </xf>
    <xf numFmtId="0" fontId="97" fillId="46" borderId="32" xfId="134" applyFont="1" applyFill="1" applyBorder="1" applyAlignment="1">
      <alignment vertical="center"/>
    </xf>
    <xf numFmtId="0" fontId="98" fillId="46" borderId="31" xfId="134" applyFont="1" applyFill="1" applyBorder="1" applyAlignment="1">
      <alignment horizontal="center" vertical="center"/>
    </xf>
    <xf numFmtId="3" fontId="91" fillId="0" borderId="31" xfId="0" applyNumberFormat="1" applyFont="1" applyBorder="1" applyAlignment="1">
      <alignment horizontal="center" vertical="center" wrapText="1"/>
    </xf>
    <xf numFmtId="3" fontId="91" fillId="0" borderId="31" xfId="0" applyNumberFormat="1" applyFont="1" applyBorder="1" applyAlignment="1">
      <alignment vertical="center"/>
    </xf>
    <xf numFmtId="3" fontId="91" fillId="0" borderId="31" xfId="134" applyNumberFormat="1" applyFont="1" applyBorder="1" applyAlignment="1">
      <alignment horizontal="center" vertical="center" wrapText="1"/>
    </xf>
    <xf numFmtId="0" fontId="91" fillId="0" borderId="32" xfId="0" applyFont="1" applyBorder="1" applyAlignment="1">
      <alignment horizontal="left" vertical="center" wrapText="1"/>
    </xf>
    <xf numFmtId="0" fontId="91" fillId="0" borderId="31" xfId="129" applyFont="1" applyBorder="1" applyAlignment="1">
      <alignment horizontal="center" vertical="center" wrapText="1"/>
    </xf>
    <xf numFmtId="0" fontId="91" fillId="0" borderId="31" xfId="129" applyFont="1" applyBorder="1" applyAlignment="1">
      <alignment horizontal="center" vertical="top" wrapText="1"/>
    </xf>
    <xf numFmtId="0" fontId="91" fillId="0" borderId="35" xfId="129" applyFont="1" applyBorder="1" applyAlignment="1">
      <alignment vertical="center" wrapText="1"/>
    </xf>
    <xf numFmtId="0" fontId="91" fillId="0" borderId="36" xfId="129" applyFont="1" applyBorder="1" applyAlignment="1">
      <alignment horizontal="center" vertical="center" wrapText="1"/>
    </xf>
    <xf numFmtId="3" fontId="91" fillId="0" borderId="36" xfId="134" applyNumberFormat="1" applyFont="1" applyBorder="1" applyAlignment="1">
      <alignment vertical="center" wrapText="1"/>
    </xf>
    <xf numFmtId="3" fontId="91" fillId="0" borderId="36" xfId="134" applyNumberFormat="1" applyFont="1" applyBorder="1" applyAlignment="1">
      <alignment vertical="center"/>
    </xf>
    <xf numFmtId="0" fontId="91" fillId="0" borderId="37" xfId="129" applyFont="1" applyBorder="1" applyAlignment="1">
      <alignment vertical="center" wrapText="1"/>
    </xf>
    <xf numFmtId="3" fontId="91" fillId="0" borderId="35" xfId="157" applyNumberFormat="1" applyFont="1" applyBorder="1" applyAlignment="1">
      <alignment horizontal="left" vertical="center" wrapText="1"/>
    </xf>
    <xf numFmtId="3" fontId="91" fillId="0" borderId="35" xfId="158" applyNumberFormat="1" applyFont="1" applyBorder="1" applyAlignment="1">
      <alignment vertical="center" wrapText="1"/>
    </xf>
    <xf numFmtId="3" fontId="91" fillId="48" borderId="35" xfId="131" applyNumberFormat="1" applyFont="1" applyFill="1" applyBorder="1" applyAlignment="1">
      <alignment vertical="top" wrapText="1"/>
    </xf>
    <xf numFmtId="3" fontId="91" fillId="0" borderId="35" xfId="159" applyNumberFormat="1" applyFont="1" applyBorder="1" applyAlignment="1">
      <alignment vertical="top" wrapText="1"/>
    </xf>
    <xf numFmtId="3" fontId="91" fillId="0" borderId="36" xfId="0" applyNumberFormat="1" applyFont="1" applyBorder="1" applyAlignment="1">
      <alignment vertical="center" wrapText="1"/>
    </xf>
    <xf numFmtId="3" fontId="91" fillId="0" borderId="36" xfId="130" applyNumberFormat="1" applyFont="1" applyBorder="1" applyAlignment="1">
      <alignment vertical="top" wrapText="1"/>
    </xf>
    <xf numFmtId="0" fontId="91" fillId="0" borderId="38" xfId="129" applyFont="1" applyBorder="1" applyAlignment="1">
      <alignment vertical="center" wrapText="1"/>
    </xf>
    <xf numFmtId="3" fontId="91" fillId="0" borderId="37" xfId="0" applyNumberFormat="1" applyFont="1" applyBorder="1" applyAlignment="1">
      <alignment horizontal="left" vertical="center" wrapText="1"/>
    </xf>
    <xf numFmtId="3" fontId="92" fillId="0" borderId="36" xfId="0" applyNumberFormat="1" applyFont="1" applyBorder="1" applyAlignment="1">
      <alignment horizontal="left" vertical="center" wrapText="1"/>
    </xf>
    <xf numFmtId="3" fontId="91" fillId="0" borderId="35" xfId="160" applyNumberFormat="1" applyFont="1" applyBorder="1" applyAlignment="1">
      <alignment horizontal="left" vertical="center" wrapText="1"/>
    </xf>
    <xf numFmtId="3" fontId="91" fillId="0" borderId="36" xfId="159" applyNumberFormat="1" applyFont="1" applyBorder="1" applyAlignment="1">
      <alignment vertical="top" wrapText="1"/>
    </xf>
    <xf numFmtId="3" fontId="91" fillId="0" borderId="37" xfId="0" applyNumberFormat="1" applyFont="1" applyBorder="1" applyAlignment="1">
      <alignment vertical="center" wrapText="1"/>
    </xf>
    <xf numFmtId="0" fontId="91" fillId="0" borderId="37" xfId="161" applyFont="1" applyBorder="1" applyAlignment="1">
      <alignment vertical="top" wrapText="1"/>
    </xf>
    <xf numFmtId="0" fontId="97" fillId="46" borderId="37" xfId="134" applyFont="1" applyFill="1" applyBorder="1" applyAlignment="1">
      <alignment vertical="center"/>
    </xf>
    <xf numFmtId="0" fontId="97" fillId="46" borderId="36" xfId="134" applyFont="1" applyFill="1" applyBorder="1" applyAlignment="1">
      <alignment horizontal="center" vertical="center"/>
    </xf>
    <xf numFmtId="3" fontId="97" fillId="46" borderId="36" xfId="134" applyNumberFormat="1" applyFont="1" applyFill="1" applyBorder="1" applyAlignment="1">
      <alignment vertical="center"/>
    </xf>
    <xf numFmtId="0" fontId="97" fillId="0" borderId="37" xfId="134" applyFont="1" applyBorder="1" applyAlignment="1">
      <alignment vertical="center"/>
    </xf>
    <xf numFmtId="0" fontId="97" fillId="0" borderId="36" xfId="134" applyFont="1" applyBorder="1" applyAlignment="1">
      <alignment horizontal="center" vertical="center"/>
    </xf>
    <xf numFmtId="3" fontId="91" fillId="0" borderId="36" xfId="0" applyNumberFormat="1" applyFont="1" applyBorder="1" applyAlignment="1">
      <alignment horizontal="center" vertical="center" wrapText="1"/>
    </xf>
    <xf numFmtId="0" fontId="91" fillId="0" borderId="36" xfId="0" applyFont="1" applyBorder="1" applyAlignment="1">
      <alignment vertical="center"/>
    </xf>
    <xf numFmtId="0" fontId="91" fillId="0" borderId="37" xfId="134" applyFont="1" applyBorder="1" applyAlignment="1">
      <alignment vertical="center"/>
    </xf>
    <xf numFmtId="3" fontId="91" fillId="0" borderId="36" xfId="134" applyNumberFormat="1" applyFont="1" applyBorder="1" applyAlignment="1">
      <alignment horizontal="center" vertical="center"/>
    </xf>
    <xf numFmtId="0" fontId="91" fillId="0" borderId="37" xfId="134" applyFont="1" applyBorder="1" applyAlignment="1">
      <alignment vertical="center" wrapText="1"/>
    </xf>
    <xf numFmtId="0" fontId="91" fillId="0" borderId="36" xfId="134" applyFont="1" applyBorder="1" applyAlignment="1">
      <alignment horizontal="center" vertical="center" wrapText="1"/>
    </xf>
    <xf numFmtId="0" fontId="91" fillId="0" borderId="37" xfId="154" applyFont="1" applyBorder="1" applyAlignment="1">
      <alignment vertical="center"/>
    </xf>
    <xf numFmtId="3" fontId="91" fillId="0" borderId="36" xfId="154" applyNumberFormat="1" applyFont="1" applyBorder="1" applyAlignment="1">
      <alignment horizontal="center" vertical="center"/>
    </xf>
    <xf numFmtId="0" fontId="91" fillId="0" borderId="36" xfId="134" applyFont="1" applyBorder="1" applyAlignment="1">
      <alignment vertical="center" wrapText="1"/>
    </xf>
    <xf numFmtId="0" fontId="91" fillId="0" borderId="25" xfId="134" applyFont="1" applyBorder="1" applyAlignment="1">
      <alignment vertical="center"/>
    </xf>
    <xf numFmtId="0" fontId="91" fillId="0" borderId="25" xfId="134" applyFont="1" applyBorder="1" applyAlignment="1">
      <alignment vertical="center" wrapText="1"/>
    </xf>
    <xf numFmtId="0" fontId="91" fillId="0" borderId="37" xfId="154" applyFont="1" applyBorder="1" applyAlignment="1">
      <alignment vertical="center" wrapText="1"/>
    </xf>
    <xf numFmtId="0" fontId="91" fillId="0" borderId="36" xfId="154" applyFont="1" applyBorder="1" applyAlignment="1">
      <alignment horizontal="center" vertical="center" wrapText="1"/>
    </xf>
    <xf numFmtId="3" fontId="91" fillId="0" borderId="36" xfId="134" applyNumberFormat="1" applyFont="1" applyBorder="1" applyAlignment="1">
      <alignment horizontal="center" vertical="center" wrapText="1"/>
    </xf>
    <xf numFmtId="0" fontId="91" fillId="0" borderId="40" xfId="154" applyFont="1" applyBorder="1" applyAlignment="1">
      <alignment vertical="center"/>
    </xf>
    <xf numFmtId="0" fontId="91" fillId="0" borderId="36" xfId="0" applyFont="1" applyBorder="1" applyAlignment="1">
      <alignment vertical="center" wrapText="1"/>
    </xf>
    <xf numFmtId="0" fontId="92" fillId="0" borderId="36" xfId="134" applyFont="1" applyBorder="1" applyAlignment="1">
      <alignment horizontal="center" vertical="center" wrapText="1"/>
    </xf>
    <xf numFmtId="3" fontId="97" fillId="0" borderId="36" xfId="134" applyNumberFormat="1" applyFont="1" applyBorder="1" applyAlignment="1">
      <alignment vertical="center"/>
    </xf>
    <xf numFmtId="3" fontId="91" fillId="0" borderId="36" xfId="0" applyNumberFormat="1" applyFont="1" applyBorder="1" applyAlignment="1">
      <alignment vertical="center"/>
    </xf>
    <xf numFmtId="3" fontId="97" fillId="46" borderId="36" xfId="134" applyNumberFormat="1" applyFont="1" applyFill="1" applyBorder="1" applyAlignment="1">
      <alignment vertical="center" wrapText="1"/>
    </xf>
    <xf numFmtId="0" fontId="91" fillId="0" borderId="40" xfId="154" applyFont="1" applyBorder="1" applyAlignment="1">
      <alignment vertical="center" wrapText="1"/>
    </xf>
    <xf numFmtId="3" fontId="91" fillId="0" borderId="36" xfId="134" applyNumberFormat="1" applyFont="1" applyFill="1" applyBorder="1" applyAlignment="1">
      <alignment vertical="center"/>
    </xf>
    <xf numFmtId="0" fontId="91" fillId="0" borderId="36" xfId="154" applyFont="1" applyBorder="1" applyAlignment="1">
      <alignment vertical="center"/>
    </xf>
    <xf numFmtId="3" fontId="91" fillId="0" borderId="36" xfId="154" applyNumberFormat="1" applyFont="1" applyBorder="1" applyAlignment="1">
      <alignment vertical="center"/>
    </xf>
    <xf numFmtId="3" fontId="92" fillId="0" borderId="36" xfId="0" applyNumberFormat="1" applyFont="1" applyBorder="1" applyAlignment="1">
      <alignment horizontal="center" vertical="center" wrapText="1"/>
    </xf>
    <xf numFmtId="3" fontId="92" fillId="0" borderId="36" xfId="0" applyNumberFormat="1" applyFont="1" applyBorder="1" applyAlignment="1">
      <alignment horizontal="right" vertical="center" wrapText="1"/>
    </xf>
    <xf numFmtId="0" fontId="97" fillId="46" borderId="37" xfId="127" applyFont="1" applyFill="1" applyBorder="1" applyAlignment="1">
      <alignment vertical="center" wrapText="1"/>
    </xf>
    <xf numFmtId="0" fontId="97" fillId="46" borderId="36" xfId="127" applyFont="1" applyFill="1" applyBorder="1" applyAlignment="1">
      <alignment horizontal="center" vertical="center" wrapText="1"/>
    </xf>
    <xf numFmtId="0" fontId="91" fillId="0" borderId="40" xfId="127" applyFont="1" applyBorder="1" applyAlignment="1">
      <alignment vertical="center"/>
    </xf>
    <xf numFmtId="0" fontId="91" fillId="0" borderId="36" xfId="127" applyFont="1" applyBorder="1" applyAlignment="1">
      <alignment horizontal="center" vertical="center"/>
    </xf>
    <xf numFmtId="0" fontId="97" fillId="46" borderId="36" xfId="134" applyFont="1" applyFill="1" applyBorder="1" applyAlignment="1">
      <alignment vertical="center"/>
    </xf>
    <xf numFmtId="0" fontId="91" fillId="0" borderId="37" xfId="134" applyFont="1" applyFill="1" applyBorder="1" applyAlignment="1">
      <alignment vertical="center" wrapText="1"/>
    </xf>
    <xf numFmtId="0" fontId="92" fillId="0" borderId="37" xfId="134" applyFont="1" applyFill="1" applyBorder="1" applyAlignment="1">
      <alignment vertical="center" wrapText="1"/>
    </xf>
    <xf numFmtId="0" fontId="91" fillId="0" borderId="25" xfId="134" applyFont="1" applyFill="1" applyBorder="1" applyAlignment="1">
      <alignment vertical="center" wrapText="1"/>
    </xf>
    <xf numFmtId="3" fontId="9" fillId="0" borderId="36" xfId="0" applyNumberFormat="1" applyFont="1" applyFill="1" applyBorder="1" applyAlignment="1">
      <alignment vertical="center"/>
    </xf>
    <xf numFmtId="3" fontId="12" fillId="0" borderId="37" xfId="136" applyNumberFormat="1" applyFont="1" applyFill="1" applyBorder="1" applyAlignment="1">
      <alignment vertical="center" wrapText="1"/>
    </xf>
    <xf numFmtId="3" fontId="12" fillId="0" borderId="37" xfId="136" applyNumberFormat="1" applyFont="1" applyFill="1" applyBorder="1" applyAlignment="1">
      <alignment vertical="center"/>
    </xf>
    <xf numFmtId="3" fontId="12" fillId="0" borderId="45" xfId="136" applyNumberFormat="1" applyFont="1" applyFill="1" applyBorder="1" applyAlignment="1">
      <alignment vertical="center"/>
    </xf>
    <xf numFmtId="0" fontId="85" fillId="0" borderId="38" xfId="162" applyFont="1" applyFill="1" applyBorder="1" applyAlignment="1">
      <alignment horizontal="left" vertical="center" wrapText="1"/>
    </xf>
    <xf numFmtId="3" fontId="12" fillId="0" borderId="46" xfId="163" applyNumberFormat="1" applyFont="1" applyFill="1" applyBorder="1" applyAlignment="1">
      <alignment vertical="center" wrapText="1"/>
    </xf>
    <xf numFmtId="3" fontId="12" fillId="0" borderId="37" xfId="0" applyNumberFormat="1" applyFont="1" applyFill="1" applyBorder="1" applyAlignment="1">
      <alignment vertical="center"/>
    </xf>
    <xf numFmtId="3" fontId="12" fillId="0" borderId="37" xfId="163" applyNumberFormat="1" applyFont="1" applyFill="1" applyBorder="1" applyAlignment="1">
      <alignment vertical="center" wrapText="1"/>
    </xf>
    <xf numFmtId="3" fontId="12" fillId="0" borderId="28" xfId="163" applyNumberFormat="1" applyFont="1" applyFill="1" applyBorder="1" applyAlignment="1">
      <alignment vertical="center" wrapText="1"/>
    </xf>
    <xf numFmtId="3" fontId="12" fillId="0" borderId="19" xfId="0" applyNumberFormat="1" applyFont="1" applyFill="1" applyBorder="1" applyAlignment="1">
      <alignment horizontal="right" vertical="center"/>
    </xf>
    <xf numFmtId="3" fontId="11" fillId="49" borderId="19" xfId="0" applyNumberFormat="1" applyFont="1" applyFill="1" applyBorder="1" applyAlignment="1">
      <alignment vertical="center"/>
    </xf>
    <xf numFmtId="3" fontId="11" fillId="0" borderId="57" xfId="0" applyNumberFormat="1" applyFont="1" applyBorder="1" applyAlignment="1">
      <alignment horizontal="center" vertical="center"/>
    </xf>
    <xf numFmtId="3" fontId="12" fillId="0" borderId="59" xfId="0" applyNumberFormat="1" applyFont="1" applyBorder="1" applyAlignment="1">
      <alignment vertical="center"/>
    </xf>
    <xf numFmtId="3" fontId="12" fillId="0" borderId="57" xfId="0" applyNumberFormat="1" applyFont="1" applyBorder="1" applyAlignment="1">
      <alignment vertical="center"/>
    </xf>
    <xf numFmtId="3" fontId="12" fillId="0" borderId="57" xfId="0" applyNumberFormat="1" applyFont="1" applyBorder="1" applyAlignment="1">
      <alignment horizontal="right" vertical="center"/>
    </xf>
    <xf numFmtId="3" fontId="12" fillId="0" borderId="59" xfId="0" applyNumberFormat="1" applyFont="1" applyBorder="1" applyAlignment="1">
      <alignment horizontal="right" vertical="center"/>
    </xf>
    <xf numFmtId="49" fontId="10" fillId="0" borderId="58" xfId="157" applyNumberFormat="1" applyFont="1" applyBorder="1" applyAlignment="1">
      <alignment horizontal="center" vertical="center" wrapText="1"/>
    </xf>
    <xf numFmtId="3" fontId="12" fillId="0" borderId="36" xfId="0" applyNumberFormat="1" applyFont="1" applyFill="1" applyBorder="1" applyAlignment="1">
      <alignment vertical="center" wrapText="1"/>
    </xf>
    <xf numFmtId="3" fontId="12" fillId="0" borderId="57" xfId="0" applyNumberFormat="1" applyFont="1" applyFill="1" applyBorder="1" applyAlignment="1">
      <alignment vertical="center"/>
    </xf>
    <xf numFmtId="3" fontId="12" fillId="0" borderId="42" xfId="0" applyNumberFormat="1" applyFont="1" applyFill="1" applyBorder="1" applyAlignment="1">
      <alignment vertical="center"/>
    </xf>
    <xf numFmtId="0" fontId="0" fillId="0" borderId="37" xfId="0" applyBorder="1" applyAlignment="1">
      <alignment vertical="center"/>
    </xf>
    <xf numFmtId="3" fontId="7" fillId="0" borderId="42" xfId="0" applyNumberFormat="1" applyFont="1" applyBorder="1" applyAlignment="1">
      <alignment vertical="center"/>
    </xf>
    <xf numFmtId="0" fontId="12" fillId="0" borderId="36" xfId="0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vertical="center"/>
    </xf>
    <xf numFmtId="3" fontId="9" fillId="0" borderId="62" xfId="0" applyNumberFormat="1" applyFont="1" applyBorder="1" applyAlignment="1">
      <alignment vertical="center" wrapText="1"/>
    </xf>
    <xf numFmtId="0" fontId="10" fillId="0" borderId="63" xfId="131" applyFont="1" applyBorder="1" applyAlignment="1">
      <alignment horizontal="center" vertical="top" wrapText="1"/>
    </xf>
    <xf numFmtId="3" fontId="10" fillId="0" borderId="0" xfId="0" applyNumberFormat="1" applyFont="1" applyBorder="1" applyAlignment="1">
      <alignment horizontal="center" vertical="center"/>
    </xf>
    <xf numFmtId="3" fontId="10" fillId="0" borderId="61" xfId="0" applyNumberFormat="1" applyFont="1" applyBorder="1" applyAlignment="1">
      <alignment horizontal="center" vertical="center"/>
    </xf>
    <xf numFmtId="0" fontId="87" fillId="0" borderId="37" xfId="161" applyFont="1" applyBorder="1" applyAlignment="1">
      <alignment horizontal="center" vertical="center"/>
    </xf>
    <xf numFmtId="0" fontId="87" fillId="48" borderId="37" xfId="161" applyFont="1" applyFill="1" applyBorder="1" applyAlignment="1">
      <alignment horizontal="center" vertical="top" wrapText="1"/>
    </xf>
    <xf numFmtId="0" fontId="12" fillId="48" borderId="37" xfId="161" applyFont="1" applyFill="1" applyBorder="1" applyAlignment="1">
      <alignment horizontal="center" vertical="center" wrapText="1"/>
    </xf>
    <xf numFmtId="0" fontId="87" fillId="48" borderId="37" xfId="161" applyFont="1" applyFill="1" applyBorder="1" applyAlignment="1">
      <alignment horizontal="center" vertical="center" wrapText="1"/>
    </xf>
    <xf numFmtId="0" fontId="86" fillId="48" borderId="37" xfId="161" applyFont="1" applyFill="1" applyBorder="1" applyAlignment="1">
      <alignment horizontal="center" vertical="top" wrapText="1"/>
    </xf>
    <xf numFmtId="3" fontId="86" fillId="0" borderId="61" xfId="0" applyNumberFormat="1" applyFont="1" applyBorder="1" applyAlignment="1">
      <alignment horizontal="center" vertical="center"/>
    </xf>
    <xf numFmtId="3" fontId="13" fillId="0" borderId="61" xfId="0" applyNumberFormat="1" applyFont="1" applyBorder="1" applyAlignment="1">
      <alignment horizontal="center" vertical="center"/>
    </xf>
    <xf numFmtId="3" fontId="12" fillId="0" borderId="61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3" fontId="9" fillId="0" borderId="37" xfId="159" applyNumberFormat="1" applyFont="1" applyBorder="1" applyAlignment="1">
      <alignment vertical="top" wrapText="1"/>
    </xf>
    <xf numFmtId="3" fontId="19" fillId="0" borderId="37" xfId="0" applyNumberFormat="1" applyFont="1" applyBorder="1" applyAlignment="1">
      <alignment horizontal="left" vertical="center" wrapText="1"/>
    </xf>
    <xf numFmtId="0" fontId="19" fillId="0" borderId="37" xfId="129" applyFont="1" applyBorder="1" applyAlignment="1">
      <alignment vertical="center" wrapText="1"/>
    </xf>
    <xf numFmtId="3" fontId="12" fillId="0" borderId="0" xfId="0" applyNumberFormat="1" applyFont="1" applyAlignment="1">
      <alignment vertical="center"/>
    </xf>
    <xf numFmtId="0" fontId="58" fillId="46" borderId="13" xfId="0" applyFont="1" applyFill="1" applyBorder="1" applyAlignment="1">
      <alignment horizontal="center" vertical="center" wrapText="1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3" fontId="11" fillId="46" borderId="65" xfId="136" applyNumberFormat="1" applyFont="1" applyFill="1" applyBorder="1" applyAlignment="1">
      <alignment horizontal="center" vertical="center" wrapText="1"/>
    </xf>
    <xf numFmtId="0" fontId="91" fillId="0" borderId="31" xfId="84" applyNumberFormat="1" applyFont="1" applyBorder="1" applyAlignment="1">
      <alignment horizontal="center" vertical="center"/>
    </xf>
    <xf numFmtId="3" fontId="18" fillId="0" borderId="36" xfId="132" applyNumberFormat="1" applyFont="1" applyFill="1" applyBorder="1" applyAlignment="1">
      <alignment horizontal="right" vertical="center" wrapText="1"/>
    </xf>
    <xf numFmtId="3" fontId="12" fillId="0" borderId="36" xfId="133" applyNumberFormat="1" applyFont="1" applyFill="1" applyBorder="1" applyAlignment="1">
      <alignment horizontal="right" vertical="center" wrapText="1"/>
    </xf>
    <xf numFmtId="3" fontId="12" fillId="0" borderId="36" xfId="133" applyNumberFormat="1" applyFont="1" applyFill="1" applyBorder="1" applyAlignment="1">
      <alignment horizontal="right" vertical="center"/>
    </xf>
    <xf numFmtId="3" fontId="12" fillId="0" borderId="36" xfId="135" applyNumberFormat="1" applyFont="1" applyFill="1" applyBorder="1" applyAlignment="1">
      <alignment horizontal="right" vertical="center"/>
    </xf>
    <xf numFmtId="3" fontId="10" fillId="46" borderId="36" xfId="128" applyNumberFormat="1" applyFont="1" applyFill="1" applyBorder="1" applyAlignment="1">
      <alignment vertical="center" wrapText="1"/>
    </xf>
    <xf numFmtId="3" fontId="11" fillId="46" borderId="36" xfId="128" applyNumberFormat="1" applyFont="1" applyFill="1" applyBorder="1" applyAlignment="1">
      <alignment vertical="center" wrapText="1"/>
    </xf>
    <xf numFmtId="3" fontId="12" fillId="0" borderId="36" xfId="132" applyNumberFormat="1" applyFont="1" applyFill="1" applyBorder="1" applyAlignment="1">
      <alignment horizontal="right" vertical="center" wrapText="1"/>
    </xf>
    <xf numFmtId="3" fontId="11" fillId="46" borderId="36" xfId="128" applyNumberFormat="1" applyFont="1" applyFill="1" applyBorder="1" applyAlignment="1">
      <alignment horizontal="right" vertical="center" wrapText="1"/>
    </xf>
    <xf numFmtId="3" fontId="9" fillId="0" borderId="31" xfId="134" applyNumberFormat="1" applyFont="1" applyBorder="1" applyAlignment="1">
      <alignment vertical="center"/>
    </xf>
    <xf numFmtId="0" fontId="9" fillId="0" borderId="31" xfId="134" applyFont="1" applyFill="1" applyBorder="1" applyAlignment="1">
      <alignment horizontal="center" vertical="center"/>
    </xf>
    <xf numFmtId="3" fontId="91" fillId="0" borderId="32" xfId="0" applyNumberFormat="1" applyFont="1" applyFill="1" applyBorder="1" applyAlignment="1">
      <alignment vertical="center" wrapText="1"/>
    </xf>
    <xf numFmtId="3" fontId="92" fillId="0" borderId="31" xfId="0" applyNumberFormat="1" applyFont="1" applyFill="1" applyBorder="1" applyAlignment="1">
      <alignment horizontal="center" vertical="center" wrapText="1"/>
    </xf>
    <xf numFmtId="3" fontId="91" fillId="0" borderId="31" xfId="134" applyNumberFormat="1" applyFont="1" applyFill="1" applyBorder="1" applyAlignment="1">
      <alignment vertical="center"/>
    </xf>
    <xf numFmtId="0" fontId="6" fillId="0" borderId="0" xfId="154" applyFill="1" applyAlignment="1">
      <alignment vertical="center"/>
    </xf>
    <xf numFmtId="3" fontId="91" fillId="0" borderId="31" xfId="129" applyNumberFormat="1" applyFont="1" applyBorder="1" applyAlignment="1">
      <alignment horizontal="center" vertical="center" wrapText="1"/>
    </xf>
    <xf numFmtId="3" fontId="91" fillId="0" borderId="31" xfId="129" applyNumberFormat="1" applyFont="1" applyBorder="1" applyAlignment="1">
      <alignment horizontal="center" vertical="top" wrapText="1"/>
    </xf>
    <xf numFmtId="3" fontId="91" fillId="0" borderId="36" xfId="129" applyNumberFormat="1" applyFont="1" applyBorder="1" applyAlignment="1">
      <alignment horizontal="center" vertical="center" wrapText="1"/>
    </xf>
    <xf numFmtId="3" fontId="12" fillId="0" borderId="31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vertical="center"/>
    </xf>
    <xf numFmtId="3" fontId="12" fillId="0" borderId="36" xfId="0" applyNumberFormat="1" applyFont="1" applyFill="1" applyBorder="1" applyAlignment="1">
      <alignment horizontal="center" vertical="center"/>
    </xf>
    <xf numFmtId="3" fontId="12" fillId="0" borderId="37" xfId="0" applyNumberFormat="1" applyFont="1" applyFill="1" applyBorder="1" applyAlignment="1">
      <alignment horizontal="center" vertical="center"/>
    </xf>
    <xf numFmtId="3" fontId="10" fillId="0" borderId="66" xfId="0" applyNumberFormat="1" applyFont="1" applyFill="1" applyBorder="1" applyAlignment="1">
      <alignment vertical="center" wrapText="1"/>
    </xf>
    <xf numFmtId="3" fontId="9" fillId="0" borderId="66" xfId="0" applyNumberFormat="1" applyFont="1" applyFill="1" applyBorder="1" applyAlignment="1">
      <alignment vertical="center" wrapText="1"/>
    </xf>
    <xf numFmtId="3" fontId="10" fillId="46" borderId="66" xfId="0" applyNumberFormat="1" applyFont="1" applyFill="1" applyBorder="1" applyAlignment="1">
      <alignment vertical="center" wrapText="1"/>
    </xf>
    <xf numFmtId="0" fontId="12" fillId="0" borderId="66" xfId="0" applyFont="1" applyFill="1" applyBorder="1"/>
    <xf numFmtId="3" fontId="9" fillId="0" borderId="34" xfId="0" applyNumberFormat="1" applyFont="1" applyFill="1" applyBorder="1" applyAlignment="1">
      <alignment vertical="center" wrapText="1"/>
    </xf>
    <xf numFmtId="3" fontId="10" fillId="49" borderId="13" xfId="0" applyNumberFormat="1" applyFont="1" applyFill="1" applyBorder="1" applyAlignment="1">
      <alignment vertical="center" wrapText="1"/>
    </xf>
    <xf numFmtId="3" fontId="11" fillId="49" borderId="13" xfId="0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/>
    </xf>
    <xf numFmtId="3" fontId="9" fillId="0" borderId="66" xfId="136" applyNumberFormat="1" applyFont="1" applyFill="1" applyBorder="1" applyAlignment="1">
      <alignment horizontal="right" vertical="center" wrapText="1"/>
    </xf>
    <xf numFmtId="3" fontId="9" fillId="0" borderId="66" xfId="136" applyNumberFormat="1" applyFont="1" applyBorder="1" applyAlignment="1">
      <alignment horizontal="right" vertical="center"/>
    </xf>
    <xf numFmtId="3" fontId="10" fillId="0" borderId="66" xfId="136" applyNumberFormat="1" applyFont="1" applyFill="1" applyBorder="1" applyAlignment="1">
      <alignment horizontal="right" vertical="center" wrapText="1"/>
    </xf>
    <xf numFmtId="3" fontId="10" fillId="0" borderId="66" xfId="136" applyNumberFormat="1" applyFont="1" applyBorder="1" applyAlignment="1">
      <alignment horizontal="right" vertical="center" wrapText="1"/>
    </xf>
    <xf numFmtId="3" fontId="10" fillId="46" borderId="66" xfId="136" applyNumberFormat="1" applyFont="1" applyFill="1" applyBorder="1" applyAlignment="1">
      <alignment horizontal="right" vertical="center" wrapText="1"/>
    </xf>
    <xf numFmtId="3" fontId="91" fillId="0" borderId="66" xfId="134" applyNumberFormat="1" applyFont="1" applyBorder="1" applyAlignment="1">
      <alignment vertical="center"/>
    </xf>
    <xf numFmtId="0" fontId="9" fillId="0" borderId="66" xfId="134" applyFont="1" applyBorder="1" applyAlignment="1">
      <alignment horizontal="center" vertical="center"/>
    </xf>
    <xf numFmtId="3" fontId="9" fillId="0" borderId="67" xfId="0" applyNumberFormat="1" applyFont="1" applyBorder="1" applyAlignment="1">
      <alignment vertical="center" wrapText="1"/>
    </xf>
    <xf numFmtId="3" fontId="9" fillId="0" borderId="66" xfId="0" applyNumberFormat="1" applyFont="1" applyBorder="1" applyAlignment="1">
      <alignment horizontal="center" vertical="center" wrapText="1"/>
    </xf>
    <xf numFmtId="3" fontId="12" fillId="0" borderId="66" xfId="0" applyNumberFormat="1" applyFont="1" applyBorder="1" applyAlignment="1">
      <alignment horizontal="center" vertical="center"/>
    </xf>
    <xf numFmtId="3" fontId="12" fillId="0" borderId="67" xfId="0" applyNumberFormat="1" applyFont="1" applyBorder="1" applyAlignment="1">
      <alignment horizontal="center" vertical="center"/>
    </xf>
    <xf numFmtId="3" fontId="12" fillId="0" borderId="67" xfId="0" applyNumberFormat="1" applyFont="1" applyBorder="1" applyAlignment="1">
      <alignment vertical="center" wrapText="1"/>
    </xf>
    <xf numFmtId="0" fontId="9" fillId="0" borderId="68" xfId="0" applyFont="1" applyBorder="1" applyAlignment="1">
      <alignment vertical="center"/>
    </xf>
    <xf numFmtId="3" fontId="12" fillId="0" borderId="66" xfId="0" applyNumberFormat="1" applyFont="1" applyBorder="1" applyAlignment="1">
      <alignment vertical="center"/>
    </xf>
    <xf numFmtId="3" fontId="12" fillId="0" borderId="66" xfId="136" applyNumberFormat="1" applyFont="1" applyBorder="1" applyAlignment="1">
      <alignment horizontal="right" vertical="center"/>
    </xf>
    <xf numFmtId="0" fontId="9" fillId="0" borderId="66" xfId="0" applyFont="1" applyBorder="1" applyAlignment="1">
      <alignment vertical="center"/>
    </xf>
    <xf numFmtId="3" fontId="11" fillId="0" borderId="66" xfId="0" applyNumberFormat="1" applyFont="1" applyBorder="1" applyAlignment="1">
      <alignment horizontal="center" vertical="center"/>
    </xf>
    <xf numFmtId="3" fontId="12" fillId="0" borderId="66" xfId="0" applyNumberFormat="1" applyFont="1" applyBorder="1" applyAlignment="1">
      <alignment horizontal="right" vertical="center"/>
    </xf>
    <xf numFmtId="3" fontId="12" fillId="0" borderId="69" xfId="0" applyNumberFormat="1" applyFont="1" applyBorder="1" applyAlignment="1">
      <alignment vertical="center"/>
    </xf>
    <xf numFmtId="3" fontId="11" fillId="51" borderId="57" xfId="0" applyNumberFormat="1" applyFont="1" applyFill="1" applyBorder="1" applyAlignment="1">
      <alignment horizontal="center" vertical="center"/>
    </xf>
    <xf numFmtId="3" fontId="11" fillId="51" borderId="58" xfId="0" applyNumberFormat="1" applyFont="1" applyFill="1" applyBorder="1" applyAlignment="1">
      <alignment horizontal="center" vertical="center"/>
    </xf>
    <xf numFmtId="3" fontId="12" fillId="51" borderId="57" xfId="0" applyNumberFormat="1" applyFont="1" applyFill="1" applyBorder="1" applyAlignment="1">
      <alignment horizontal="right" vertical="center"/>
    </xf>
    <xf numFmtId="3" fontId="12" fillId="0" borderId="57" xfId="136" applyNumberFormat="1" applyFont="1" applyBorder="1" applyAlignment="1">
      <alignment horizontal="right" vertical="center"/>
    </xf>
    <xf numFmtId="3" fontId="12" fillId="51" borderId="57" xfId="0" applyNumberFormat="1" applyFont="1" applyFill="1" applyBorder="1" applyAlignment="1">
      <alignment vertical="center"/>
    </xf>
    <xf numFmtId="3" fontId="9" fillId="0" borderId="58" xfId="0" applyNumberFormat="1" applyFont="1" applyFill="1" applyBorder="1" applyAlignment="1">
      <alignment vertical="center" wrapText="1"/>
    </xf>
    <xf numFmtId="3" fontId="12" fillId="0" borderId="57" xfId="0" applyNumberFormat="1" applyFont="1" applyFill="1" applyBorder="1" applyAlignment="1">
      <alignment horizontal="right" vertical="center"/>
    </xf>
    <xf numFmtId="3" fontId="12" fillId="0" borderId="66" xfId="136" applyNumberFormat="1" applyFont="1" applyFill="1" applyBorder="1" applyAlignment="1">
      <alignment horizontal="right" vertical="center"/>
    </xf>
    <xf numFmtId="0" fontId="12" fillId="0" borderId="66" xfId="0" applyFont="1" applyBorder="1" applyAlignment="1">
      <alignment vertical="center"/>
    </xf>
    <xf numFmtId="3" fontId="9" fillId="0" borderId="66" xfId="0" applyNumberFormat="1" applyFont="1" applyBorder="1" applyAlignment="1">
      <alignment vertical="center"/>
    </xf>
    <xf numFmtId="3" fontId="7" fillId="0" borderId="66" xfId="0" applyNumberFormat="1" applyFont="1" applyBorder="1" applyAlignment="1">
      <alignment vertical="center"/>
    </xf>
    <xf numFmtId="3" fontId="7" fillId="49" borderId="66" xfId="0" applyNumberFormat="1" applyFont="1" applyFill="1" applyBorder="1" applyAlignment="1">
      <alignment vertical="center"/>
    </xf>
    <xf numFmtId="3" fontId="9" fillId="0" borderId="34" xfId="0" applyNumberFormat="1" applyFont="1" applyBorder="1" applyAlignment="1">
      <alignment horizontal="right" vertical="center" wrapText="1"/>
    </xf>
    <xf numFmtId="3" fontId="9" fillId="0" borderId="34" xfId="0" applyNumberFormat="1" applyFont="1" applyBorder="1" applyAlignment="1">
      <alignment vertical="center" wrapText="1"/>
    </xf>
    <xf numFmtId="3" fontId="10" fillId="46" borderId="66" xfId="0" applyNumberFormat="1" applyFont="1" applyFill="1" applyBorder="1" applyAlignment="1">
      <alignment horizontal="center" vertical="center" wrapText="1"/>
    </xf>
    <xf numFmtId="3" fontId="11" fillId="49" borderId="69" xfId="0" applyNumberFormat="1" applyFont="1" applyFill="1" applyBorder="1" applyAlignment="1">
      <alignment vertical="center"/>
    </xf>
    <xf numFmtId="3" fontId="12" fillId="0" borderId="19" xfId="0" applyNumberFormat="1" applyFont="1" applyBorder="1" applyAlignment="1">
      <alignment vertical="center" wrapText="1"/>
    </xf>
    <xf numFmtId="3" fontId="11" fillId="46" borderId="67" xfId="0" applyNumberFormat="1" applyFont="1" applyFill="1" applyBorder="1" applyAlignment="1">
      <alignment vertical="center" wrapText="1"/>
    </xf>
    <xf numFmtId="3" fontId="11" fillId="46" borderId="69" xfId="0" applyNumberFormat="1" applyFont="1" applyFill="1" applyBorder="1" applyAlignment="1">
      <alignment vertical="center"/>
    </xf>
    <xf numFmtId="3" fontId="11" fillId="46" borderId="69" xfId="0" applyNumberFormat="1" applyFont="1" applyFill="1" applyBorder="1" applyAlignment="1">
      <alignment vertical="center" wrapText="1"/>
    </xf>
    <xf numFmtId="3" fontId="11" fillId="46" borderId="36" xfId="0" applyNumberFormat="1" applyFont="1" applyFill="1" applyBorder="1" applyAlignment="1">
      <alignment vertical="center" wrapText="1"/>
    </xf>
    <xf numFmtId="0" fontId="91" fillId="0" borderId="36" xfId="134" applyFont="1" applyFill="1" applyBorder="1" applyAlignment="1">
      <alignment horizontal="center" vertical="center" wrapText="1"/>
    </xf>
    <xf numFmtId="3" fontId="12" fillId="0" borderId="66" xfId="0" applyNumberFormat="1" applyFont="1" applyFill="1" applyBorder="1" applyAlignment="1">
      <alignment vertical="center"/>
    </xf>
    <xf numFmtId="3" fontId="11" fillId="51" borderId="66" xfId="0" applyNumberFormat="1" applyFont="1" applyFill="1" applyBorder="1" applyAlignment="1">
      <alignment horizontal="center" vertical="center"/>
    </xf>
    <xf numFmtId="3" fontId="11" fillId="51" borderId="67" xfId="0" applyNumberFormat="1" applyFont="1" applyFill="1" applyBorder="1" applyAlignment="1">
      <alignment horizontal="center" vertical="center"/>
    </xf>
    <xf numFmtId="3" fontId="9" fillId="0" borderId="67" xfId="0" applyNumberFormat="1" applyFont="1" applyBorder="1" applyAlignment="1">
      <alignment vertical="center"/>
    </xf>
    <xf numFmtId="3" fontId="9" fillId="0" borderId="67" xfId="0" applyNumberFormat="1" applyFont="1" applyBorder="1" applyAlignment="1">
      <alignment horizontal="left" vertical="center"/>
    </xf>
    <xf numFmtId="3" fontId="12" fillId="51" borderId="66" xfId="0" applyNumberFormat="1" applyFont="1" applyFill="1" applyBorder="1" applyAlignment="1">
      <alignment horizontal="right" vertical="center"/>
    </xf>
    <xf numFmtId="3" fontId="12" fillId="0" borderId="66" xfId="0" applyNumberFormat="1" applyFont="1" applyBorder="1" applyAlignment="1">
      <alignment vertical="center" wrapText="1"/>
    </xf>
    <xf numFmtId="3" fontId="11" fillId="0" borderId="66" xfId="0" applyNumberFormat="1" applyFont="1" applyBorder="1" applyAlignment="1">
      <alignment vertical="center" wrapText="1"/>
    </xf>
    <xf numFmtId="3" fontId="11" fillId="0" borderId="13" xfId="0" applyNumberFormat="1" applyFont="1" applyFill="1" applyBorder="1" applyAlignment="1">
      <alignment horizontal="right" vertical="center"/>
    </xf>
    <xf numFmtId="0" fontId="12" fillId="49" borderId="0" xfId="151" applyFont="1" applyFill="1" applyAlignment="1">
      <alignment vertical="center"/>
    </xf>
    <xf numFmtId="3" fontId="11" fillId="50" borderId="39" xfId="151" applyNumberFormat="1" applyFont="1" applyFill="1" applyBorder="1" applyAlignment="1">
      <alignment horizontal="center" vertical="center" wrapText="1"/>
    </xf>
    <xf numFmtId="3" fontId="11" fillId="50" borderId="57" xfId="151" applyNumberFormat="1" applyFont="1" applyFill="1" applyBorder="1" applyAlignment="1">
      <alignment horizontal="center" vertical="center" wrapText="1"/>
    </xf>
    <xf numFmtId="0" fontId="11" fillId="49" borderId="57" xfId="151" applyFont="1" applyFill="1" applyBorder="1" applyAlignment="1">
      <alignment horizontal="center" vertical="center"/>
    </xf>
    <xf numFmtId="0" fontId="13" fillId="0" borderId="57" xfId="151" applyFont="1" applyBorder="1" applyAlignment="1">
      <alignment horizontal="left" vertical="top"/>
    </xf>
    <xf numFmtId="0" fontId="12" fillId="0" borderId="59" xfId="151" applyFont="1" applyBorder="1" applyAlignment="1">
      <alignment vertical="center"/>
    </xf>
    <xf numFmtId="3" fontId="12" fillId="0" borderId="57" xfId="151" applyNumberFormat="1" applyFont="1" applyBorder="1" applyAlignment="1">
      <alignment vertical="center"/>
    </xf>
    <xf numFmtId="0" fontId="12" fillId="0" borderId="57" xfId="151" applyFont="1" applyBorder="1" applyAlignment="1">
      <alignment vertical="center"/>
    </xf>
    <xf numFmtId="0" fontId="13" fillId="0" borderId="57" xfId="151" applyFont="1" applyBorder="1" applyAlignment="1">
      <alignment vertical="center"/>
    </xf>
    <xf numFmtId="3" fontId="9" fillId="0" borderId="57" xfId="151" applyNumberFormat="1" applyFont="1" applyBorder="1" applyAlignment="1">
      <alignment horizontal="right" vertical="center"/>
    </xf>
    <xf numFmtId="4" fontId="9" fillId="0" borderId="57" xfId="151" applyNumberFormat="1" applyFont="1" applyBorder="1" applyAlignment="1">
      <alignment horizontal="right" vertical="center"/>
    </xf>
    <xf numFmtId="167" fontId="12" fillId="0" borderId="57" xfId="175" applyNumberFormat="1" applyFont="1" applyBorder="1" applyAlignment="1">
      <alignment vertical="center"/>
    </xf>
    <xf numFmtId="0" fontId="7" fillId="0" borderId="57" xfId="151" applyFont="1" applyBorder="1" applyAlignment="1">
      <alignment vertical="center"/>
    </xf>
    <xf numFmtId="3" fontId="9" fillId="0" borderId="57" xfId="151" applyNumberFormat="1" applyFont="1" applyBorder="1" applyAlignment="1">
      <alignment vertical="center"/>
    </xf>
    <xf numFmtId="3" fontId="80" fillId="0" borderId="57" xfId="151" applyNumberFormat="1" applyFont="1" applyBorder="1" applyAlignment="1">
      <alignment horizontal="right" vertical="center"/>
    </xf>
    <xf numFmtId="165" fontId="9" fillId="0" borderId="57" xfId="151" applyNumberFormat="1" applyFont="1" applyBorder="1" applyAlignment="1">
      <alignment horizontal="right" vertical="center"/>
    </xf>
    <xf numFmtId="0" fontId="12" fillId="0" borderId="57" xfId="151" applyFont="1" applyBorder="1" applyAlignment="1">
      <alignment vertical="center" wrapText="1"/>
    </xf>
    <xf numFmtId="0" fontId="13" fillId="0" borderId="57" xfId="151" applyFont="1" applyBorder="1" applyAlignment="1">
      <alignment vertical="center" wrapText="1"/>
    </xf>
    <xf numFmtId="0" fontId="19" fillId="0" borderId="57" xfId="151" applyFont="1" applyBorder="1" applyAlignment="1">
      <alignment vertical="center"/>
    </xf>
    <xf numFmtId="0" fontId="11" fillId="0" borderId="57" xfId="151" applyFont="1" applyBorder="1" applyAlignment="1">
      <alignment vertical="center" wrapText="1"/>
    </xf>
    <xf numFmtId="0" fontId="11" fillId="9" borderId="57" xfId="151" applyFont="1" applyFill="1" applyBorder="1" applyAlignment="1">
      <alignment vertical="center"/>
    </xf>
    <xf numFmtId="3" fontId="10" fillId="50" borderId="57" xfId="151" applyNumberFormat="1" applyFont="1" applyFill="1" applyBorder="1" applyAlignment="1">
      <alignment horizontal="right" vertical="center"/>
    </xf>
    <xf numFmtId="0" fontId="12" fillId="0" borderId="56" xfId="151" applyFont="1" applyBorder="1" applyAlignment="1">
      <alignment vertical="center"/>
    </xf>
    <xf numFmtId="3" fontId="9" fillId="0" borderId="56" xfId="151" applyNumberFormat="1" applyFont="1" applyBorder="1" applyAlignment="1">
      <alignment horizontal="right" vertical="center"/>
    </xf>
    <xf numFmtId="3" fontId="80" fillId="0" borderId="56" xfId="151" applyNumberFormat="1" applyFont="1" applyBorder="1" applyAlignment="1">
      <alignment horizontal="right" vertical="center"/>
    </xf>
    <xf numFmtId="167" fontId="7" fillId="0" borderId="56" xfId="175" applyNumberFormat="1" applyFont="1" applyBorder="1" applyAlignment="1">
      <alignment vertical="center"/>
    </xf>
    <xf numFmtId="3" fontId="7" fillId="0" borderId="0" xfId="151" applyNumberFormat="1" applyFont="1" applyAlignment="1">
      <alignment vertical="center"/>
    </xf>
    <xf numFmtId="0" fontId="10" fillId="0" borderId="57" xfId="134" applyFont="1" applyBorder="1" applyAlignment="1">
      <alignment horizontal="center" vertical="center"/>
    </xf>
    <xf numFmtId="3" fontId="91" fillId="0" borderId="57" xfId="134" applyNumberFormat="1" applyFont="1" applyBorder="1" applyAlignment="1">
      <alignment vertical="center"/>
    </xf>
    <xf numFmtId="0" fontId="9" fillId="0" borderId="58" xfId="156" applyFont="1" applyBorder="1" applyAlignment="1">
      <alignment vertical="center" wrapText="1"/>
    </xf>
    <xf numFmtId="0" fontId="9" fillId="0" borderId="57" xfId="84" applyNumberFormat="1" applyFont="1" applyBorder="1" applyAlignment="1">
      <alignment horizontal="center" vertical="center"/>
    </xf>
    <xf numFmtId="0" fontId="9" fillId="0" borderId="58" xfId="134" applyFont="1" applyBorder="1" applyAlignment="1">
      <alignment vertical="center" wrapText="1"/>
    </xf>
    <xf numFmtId="3" fontId="9" fillId="0" borderId="58" xfId="0" applyNumberFormat="1" applyFont="1" applyBorder="1" applyAlignment="1">
      <alignment horizontal="left" vertical="center" wrapText="1"/>
    </xf>
    <xf numFmtId="3" fontId="97" fillId="0" borderId="57" xfId="134" applyNumberFormat="1" applyFont="1" applyBorder="1" applyAlignment="1">
      <alignment vertical="center"/>
    </xf>
    <xf numFmtId="0" fontId="9" fillId="0" borderId="61" xfId="158" applyFont="1" applyBorder="1" applyAlignment="1">
      <alignment vertical="center" wrapText="1"/>
    </xf>
    <xf numFmtId="3" fontId="9" fillId="0" borderId="57" xfId="0" applyNumberFormat="1" applyFont="1" applyBorder="1" applyAlignment="1">
      <alignment horizontal="center" vertical="center"/>
    </xf>
    <xf numFmtId="0" fontId="9" fillId="0" borderId="70" xfId="158" applyFont="1" applyBorder="1" applyAlignment="1">
      <alignment vertical="center" wrapText="1"/>
    </xf>
    <xf numFmtId="3" fontId="9" fillId="0" borderId="36" xfId="0" applyNumberFormat="1" applyFont="1" applyBorder="1" applyAlignment="1">
      <alignment horizontal="center" vertical="center"/>
    </xf>
    <xf numFmtId="49" fontId="9" fillId="0" borderId="57" xfId="0" applyNumberFormat="1" applyFont="1" applyBorder="1" applyAlignment="1">
      <alignment horizontal="center" vertical="center" wrapText="1"/>
    </xf>
    <xf numFmtId="0" fontId="9" fillId="0" borderId="57" xfId="134" applyFont="1" applyBorder="1" applyAlignment="1">
      <alignment horizontal="center" vertical="center"/>
    </xf>
    <xf numFmtId="3" fontId="91" fillId="0" borderId="57" xfId="134" applyNumberFormat="1" applyFont="1" applyBorder="1" applyAlignment="1">
      <alignment vertical="center" wrapText="1"/>
    </xf>
    <xf numFmtId="0" fontId="91" fillId="0" borderId="28" xfId="129" applyFont="1" applyBorder="1" applyAlignment="1">
      <alignment vertical="center" wrapText="1"/>
    </xf>
    <xf numFmtId="3" fontId="9" fillId="0" borderId="71" xfId="0" applyNumberFormat="1" applyFont="1" applyBorder="1" applyAlignment="1">
      <alignment horizontal="left" vertical="center" wrapText="1"/>
    </xf>
    <xf numFmtId="0" fontId="9" fillId="0" borderId="72" xfId="176" applyFont="1" applyBorder="1" applyAlignment="1">
      <alignment vertical="center" wrapText="1"/>
    </xf>
    <xf numFmtId="0" fontId="9" fillId="0" borderId="19" xfId="129" applyFont="1" applyBorder="1" applyAlignment="1">
      <alignment horizontal="center" vertical="center" wrapText="1"/>
    </xf>
    <xf numFmtId="3" fontId="9" fillId="0" borderId="67" xfId="0" applyNumberFormat="1" applyFont="1" applyBorder="1" applyAlignment="1">
      <alignment horizontal="left" vertical="center" wrapText="1"/>
    </xf>
    <xf numFmtId="0" fontId="9" fillId="0" borderId="57" xfId="129" applyFont="1" applyBorder="1" applyAlignment="1">
      <alignment horizontal="center" vertical="center" wrapText="1"/>
    </xf>
    <xf numFmtId="0" fontId="9" fillId="0" borderId="67" xfId="134" applyFont="1" applyBorder="1" applyAlignment="1">
      <alignment vertical="center" wrapText="1"/>
    </xf>
    <xf numFmtId="3" fontId="9" fillId="0" borderId="57" xfId="134" applyNumberFormat="1" applyFont="1" applyBorder="1" applyAlignment="1">
      <alignment horizontal="center" vertical="center"/>
    </xf>
    <xf numFmtId="0" fontId="9" fillId="0" borderId="25" xfId="134" applyFont="1" applyBorder="1" applyAlignment="1">
      <alignment vertical="center"/>
    </xf>
    <xf numFmtId="0" fontId="19" fillId="0" borderId="40" xfId="154" applyFont="1" applyBorder="1" applyAlignment="1">
      <alignment vertical="center"/>
    </xf>
    <xf numFmtId="0" fontId="9" fillId="0" borderId="67" xfId="134" applyFont="1" applyBorder="1" applyAlignment="1">
      <alignment vertical="center"/>
    </xf>
    <xf numFmtId="3" fontId="9" fillId="0" borderId="57" xfId="136" applyNumberFormat="1" applyFont="1" applyBorder="1" applyAlignment="1">
      <alignment vertical="center" wrapText="1"/>
    </xf>
    <xf numFmtId="3" fontId="9" fillId="0" borderId="57" xfId="136" applyNumberFormat="1" applyFont="1" applyBorder="1" applyAlignment="1">
      <alignment vertical="center"/>
    </xf>
    <xf numFmtId="3" fontId="10" fillId="0" borderId="57" xfId="136" applyNumberFormat="1" applyFont="1" applyBorder="1" applyAlignment="1">
      <alignment vertical="center"/>
    </xf>
    <xf numFmtId="3" fontId="10" fillId="0" borderId="13" xfId="136" applyNumberFormat="1" applyFont="1" applyFill="1" applyBorder="1" applyAlignment="1">
      <alignment vertical="center" wrapText="1"/>
    </xf>
    <xf numFmtId="3" fontId="10" fillId="49" borderId="13" xfId="136" applyNumberFormat="1" applyFont="1" applyFill="1" applyBorder="1" applyAlignment="1">
      <alignment vertical="center" wrapText="1"/>
    </xf>
    <xf numFmtId="3" fontId="12" fillId="0" borderId="57" xfId="0" applyNumberFormat="1" applyFont="1" applyBorder="1" applyAlignment="1">
      <alignment horizontal="center" vertical="center"/>
    </xf>
    <xf numFmtId="3" fontId="12" fillId="51" borderId="67" xfId="0" applyNumberFormat="1" applyFont="1" applyFill="1" applyBorder="1" applyAlignment="1">
      <alignment horizontal="left" vertical="center"/>
    </xf>
    <xf numFmtId="0" fontId="12" fillId="0" borderId="57" xfId="0" applyFont="1" applyBorder="1" applyAlignment="1">
      <alignment vertical="center"/>
    </xf>
    <xf numFmtId="3" fontId="7" fillId="0" borderId="57" xfId="0" applyNumberFormat="1" applyFont="1" applyBorder="1" applyAlignment="1">
      <alignment vertical="center"/>
    </xf>
    <xf numFmtId="3" fontId="12" fillId="0" borderId="67" xfId="0" applyNumberFormat="1" applyFont="1" applyBorder="1" applyAlignment="1">
      <alignment horizontal="left" vertical="center"/>
    </xf>
    <xf numFmtId="3" fontId="12" fillId="0" borderId="67" xfId="0" applyNumberFormat="1" applyFont="1" applyBorder="1" applyAlignment="1">
      <alignment horizontal="left" vertical="center" wrapText="1"/>
    </xf>
    <xf numFmtId="49" fontId="12" fillId="0" borderId="70" xfId="0" applyNumberFormat="1" applyFont="1" applyBorder="1" applyAlignment="1">
      <alignment horizontal="left" vertical="center" wrapText="1"/>
    </xf>
    <xf numFmtId="0" fontId="9" fillId="0" borderId="37" xfId="134" applyFont="1" applyBorder="1" applyAlignment="1">
      <alignment vertical="center" wrapText="1"/>
    </xf>
    <xf numFmtId="0" fontId="12" fillId="0" borderId="70" xfId="165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37" xfId="0" applyFont="1" applyBorder="1" applyAlignment="1">
      <alignment horizontal="left" vertical="center" wrapText="1"/>
    </xf>
    <xf numFmtId="0" fontId="85" fillId="0" borderId="37" xfId="0" applyFont="1" applyBorder="1" applyAlignment="1">
      <alignment vertical="center" wrapText="1"/>
    </xf>
    <xf numFmtId="0" fontId="12" fillId="0" borderId="67" xfId="0" applyFont="1" applyBorder="1" applyAlignment="1">
      <alignment vertical="center" wrapText="1"/>
    </xf>
    <xf numFmtId="3" fontId="12" fillId="0" borderId="67" xfId="157" applyNumberFormat="1" applyFont="1" applyBorder="1" applyAlignment="1">
      <alignment vertical="center" wrapText="1"/>
    </xf>
    <xf numFmtId="0" fontId="12" fillId="0" borderId="67" xfId="0" applyFont="1" applyBorder="1" applyAlignment="1">
      <alignment horizontal="left" vertical="center" wrapText="1"/>
    </xf>
    <xf numFmtId="0" fontId="85" fillId="0" borderId="67" xfId="0" applyFont="1" applyBorder="1" applyAlignment="1">
      <alignment wrapText="1"/>
    </xf>
    <xf numFmtId="3" fontId="11" fillId="0" borderId="69" xfId="0" applyNumberFormat="1" applyFont="1" applyBorder="1" applyAlignment="1">
      <alignment vertical="center"/>
    </xf>
    <xf numFmtId="3" fontId="12" fillId="0" borderId="69" xfId="0" applyNumberFormat="1" applyFont="1" applyBorder="1" applyAlignment="1">
      <alignment horizontal="right" vertical="center"/>
    </xf>
    <xf numFmtId="3" fontId="12" fillId="0" borderId="67" xfId="0" applyNumberFormat="1" applyFont="1" applyBorder="1" applyAlignment="1">
      <alignment vertical="center"/>
    </xf>
    <xf numFmtId="49" fontId="12" fillId="0" borderId="67" xfId="157" applyNumberFormat="1" applyFont="1" applyBorder="1" applyAlignment="1">
      <alignment horizontal="left" vertical="center" wrapText="1"/>
    </xf>
    <xf numFmtId="0" fontId="85" fillId="0" borderId="67" xfId="0" applyFont="1" applyBorder="1" applyAlignment="1">
      <alignment horizontal="left" vertical="center" wrapText="1"/>
    </xf>
    <xf numFmtId="0" fontId="12" fillId="0" borderId="73" xfId="0" applyFont="1" applyBorder="1" applyAlignment="1">
      <alignment horizontal="left" vertical="center" wrapText="1"/>
    </xf>
    <xf numFmtId="3" fontId="11" fillId="0" borderId="74" xfId="0" applyNumberFormat="1" applyFont="1" applyBorder="1" applyAlignment="1">
      <alignment vertical="center"/>
    </xf>
    <xf numFmtId="3" fontId="12" fillId="0" borderId="74" xfId="0" applyNumberFormat="1" applyFont="1" applyBorder="1" applyAlignment="1">
      <alignment vertical="center"/>
    </xf>
    <xf numFmtId="49" fontId="12" fillId="0" borderId="67" xfId="167" applyNumberFormat="1" applyFont="1" applyBorder="1" applyAlignment="1">
      <alignment horizontal="left" vertical="center" wrapText="1"/>
    </xf>
    <xf numFmtId="0" fontId="85" fillId="0" borderId="67" xfId="0" applyFont="1" applyBorder="1" applyAlignment="1">
      <alignment vertical="center" wrapText="1"/>
    </xf>
    <xf numFmtId="0" fontId="85" fillId="0" borderId="69" xfId="0" applyFont="1" applyBorder="1" applyAlignment="1">
      <alignment wrapText="1"/>
    </xf>
    <xf numFmtId="49" fontId="12" fillId="0" borderId="61" xfId="0" applyNumberFormat="1" applyFont="1" applyBorder="1" applyAlignment="1">
      <alignment horizontal="left" vertical="center" wrapText="1"/>
    </xf>
    <xf numFmtId="49" fontId="12" fillId="0" borderId="58" xfId="167" applyNumberFormat="1" applyFont="1" applyBorder="1" applyAlignment="1">
      <alignment horizontal="left" vertical="center" wrapText="1"/>
    </xf>
    <xf numFmtId="0" fontId="12" fillId="0" borderId="58" xfId="0" applyFont="1" applyBorder="1" applyAlignment="1">
      <alignment vertical="center" wrapText="1"/>
    </xf>
    <xf numFmtId="3" fontId="12" fillId="48" borderId="50" xfId="0" applyNumberFormat="1" applyFont="1" applyFill="1" applyBorder="1" applyAlignment="1">
      <alignment horizontal="center" vertical="center"/>
    </xf>
    <xf numFmtId="3" fontId="12" fillId="0" borderId="58" xfId="0" applyNumberFormat="1" applyFont="1" applyBorder="1" applyAlignment="1">
      <alignment vertical="center"/>
    </xf>
    <xf numFmtId="3" fontId="11" fillId="0" borderId="59" xfId="0" applyNumberFormat="1" applyFont="1" applyBorder="1" applyAlignment="1">
      <alignment vertical="center"/>
    </xf>
    <xf numFmtId="3" fontId="12" fillId="48" borderId="75" xfId="0" applyNumberFormat="1" applyFont="1" applyFill="1" applyBorder="1" applyAlignment="1">
      <alignment horizontal="center" vertical="center"/>
    </xf>
    <xf numFmtId="0" fontId="12" fillId="0" borderId="58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70" xfId="0" applyFont="1" applyBorder="1" applyAlignment="1">
      <alignment vertical="top" wrapText="1"/>
    </xf>
    <xf numFmtId="0" fontId="12" fillId="0" borderId="70" xfId="166" applyFont="1" applyBorder="1" applyAlignment="1">
      <alignment vertical="center"/>
    </xf>
    <xf numFmtId="0" fontId="85" fillId="0" borderId="58" xfId="0" applyFont="1" applyBorder="1" applyAlignment="1">
      <alignment vertical="center" wrapText="1"/>
    </xf>
    <xf numFmtId="0" fontId="85" fillId="0" borderId="59" xfId="0" applyFont="1" applyBorder="1" applyAlignment="1">
      <alignment wrapText="1"/>
    </xf>
    <xf numFmtId="0" fontId="12" fillId="0" borderId="58" xfId="0" applyFont="1" applyBorder="1" applyAlignment="1">
      <alignment wrapText="1"/>
    </xf>
    <xf numFmtId="3" fontId="12" fillId="0" borderId="76" xfId="0" applyNumberFormat="1" applyFont="1" applyBorder="1" applyAlignment="1">
      <alignment vertical="center"/>
    </xf>
    <xf numFmtId="3" fontId="11" fillId="48" borderId="36" xfId="0" applyNumberFormat="1" applyFont="1" applyFill="1" applyBorder="1" applyAlignment="1">
      <alignment horizontal="center" vertical="center"/>
    </xf>
    <xf numFmtId="0" fontId="12" fillId="0" borderId="58" xfId="13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horizontal="left" vertical="center"/>
    </xf>
    <xf numFmtId="0" fontId="99" fillId="0" borderId="58" xfId="0" applyFont="1" applyBorder="1" applyAlignment="1">
      <alignment vertical="center" wrapText="1"/>
    </xf>
    <xf numFmtId="0" fontId="85" fillId="0" borderId="58" xfId="0" applyFont="1" applyBorder="1" applyAlignment="1">
      <alignment wrapText="1"/>
    </xf>
    <xf numFmtId="0" fontId="85" fillId="0" borderId="0" xfId="0" applyFont="1" applyAlignment="1">
      <alignment wrapText="1"/>
    </xf>
    <xf numFmtId="49" fontId="12" fillId="0" borderId="77" xfId="168" applyNumberFormat="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vertical="center" wrapText="1"/>
    </xf>
    <xf numFmtId="3" fontId="12" fillId="0" borderId="58" xfId="0" applyNumberFormat="1" applyFont="1" applyBorder="1" applyAlignment="1">
      <alignment horizontal="center" vertical="center"/>
    </xf>
    <xf numFmtId="49" fontId="12" fillId="0" borderId="58" xfId="0" applyNumberFormat="1" applyFont="1" applyBorder="1" applyAlignment="1">
      <alignment vertical="center" wrapText="1"/>
    </xf>
    <xf numFmtId="0" fontId="12" fillId="0" borderId="58" xfId="0" applyFont="1" applyBorder="1" applyAlignment="1">
      <alignment vertical="center"/>
    </xf>
    <xf numFmtId="0" fontId="83" fillId="0" borderId="59" xfId="0" applyFont="1" applyBorder="1"/>
    <xf numFmtId="3" fontId="90" fillId="0" borderId="59" xfId="0" applyNumberFormat="1" applyFont="1" applyBorder="1" applyAlignment="1">
      <alignment vertical="center"/>
    </xf>
    <xf numFmtId="3" fontId="12" fillId="48" borderId="78" xfId="0" applyNumberFormat="1" applyFont="1" applyFill="1" applyBorder="1" applyAlignment="1">
      <alignment horizontal="center" vertical="center"/>
    </xf>
    <xf numFmtId="3" fontId="11" fillId="0" borderId="58" xfId="0" applyNumberFormat="1" applyFont="1" applyBorder="1" applyAlignment="1">
      <alignment horizontal="center" vertical="center"/>
    </xf>
    <xf numFmtId="3" fontId="12" fillId="0" borderId="79" xfId="0" applyNumberFormat="1" applyFont="1" applyBorder="1" applyAlignment="1">
      <alignment horizontal="left" vertical="center" wrapText="1"/>
    </xf>
    <xf numFmtId="0" fontId="12" fillId="0" borderId="58" xfId="161" applyFont="1" applyBorder="1" applyAlignment="1">
      <alignment horizontal="center" vertical="center"/>
    </xf>
    <xf numFmtId="0" fontId="12" fillId="0" borderId="58" xfId="166" applyFont="1" applyBorder="1" applyAlignment="1">
      <alignment vertical="center"/>
    </xf>
    <xf numFmtId="49" fontId="12" fillId="0" borderId="58" xfId="157" applyNumberFormat="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horizontal="left" vertical="center" wrapText="1"/>
    </xf>
    <xf numFmtId="0" fontId="12" fillId="0" borderId="58" xfId="169" applyFont="1" applyBorder="1" applyAlignment="1">
      <alignment vertical="center" wrapText="1"/>
    </xf>
    <xf numFmtId="0" fontId="12" fillId="0" borderId="58" xfId="161" applyFont="1" applyBorder="1" applyAlignment="1">
      <alignment vertical="center"/>
    </xf>
    <xf numFmtId="0" fontId="12" fillId="0" borderId="58" xfId="161" applyFont="1" applyBorder="1" applyAlignment="1">
      <alignment horizontal="center" vertical="center" wrapText="1"/>
    </xf>
    <xf numFmtId="0" fontId="12" fillId="0" borderId="58" xfId="158" applyFont="1" applyBorder="1" applyAlignment="1">
      <alignment vertical="center" wrapText="1"/>
    </xf>
    <xf numFmtId="0" fontId="12" fillId="48" borderId="58" xfId="161" applyFont="1" applyFill="1" applyBorder="1" applyAlignment="1">
      <alignment horizontal="center" vertical="center" wrapText="1"/>
    </xf>
    <xf numFmtId="3" fontId="12" fillId="0" borderId="80" xfId="0" applyNumberFormat="1" applyFont="1" applyBorder="1" applyAlignment="1">
      <alignment vertical="center"/>
    </xf>
    <xf numFmtId="0" fontId="12" fillId="48" borderId="67" xfId="161" applyFont="1" applyFill="1" applyBorder="1" applyAlignment="1">
      <alignment horizontal="center" vertical="center" wrapText="1"/>
    </xf>
    <xf numFmtId="0" fontId="12" fillId="0" borderId="67" xfId="0" applyFont="1" applyBorder="1" applyAlignment="1">
      <alignment vertical="center"/>
    </xf>
    <xf numFmtId="0" fontId="11" fillId="48" borderId="67" xfId="161" applyFont="1" applyFill="1" applyBorder="1" applyAlignment="1">
      <alignment horizontal="center" vertical="top" wrapText="1"/>
    </xf>
    <xf numFmtId="0" fontId="11" fillId="0" borderId="67" xfId="161" applyFont="1" applyBorder="1" applyAlignment="1">
      <alignment horizontal="center" vertical="center"/>
    </xf>
    <xf numFmtId="0" fontId="12" fillId="48" borderId="67" xfId="161" applyFont="1" applyFill="1" applyBorder="1" applyAlignment="1">
      <alignment horizontal="center" vertical="top" wrapText="1"/>
    </xf>
    <xf numFmtId="0" fontId="12" fillId="0" borderId="67" xfId="161" applyFont="1" applyBorder="1" applyAlignment="1">
      <alignment vertical="center"/>
    </xf>
    <xf numFmtId="0" fontId="12" fillId="48" borderId="67" xfId="161" applyFont="1" applyFill="1" applyBorder="1" applyAlignment="1">
      <alignment vertical="center"/>
    </xf>
    <xf numFmtId="0" fontId="12" fillId="0" borderId="67" xfId="171" applyFont="1" applyBorder="1" applyAlignment="1">
      <alignment vertical="center" wrapText="1"/>
    </xf>
    <xf numFmtId="0" fontId="12" fillId="0" borderId="67" xfId="171" applyFont="1" applyBorder="1" applyAlignment="1">
      <alignment vertical="center"/>
    </xf>
    <xf numFmtId="0" fontId="12" fillId="0" borderId="67" xfId="161" applyFont="1" applyBorder="1" applyAlignment="1">
      <alignment horizontal="center" vertical="top" wrapText="1"/>
    </xf>
    <xf numFmtId="0" fontId="12" fillId="0" borderId="67" xfId="158" applyFont="1" applyBorder="1" applyAlignment="1">
      <alignment vertical="center" wrapText="1"/>
    </xf>
    <xf numFmtId="3" fontId="12" fillId="0" borderId="69" xfId="136" applyNumberFormat="1" applyFont="1" applyBorder="1" applyAlignment="1">
      <alignment horizontal="right" vertical="center"/>
    </xf>
    <xf numFmtId="3" fontId="12" fillId="0" borderId="81" xfId="0" applyNumberFormat="1" applyFont="1" applyBorder="1" applyAlignment="1">
      <alignment horizontal="left" vertical="center" wrapText="1"/>
    </xf>
    <xf numFmtId="0" fontId="12" fillId="0" borderId="81" xfId="176" applyFont="1" applyBorder="1" applyAlignment="1">
      <alignment vertical="center" wrapText="1"/>
    </xf>
    <xf numFmtId="3" fontId="12" fillId="0" borderId="60" xfId="0" applyNumberFormat="1" applyFont="1" applyBorder="1" applyAlignment="1">
      <alignment vertical="center"/>
    </xf>
    <xf numFmtId="3" fontId="12" fillId="0" borderId="58" xfId="157" applyNumberFormat="1" applyFont="1" applyBorder="1" applyAlignment="1">
      <alignment horizontal="left" vertical="center" wrapText="1"/>
    </xf>
    <xf numFmtId="3" fontId="12" fillId="0" borderId="58" xfId="158" applyNumberFormat="1" applyFont="1" applyBorder="1" applyAlignment="1">
      <alignment vertical="center" wrapText="1"/>
    </xf>
    <xf numFmtId="3" fontId="12" fillId="48" borderId="58" xfId="131" applyNumberFormat="1" applyFont="1" applyFill="1" applyBorder="1" applyAlignment="1">
      <alignment vertical="top" wrapText="1"/>
    </xf>
    <xf numFmtId="3" fontId="12" fillId="0" borderId="58" xfId="159" applyNumberFormat="1" applyFont="1" applyBorder="1" applyAlignment="1">
      <alignment vertical="top" wrapText="1"/>
    </xf>
    <xf numFmtId="0" fontId="12" fillId="0" borderId="58" xfId="129" applyFont="1" applyBorder="1" applyAlignment="1">
      <alignment vertical="center" wrapText="1"/>
    </xf>
    <xf numFmtId="3" fontId="12" fillId="0" borderId="58" xfId="130" applyNumberFormat="1" applyFont="1" applyBorder="1" applyAlignment="1">
      <alignment vertical="top" wrapText="1"/>
    </xf>
    <xf numFmtId="0" fontId="12" fillId="0" borderId="58" xfId="172" applyFont="1" applyBorder="1" applyAlignment="1">
      <alignment vertical="center" wrapText="1"/>
    </xf>
    <xf numFmtId="3" fontId="12" fillId="0" borderId="59" xfId="136" applyNumberFormat="1" applyFont="1" applyBorder="1" applyAlignment="1">
      <alignment horizontal="right" vertical="center"/>
    </xf>
    <xf numFmtId="3" fontId="12" fillId="0" borderId="25" xfId="0" applyNumberFormat="1" applyFont="1" applyBorder="1" applyAlignment="1">
      <alignment vertical="center" wrapText="1"/>
    </xf>
    <xf numFmtId="0" fontId="12" fillId="0" borderId="58" xfId="134" applyFont="1" applyBorder="1" applyAlignment="1">
      <alignment vertical="center" wrapText="1"/>
    </xf>
    <xf numFmtId="3" fontId="12" fillId="0" borderId="36" xfId="134" applyNumberFormat="1" applyFont="1" applyBorder="1" applyAlignment="1">
      <alignment horizontal="center" vertical="center"/>
    </xf>
    <xf numFmtId="0" fontId="12" fillId="0" borderId="82" xfId="171" applyFont="1" applyBorder="1" applyAlignment="1">
      <alignment vertical="center" wrapText="1"/>
    </xf>
    <xf numFmtId="0" fontId="12" fillId="0" borderId="59" xfId="171" applyFont="1" applyBorder="1" applyAlignment="1">
      <alignment vertical="center" wrapText="1"/>
    </xf>
    <xf numFmtId="3" fontId="11" fillId="0" borderId="59" xfId="0" applyNumberFormat="1" applyFont="1" applyBorder="1" applyAlignment="1">
      <alignment horizontal="left" vertical="center"/>
    </xf>
    <xf numFmtId="49" fontId="12" fillId="0" borderId="83" xfId="168" applyNumberFormat="1" applyFont="1" applyBorder="1" applyAlignment="1">
      <alignment horizontal="left" vertical="top" wrapText="1"/>
    </xf>
    <xf numFmtId="3" fontId="11" fillId="0" borderId="54" xfId="0" applyNumberFormat="1" applyFont="1" applyBorder="1" applyAlignment="1">
      <alignment vertical="center"/>
    </xf>
    <xf numFmtId="49" fontId="12" fillId="0" borderId="58" xfId="168" applyNumberFormat="1" applyFont="1" applyBorder="1" applyAlignment="1">
      <alignment horizontal="left" vertical="center" wrapText="1"/>
    </xf>
    <xf numFmtId="3" fontId="12" fillId="0" borderId="61" xfId="0" applyNumberFormat="1" applyFont="1" applyBorder="1" applyAlignment="1">
      <alignment vertical="center"/>
    </xf>
    <xf numFmtId="0" fontId="9" fillId="0" borderId="58" xfId="0" applyFont="1" applyBorder="1" applyAlignment="1">
      <alignment horizontal="left" vertical="center" wrapText="1"/>
    </xf>
    <xf numFmtId="3" fontId="12" fillId="0" borderId="69" xfId="0" applyNumberFormat="1" applyFont="1" applyFill="1" applyBorder="1" applyAlignment="1">
      <alignment vertical="center"/>
    </xf>
    <xf numFmtId="0" fontId="9" fillId="0" borderId="84" xfId="134" applyFont="1" applyBorder="1" applyAlignment="1">
      <alignment horizontal="center" vertical="center"/>
    </xf>
    <xf numFmtId="3" fontId="91" fillId="0" borderId="84" xfId="134" applyNumberFormat="1" applyFont="1" applyBorder="1" applyAlignment="1">
      <alignment vertical="center"/>
    </xf>
    <xf numFmtId="3" fontId="12" fillId="0" borderId="85" xfId="0" applyNumberFormat="1" applyFont="1" applyBorder="1" applyAlignment="1">
      <alignment vertical="center" wrapText="1"/>
    </xf>
    <xf numFmtId="166" fontId="9" fillId="0" borderId="84" xfId="84" applyNumberFormat="1" applyFont="1" applyFill="1" applyBorder="1" applyAlignment="1">
      <alignment horizontal="center" vertical="center"/>
    </xf>
    <xf numFmtId="3" fontId="12" fillId="0" borderId="85" xfId="0" applyNumberFormat="1" applyFont="1" applyBorder="1" applyAlignment="1">
      <alignment vertical="center"/>
    </xf>
    <xf numFmtId="3" fontId="12" fillId="0" borderId="84" xfId="0" applyNumberFormat="1" applyFont="1" applyBorder="1" applyAlignment="1">
      <alignment vertical="center"/>
    </xf>
    <xf numFmtId="3" fontId="91" fillId="0" borderId="84" xfId="134" applyNumberFormat="1" applyFont="1" applyBorder="1" applyAlignment="1">
      <alignment vertical="center" wrapText="1"/>
    </xf>
    <xf numFmtId="3" fontId="9" fillId="0" borderId="84" xfId="134" applyNumberFormat="1" applyFont="1" applyBorder="1" applyAlignment="1">
      <alignment horizontal="center" vertical="center" wrapText="1"/>
    </xf>
    <xf numFmtId="0" fontId="12" fillId="0" borderId="85" xfId="177" applyFont="1" applyBorder="1" applyAlignment="1">
      <alignment vertical="center" wrapText="1"/>
    </xf>
    <xf numFmtId="3" fontId="12" fillId="0" borderId="84" xfId="177" applyNumberFormat="1" applyFont="1" applyBorder="1" applyAlignment="1">
      <alignment horizontal="center" vertical="center" wrapText="1"/>
    </xf>
    <xf numFmtId="0" fontId="10" fillId="0" borderId="84" xfId="134" applyFont="1" applyBorder="1" applyAlignment="1">
      <alignment horizontal="center" vertical="center"/>
    </xf>
    <xf numFmtId="3" fontId="97" fillId="0" borderId="84" xfId="134" applyNumberFormat="1" applyFont="1" applyBorder="1" applyAlignment="1">
      <alignment vertical="center"/>
    </xf>
    <xf numFmtId="3" fontId="9" fillId="0" borderId="70" xfId="0" applyNumberFormat="1" applyFont="1" applyBorder="1" applyAlignment="1">
      <alignment horizontal="left" vertical="center" wrapText="1"/>
    </xf>
    <xf numFmtId="3" fontId="9" fillId="0" borderId="0" xfId="0" applyNumberFormat="1" applyFont="1" applyAlignment="1">
      <alignment horizontal="left" vertical="center" wrapText="1"/>
    </xf>
    <xf numFmtId="3" fontId="9" fillId="0" borderId="84" xfId="134" applyNumberFormat="1" applyFont="1" applyBorder="1" applyAlignment="1">
      <alignment vertical="center"/>
    </xf>
    <xf numFmtId="3" fontId="11" fillId="0" borderId="66" xfId="0" applyNumberFormat="1" applyFont="1" applyBorder="1" applyAlignment="1">
      <alignment horizontal="right" vertical="center"/>
    </xf>
    <xf numFmtId="3" fontId="9" fillId="0" borderId="85" xfId="0" applyNumberFormat="1" applyFont="1" applyBorder="1" applyAlignment="1">
      <alignment vertical="center" wrapText="1"/>
    </xf>
    <xf numFmtId="3" fontId="91" fillId="0" borderId="84" xfId="154" applyNumberFormat="1" applyFont="1" applyBorder="1" applyAlignment="1">
      <alignment vertical="center"/>
    </xf>
    <xf numFmtId="3" fontId="9" fillId="0" borderId="84" xfId="0" applyNumberFormat="1" applyFont="1" applyBorder="1" applyAlignment="1">
      <alignment horizontal="left" vertical="center" wrapText="1"/>
    </xf>
    <xf numFmtId="3" fontId="12" fillId="0" borderId="85" xfId="0" applyNumberFormat="1" applyFont="1" applyBorder="1" applyAlignment="1">
      <alignment horizontal="left" vertical="center"/>
    </xf>
    <xf numFmtId="0" fontId="9" fillId="0" borderId="84" xfId="84" applyNumberFormat="1" applyFont="1" applyFill="1" applyBorder="1" applyAlignment="1">
      <alignment horizontal="center" vertical="center"/>
    </xf>
    <xf numFmtId="3" fontId="9" fillId="0" borderId="84" xfId="134" applyNumberFormat="1" applyFont="1" applyFill="1" applyBorder="1" applyAlignment="1">
      <alignment vertical="center"/>
    </xf>
    <xf numFmtId="3" fontId="9" fillId="0" borderId="84" xfId="151" applyNumberFormat="1" applyFont="1" applyBorder="1" applyAlignment="1">
      <alignment horizontal="right" vertical="center"/>
    </xf>
    <xf numFmtId="167" fontId="12" fillId="0" borderId="84" xfId="175" applyNumberFormat="1" applyFont="1" applyBorder="1" applyAlignment="1">
      <alignment vertical="center"/>
    </xf>
    <xf numFmtId="0" fontId="12" fillId="0" borderId="84" xfId="151" applyFont="1" applyBorder="1" applyAlignment="1">
      <alignment vertical="center" wrapText="1"/>
    </xf>
    <xf numFmtId="3" fontId="12" fillId="0" borderId="84" xfId="151" applyNumberFormat="1" applyFont="1" applyBorder="1" applyAlignment="1">
      <alignment vertical="center"/>
    </xf>
    <xf numFmtId="3" fontId="9" fillId="0" borderId="36" xfId="134" applyNumberFormat="1" applyFont="1" applyBorder="1" applyAlignment="1">
      <alignment vertical="center"/>
    </xf>
    <xf numFmtId="0" fontId="9" fillId="0" borderId="40" xfId="127" applyFont="1" applyBorder="1" applyAlignment="1">
      <alignment vertical="center"/>
    </xf>
    <xf numFmtId="0" fontId="9" fillId="0" borderId="36" xfId="127" applyFont="1" applyBorder="1" applyAlignment="1">
      <alignment horizontal="center" vertical="center"/>
    </xf>
    <xf numFmtId="0" fontId="6" fillId="0" borderId="0" xfId="154" applyFont="1" applyAlignment="1">
      <alignment vertical="center"/>
    </xf>
    <xf numFmtId="0" fontId="9" fillId="0" borderId="13" xfId="127" applyFont="1" applyBorder="1" applyAlignment="1">
      <alignment horizontal="center" vertical="center"/>
    </xf>
    <xf numFmtId="3" fontId="12" fillId="0" borderId="13" xfId="127" applyNumberFormat="1" applyFont="1" applyFill="1" applyBorder="1" applyAlignment="1">
      <alignment vertical="center"/>
    </xf>
    <xf numFmtId="0" fontId="6" fillId="0" borderId="0" xfId="127" applyFont="1" applyAlignment="1">
      <alignment vertical="center"/>
    </xf>
    <xf numFmtId="3" fontId="11" fillId="0" borderId="13" xfId="136" applyNumberFormat="1" applyFont="1" applyFill="1" applyBorder="1" applyAlignment="1">
      <alignment horizontal="center" vertical="center"/>
    </xf>
    <xf numFmtId="0" fontId="12" fillId="0" borderId="13" xfId="127" applyFont="1" applyFill="1" applyBorder="1" applyAlignment="1">
      <alignment vertical="center"/>
    </xf>
    <xf numFmtId="166" fontId="9" fillId="0" borderId="84" xfId="85" applyNumberFormat="1" applyFont="1" applyFill="1" applyBorder="1" applyAlignment="1">
      <alignment horizontal="center" vertical="center" wrapText="1"/>
    </xf>
    <xf numFmtId="0" fontId="9" fillId="0" borderId="85" xfId="155" applyFont="1" applyBorder="1" applyAlignment="1">
      <alignment vertical="center" wrapText="1"/>
    </xf>
    <xf numFmtId="0" fontId="9" fillId="0" borderId="84" xfId="85" applyNumberFormat="1" applyFont="1" applyFill="1" applyBorder="1" applyAlignment="1">
      <alignment horizontal="center" vertical="center" wrapText="1"/>
    </xf>
    <xf numFmtId="3" fontId="9" fillId="0" borderId="57" xfId="134" applyNumberFormat="1" applyFont="1" applyBorder="1" applyAlignment="1">
      <alignment vertical="center"/>
    </xf>
    <xf numFmtId="3" fontId="9" fillId="0" borderId="85" xfId="0" applyNumberFormat="1" applyFont="1" applyBorder="1" applyAlignment="1">
      <alignment vertical="center"/>
    </xf>
    <xf numFmtId="49" fontId="9" fillId="0" borderId="84" xfId="0" applyNumberFormat="1" applyFont="1" applyBorder="1" applyAlignment="1">
      <alignment horizontal="center" vertical="center" wrapText="1"/>
    </xf>
    <xf numFmtId="3" fontId="9" fillId="0" borderId="84" xfId="134" applyNumberFormat="1" applyFont="1" applyBorder="1" applyAlignment="1">
      <alignment horizontal="center" vertical="center"/>
    </xf>
    <xf numFmtId="0" fontId="9" fillId="0" borderId="85" xfId="178" applyFont="1" applyBorder="1" applyAlignment="1">
      <alignment vertical="center"/>
    </xf>
    <xf numFmtId="3" fontId="9" fillId="0" borderId="84" xfId="178" applyNumberFormat="1" applyFont="1" applyBorder="1" applyAlignment="1">
      <alignment horizontal="center" vertical="center"/>
    </xf>
    <xf numFmtId="3" fontId="9" fillId="0" borderId="84" xfId="0" applyNumberFormat="1" applyFont="1" applyBorder="1" applyAlignment="1">
      <alignment horizontal="center" vertical="center" wrapText="1"/>
    </xf>
    <xf numFmtId="3" fontId="12" fillId="0" borderId="84" xfId="0" applyNumberFormat="1" applyFont="1" applyBorder="1" applyAlignment="1">
      <alignment horizontal="center" vertical="center"/>
    </xf>
    <xf numFmtId="3" fontId="12" fillId="0" borderId="85" xfId="0" applyNumberFormat="1" applyFont="1" applyBorder="1" applyAlignment="1">
      <alignment horizontal="center" vertical="center"/>
    </xf>
    <xf numFmtId="3" fontId="12" fillId="0" borderId="84" xfId="136" applyNumberFormat="1" applyFont="1" applyBorder="1" applyAlignment="1">
      <alignment horizontal="right" vertical="center"/>
    </xf>
    <xf numFmtId="3" fontId="7" fillId="0" borderId="84" xfId="0" applyNumberFormat="1" applyFont="1" applyBorder="1" applyAlignment="1">
      <alignment vertical="center"/>
    </xf>
    <xf numFmtId="3" fontId="12" fillId="0" borderId="84" xfId="0" applyNumberFormat="1" applyFont="1" applyBorder="1" applyAlignment="1">
      <alignment horizontal="right" wrapText="1"/>
    </xf>
    <xf numFmtId="49" fontId="12" fillId="0" borderId="83" xfId="0" applyNumberFormat="1" applyFont="1" applyBorder="1" applyAlignment="1">
      <alignment vertical="center"/>
    </xf>
    <xf numFmtId="0" fontId="12" fillId="0" borderId="86" xfId="0" applyFont="1" applyBorder="1" applyAlignment="1">
      <alignment horizontal="right" wrapText="1"/>
    </xf>
    <xf numFmtId="3" fontId="12" fillId="0" borderId="86" xfId="0" applyNumberFormat="1" applyFont="1" applyBorder="1" applyAlignment="1">
      <alignment wrapText="1"/>
    </xf>
    <xf numFmtId="49" fontId="12" fillId="0" borderId="66" xfId="0" applyNumberFormat="1" applyFont="1" applyBorder="1" applyAlignment="1">
      <alignment vertical="center"/>
    </xf>
    <xf numFmtId="0" fontId="12" fillId="0" borderId="66" xfId="0" applyFont="1" applyBorder="1" applyAlignment="1">
      <alignment horizontal="right" wrapText="1"/>
    </xf>
    <xf numFmtId="3" fontId="12" fillId="0" borderId="66" xfId="0" applyNumberFormat="1" applyFont="1" applyBorder="1" applyAlignment="1">
      <alignment wrapText="1"/>
    </xf>
    <xf numFmtId="3" fontId="78" fillId="0" borderId="28" xfId="0" applyNumberFormat="1" applyFont="1" applyBorder="1" applyAlignment="1">
      <alignment horizontal="center" vertical="center"/>
    </xf>
    <xf numFmtId="3" fontId="11" fillId="0" borderId="84" xfId="0" applyNumberFormat="1" applyFont="1" applyBorder="1" applyAlignment="1">
      <alignment horizontal="center" vertical="center"/>
    </xf>
    <xf numFmtId="3" fontId="12" fillId="0" borderId="87" xfId="0" applyNumberFormat="1" applyFont="1" applyBorder="1" applyAlignment="1">
      <alignment vertical="center"/>
    </xf>
    <xf numFmtId="3" fontId="11" fillId="0" borderId="84" xfId="0" applyNumberFormat="1" applyFont="1" applyBorder="1" applyAlignment="1">
      <alignment vertical="center"/>
    </xf>
    <xf numFmtId="3" fontId="12" fillId="0" borderId="84" xfId="0" applyNumberFormat="1" applyFont="1" applyFill="1" applyBorder="1" applyAlignment="1">
      <alignment horizontal="center" vertical="center"/>
    </xf>
    <xf numFmtId="0" fontId="12" fillId="0" borderId="85" xfId="0" applyFont="1" applyFill="1" applyBorder="1" applyAlignment="1">
      <alignment vertical="center" wrapText="1"/>
    </xf>
    <xf numFmtId="3" fontId="12" fillId="0" borderId="87" xfId="0" applyNumberFormat="1" applyFont="1" applyFill="1" applyBorder="1" applyAlignment="1">
      <alignment vertical="center"/>
    </xf>
    <xf numFmtId="3" fontId="12" fillId="0" borderId="19" xfId="0" applyNumberFormat="1" applyFont="1" applyFill="1" applyBorder="1" applyAlignment="1">
      <alignment horizontal="center" vertical="center"/>
    </xf>
    <xf numFmtId="49" fontId="12" fillId="0" borderId="85" xfId="167" applyNumberFormat="1" applyFont="1" applyFill="1" applyBorder="1" applyAlignment="1">
      <alignment horizontal="left" vertical="center" wrapText="1"/>
    </xf>
    <xf numFmtId="3" fontId="9" fillId="0" borderId="88" xfId="168" applyNumberFormat="1" applyFont="1" applyFill="1" applyBorder="1" applyAlignment="1">
      <alignment horizontal="left" vertical="center" wrapText="1"/>
    </xf>
    <xf numFmtId="3" fontId="12" fillId="0" borderId="85" xfId="0" applyNumberFormat="1" applyFont="1" applyFill="1" applyBorder="1" applyAlignment="1">
      <alignment horizontal="center" vertical="center"/>
    </xf>
    <xf numFmtId="0" fontId="85" fillId="0" borderId="85" xfId="0" applyFont="1" applyFill="1" applyBorder="1" applyAlignment="1">
      <alignment vertical="center" wrapText="1"/>
    </xf>
    <xf numFmtId="3" fontId="12" fillId="0" borderId="25" xfId="0" applyNumberFormat="1" applyFont="1" applyFill="1" applyBorder="1" applyAlignment="1">
      <alignment horizontal="center" vertical="center"/>
    </xf>
    <xf numFmtId="3" fontId="12" fillId="0" borderId="86" xfId="0" applyNumberFormat="1" applyFont="1" applyBorder="1" applyAlignment="1">
      <alignment horizontal="center" vertical="center"/>
    </xf>
    <xf numFmtId="0" fontId="12" fillId="0" borderId="85" xfId="161" applyFont="1" applyFill="1" applyBorder="1" applyAlignment="1">
      <alignment horizontal="center" vertical="center" wrapText="1"/>
    </xf>
    <xf numFmtId="0" fontId="12" fillId="0" borderId="85" xfId="161" applyFont="1" applyFill="1" applyBorder="1" applyAlignment="1">
      <alignment horizontal="center" vertical="top" wrapText="1"/>
    </xf>
    <xf numFmtId="3" fontId="11" fillId="51" borderId="84" xfId="0" applyNumberFormat="1" applyFont="1" applyFill="1" applyBorder="1" applyAlignment="1">
      <alignment horizontal="center" vertical="center"/>
    </xf>
    <xf numFmtId="3" fontId="11" fillId="51" borderId="85" xfId="0" applyNumberFormat="1" applyFont="1" applyFill="1" applyBorder="1" applyAlignment="1">
      <alignment horizontal="center" vertical="center"/>
    </xf>
    <xf numFmtId="3" fontId="12" fillId="51" borderId="84" xfId="0" applyNumberFormat="1" applyFont="1" applyFill="1" applyBorder="1" applyAlignment="1">
      <alignment horizontal="right" vertical="center"/>
    </xf>
    <xf numFmtId="3" fontId="12" fillId="51" borderId="84" xfId="0" applyNumberFormat="1" applyFont="1" applyFill="1" applyBorder="1" applyAlignment="1">
      <alignment vertical="center"/>
    </xf>
    <xf numFmtId="3" fontId="12" fillId="0" borderId="85" xfId="0" applyNumberFormat="1" applyFont="1" applyFill="1" applyBorder="1" applyAlignment="1">
      <alignment vertical="center"/>
    </xf>
    <xf numFmtId="0" fontId="12" fillId="0" borderId="84" xfId="0" applyFont="1" applyFill="1" applyBorder="1" applyAlignment="1">
      <alignment vertical="center"/>
    </xf>
    <xf numFmtId="3" fontId="12" fillId="0" borderId="84" xfId="0" applyNumberFormat="1" applyFont="1" applyFill="1" applyBorder="1" applyAlignment="1">
      <alignment vertical="center"/>
    </xf>
    <xf numFmtId="3" fontId="12" fillId="0" borderId="85" xfId="0" applyNumberFormat="1" applyFont="1" applyFill="1" applyBorder="1" applyAlignment="1">
      <alignment horizontal="left" vertical="center" wrapText="1"/>
    </xf>
    <xf numFmtId="0" fontId="12" fillId="0" borderId="84" xfId="0" applyFont="1" applyFill="1" applyBorder="1" applyAlignment="1">
      <alignment vertical="center" wrapText="1"/>
    </xf>
    <xf numFmtId="3" fontId="12" fillId="0" borderId="84" xfId="0" applyNumberFormat="1" applyFont="1" applyFill="1" applyBorder="1" applyAlignment="1">
      <alignment vertical="center" wrapText="1"/>
    </xf>
    <xf numFmtId="3" fontId="12" fillId="0" borderId="84" xfId="0" applyNumberFormat="1" applyFont="1" applyFill="1" applyBorder="1" applyAlignment="1">
      <alignment horizontal="right" vertical="center"/>
    </xf>
    <xf numFmtId="3" fontId="12" fillId="0" borderId="84" xfId="0" applyNumberFormat="1" applyFont="1" applyBorder="1" applyAlignment="1">
      <alignment horizontal="right" vertical="center"/>
    </xf>
    <xf numFmtId="3" fontId="11" fillId="0" borderId="89" xfId="0" applyNumberFormat="1" applyFont="1" applyBorder="1" applyAlignment="1">
      <alignment horizontal="center" vertical="center"/>
    </xf>
    <xf numFmtId="3" fontId="12" fillId="0" borderId="91" xfId="0" applyNumberFormat="1" applyFont="1" applyFill="1" applyBorder="1" applyAlignment="1">
      <alignment vertical="center"/>
    </xf>
    <xf numFmtId="3" fontId="12" fillId="0" borderId="91" xfId="0" applyNumberFormat="1" applyFont="1" applyBorder="1" applyAlignment="1">
      <alignment vertical="center"/>
    </xf>
    <xf numFmtId="3" fontId="12" fillId="0" borderId="89" xfId="0" applyNumberFormat="1" applyFont="1" applyBorder="1" applyAlignment="1">
      <alignment vertical="center"/>
    </xf>
    <xf numFmtId="3" fontId="7" fillId="0" borderId="89" xfId="0" applyNumberFormat="1" applyFont="1" applyBorder="1" applyAlignment="1">
      <alignment vertical="center"/>
    </xf>
    <xf numFmtId="0" fontId="12" fillId="0" borderId="90" xfId="0" applyFont="1" applyBorder="1" applyAlignment="1">
      <alignment vertical="center" wrapText="1"/>
    </xf>
    <xf numFmtId="0" fontId="9" fillId="0" borderId="89" xfId="134" applyFont="1" applyBorder="1" applyAlignment="1">
      <alignment horizontal="center" vertical="center"/>
    </xf>
    <xf numFmtId="3" fontId="9" fillId="0" borderId="90" xfId="0" applyNumberFormat="1" applyFont="1" applyBorder="1" applyAlignment="1">
      <alignment vertical="center" wrapText="1"/>
    </xf>
    <xf numFmtId="0" fontId="9" fillId="0" borderId="89" xfId="129" applyFont="1" applyBorder="1" applyAlignment="1">
      <alignment horizontal="center" vertical="center" wrapText="1"/>
    </xf>
    <xf numFmtId="3" fontId="91" fillId="0" borderId="89" xfId="134" applyNumberFormat="1" applyFont="1" applyBorder="1" applyAlignment="1">
      <alignment vertical="center" wrapText="1"/>
    </xf>
    <xf numFmtId="3" fontId="91" fillId="0" borderId="89" xfId="134" applyNumberFormat="1" applyFont="1" applyBorder="1" applyAlignment="1">
      <alignment vertical="center"/>
    </xf>
    <xf numFmtId="0" fontId="10" fillId="0" borderId="89" xfId="134" applyFont="1" applyBorder="1" applyAlignment="1">
      <alignment horizontal="center" vertical="center"/>
    </xf>
    <xf numFmtId="3" fontId="9" fillId="0" borderId="89" xfId="134" applyNumberFormat="1" applyFont="1" applyBorder="1" applyAlignment="1">
      <alignment vertical="center"/>
    </xf>
    <xf numFmtId="3" fontId="97" fillId="0" borderId="89" xfId="134" applyNumberFormat="1" applyFont="1" applyBorder="1" applyAlignment="1">
      <alignment vertical="center"/>
    </xf>
    <xf numFmtId="0" fontId="9" fillId="0" borderId="25" xfId="134" applyFont="1" applyBorder="1" applyAlignment="1">
      <alignment vertical="center" wrapText="1"/>
    </xf>
    <xf numFmtId="3" fontId="12" fillId="0" borderId="89" xfId="0" applyNumberFormat="1" applyFont="1" applyBorder="1" applyAlignment="1">
      <alignment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2" fillId="0" borderId="91" xfId="0" applyNumberFormat="1" applyFont="1" applyBorder="1" applyAlignment="1">
      <alignment horizontal="right" vertical="center"/>
    </xf>
    <xf numFmtId="3" fontId="12" fillId="0" borderId="89" xfId="0" applyNumberFormat="1" applyFont="1" applyBorder="1" applyAlignment="1">
      <alignment horizontal="right" vertical="center"/>
    </xf>
    <xf numFmtId="0" fontId="12" fillId="0" borderId="66" xfId="151" applyFont="1" applyBorder="1" applyAlignment="1">
      <alignment vertical="center" wrapText="1"/>
    </xf>
    <xf numFmtId="3" fontId="9" fillId="0" borderId="66" xfId="151" applyNumberFormat="1" applyFont="1" applyBorder="1" applyAlignment="1">
      <alignment horizontal="right" vertical="center"/>
    </xf>
    <xf numFmtId="3" fontId="12" fillId="0" borderId="66" xfId="151" applyNumberFormat="1" applyFont="1" applyBorder="1" applyAlignment="1">
      <alignment vertical="center"/>
    </xf>
    <xf numFmtId="167" fontId="12" fillId="0" borderId="66" xfId="175" applyNumberFormat="1" applyFont="1" applyBorder="1" applyAlignment="1">
      <alignment vertical="center"/>
    </xf>
    <xf numFmtId="3" fontId="9" fillId="0" borderId="90" xfId="0" applyNumberFormat="1" applyFont="1" applyBorder="1" applyAlignment="1">
      <alignment vertical="center"/>
    </xf>
    <xf numFmtId="49" fontId="9" fillId="0" borderId="89" xfId="0" applyNumberFormat="1" applyFont="1" applyBorder="1" applyAlignment="1">
      <alignment horizontal="center" vertical="center" wrapText="1"/>
    </xf>
    <xf numFmtId="0" fontId="9" fillId="0" borderId="89" xfId="134" applyFont="1" applyFill="1" applyBorder="1" applyAlignment="1">
      <alignment horizontal="center" vertical="center"/>
    </xf>
    <xf numFmtId="3" fontId="9" fillId="0" borderId="34" xfId="0" applyNumberFormat="1" applyFont="1" applyFill="1" applyBorder="1" applyAlignment="1">
      <alignment horizontal="right" vertical="center" wrapText="1"/>
    </xf>
    <xf numFmtId="0" fontId="85" fillId="0" borderId="58" xfId="0" applyFont="1" applyFill="1" applyBorder="1" applyAlignment="1">
      <alignment vertical="center" wrapText="1"/>
    </xf>
    <xf numFmtId="3" fontId="12" fillId="0" borderId="88" xfId="168" applyNumberFormat="1" applyFont="1" applyFill="1" applyBorder="1" applyAlignment="1">
      <alignment horizontal="left" vertical="center" wrapText="1"/>
    </xf>
    <xf numFmtId="0" fontId="12" fillId="0" borderId="52" xfId="0" applyFont="1" applyBorder="1" applyAlignment="1">
      <alignment horizontal="left" vertical="center" wrapText="1"/>
    </xf>
    <xf numFmtId="3" fontId="12" fillId="0" borderId="53" xfId="0" applyNumberFormat="1" applyFont="1" applyBorder="1" applyAlignment="1">
      <alignment horizontal="left" vertical="center" wrapText="1"/>
    </xf>
    <xf numFmtId="0" fontId="12" fillId="0" borderId="37" xfId="129" applyFont="1" applyBorder="1" applyAlignment="1">
      <alignment vertical="center" wrapText="1"/>
    </xf>
    <xf numFmtId="3" fontId="12" fillId="0" borderId="37" xfId="159" applyNumberFormat="1" applyFont="1" applyBorder="1" applyAlignment="1">
      <alignment vertical="top" wrapText="1"/>
    </xf>
    <xf numFmtId="3" fontId="10" fillId="0" borderId="37" xfId="0" applyNumberFormat="1" applyFont="1" applyFill="1" applyBorder="1" applyAlignment="1">
      <alignment vertical="center"/>
    </xf>
    <xf numFmtId="3" fontId="9" fillId="0" borderId="36" xfId="0" applyNumberFormat="1" applyFont="1" applyFill="1" applyBorder="1" applyAlignment="1">
      <alignment vertical="center" wrapText="1"/>
    </xf>
    <xf numFmtId="3" fontId="9" fillId="0" borderId="89" xfId="151" applyNumberFormat="1" applyFont="1" applyBorder="1" applyAlignment="1">
      <alignment horizontal="right" vertical="center"/>
    </xf>
    <xf numFmtId="3" fontId="12" fillId="0" borderId="89" xfId="151" applyNumberFormat="1" applyFont="1" applyBorder="1" applyAlignment="1">
      <alignment vertical="center"/>
    </xf>
    <xf numFmtId="167" fontId="12" fillId="0" borderId="89" xfId="175" applyNumberFormat="1" applyFont="1" applyBorder="1" applyAlignment="1">
      <alignment vertical="center"/>
    </xf>
    <xf numFmtId="0" fontId="12" fillId="0" borderId="89" xfId="151" applyFont="1" applyFill="1" applyBorder="1" applyAlignment="1">
      <alignment vertical="center" wrapText="1"/>
    </xf>
    <xf numFmtId="0" fontId="12" fillId="0" borderId="89" xfId="151" applyFont="1" applyBorder="1" applyAlignment="1">
      <alignment vertical="center" wrapText="1"/>
    </xf>
    <xf numFmtId="0" fontId="9" fillId="0" borderId="89" xfId="84" applyNumberFormat="1" applyFont="1" applyFill="1" applyBorder="1" applyAlignment="1">
      <alignment horizontal="center" vertical="center"/>
    </xf>
    <xf numFmtId="3" fontId="12" fillId="0" borderId="90" xfId="0" applyNumberFormat="1" applyFont="1" applyBorder="1" applyAlignment="1">
      <alignment vertical="center" wrapText="1"/>
    </xf>
    <xf numFmtId="3" fontId="12" fillId="0" borderId="25" xfId="0" applyNumberFormat="1" applyFont="1" applyBorder="1" applyAlignment="1">
      <alignment horizontal="left" vertical="center" wrapText="1"/>
    </xf>
    <xf numFmtId="0" fontId="12" fillId="0" borderId="90" xfId="177" applyFont="1" applyBorder="1" applyAlignment="1">
      <alignment vertical="center" wrapText="1"/>
    </xf>
    <xf numFmtId="49" fontId="12" fillId="0" borderId="89" xfId="134" applyNumberFormat="1" applyFont="1" applyBorder="1" applyAlignment="1">
      <alignment horizontal="center" vertical="center"/>
    </xf>
    <xf numFmtId="0" fontId="91" fillId="0" borderId="89" xfId="129" applyFont="1" applyBorder="1" applyAlignment="1">
      <alignment vertical="center" wrapText="1"/>
    </xf>
    <xf numFmtId="0" fontId="12" fillId="0" borderId="90" xfId="129" applyFont="1" applyBorder="1" applyAlignment="1">
      <alignment vertical="center" wrapText="1"/>
    </xf>
    <xf numFmtId="3" fontId="9" fillId="0" borderId="89" xfId="134" applyNumberFormat="1" applyFont="1" applyFill="1" applyBorder="1" applyAlignment="1">
      <alignment vertical="center" wrapText="1"/>
    </xf>
    <xf numFmtId="0" fontId="9" fillId="0" borderId="90" xfId="134" applyFont="1" applyBorder="1" applyAlignment="1">
      <alignment vertical="center" wrapText="1"/>
    </xf>
    <xf numFmtId="3" fontId="9" fillId="0" borderId="89" xfId="134" applyNumberFormat="1" applyFont="1" applyBorder="1" applyAlignment="1">
      <alignment horizontal="center" vertical="center"/>
    </xf>
    <xf numFmtId="3" fontId="9" fillId="0" borderId="89" xfId="134" applyNumberFormat="1" applyFont="1" applyFill="1" applyBorder="1" applyAlignment="1">
      <alignment vertical="center"/>
    </xf>
    <xf numFmtId="0" fontId="91" fillId="0" borderId="92" xfId="134" applyFont="1" applyBorder="1" applyAlignment="1">
      <alignment vertical="center"/>
    </xf>
    <xf numFmtId="3" fontId="12" fillId="0" borderId="89" xfId="0" applyNumberFormat="1" applyFont="1" applyBorder="1" applyAlignment="1">
      <alignment horizontal="center" vertical="center"/>
    </xf>
    <xf numFmtId="3" fontId="12" fillId="0" borderId="89" xfId="0" applyNumberFormat="1" applyFont="1" applyBorder="1" applyAlignment="1">
      <alignment horizontal="right" vertical="center" wrapText="1"/>
    </xf>
    <xf numFmtId="3" fontId="12" fillId="0" borderId="89" xfId="136" applyNumberFormat="1" applyFont="1" applyBorder="1" applyAlignment="1">
      <alignment horizontal="right" vertical="center"/>
    </xf>
    <xf numFmtId="0" fontId="12" fillId="0" borderId="37" xfId="134" applyFont="1" applyBorder="1" applyAlignment="1">
      <alignment vertical="center" wrapText="1"/>
    </xf>
    <xf numFmtId="3" fontId="91" fillId="0" borderId="90" xfId="0" applyNumberFormat="1" applyFont="1" applyBorder="1" applyAlignment="1">
      <alignment vertical="center"/>
    </xf>
    <xf numFmtId="3" fontId="91" fillId="0" borderId="89" xfId="0" applyNumberFormat="1" applyFont="1" applyBorder="1" applyAlignment="1">
      <alignment vertical="center"/>
    </xf>
    <xf numFmtId="3" fontId="92" fillId="0" borderId="89" xfId="0" applyNumberFormat="1" applyFont="1" applyBorder="1" applyAlignment="1">
      <alignment vertical="center"/>
    </xf>
    <xf numFmtId="3" fontId="92" fillId="0" borderId="37" xfId="0" applyNumberFormat="1" applyFont="1" applyBorder="1" applyAlignment="1">
      <alignment vertical="center" wrapText="1"/>
    </xf>
    <xf numFmtId="3" fontId="92" fillId="0" borderId="90" xfId="0" applyNumberFormat="1" applyFont="1" applyBorder="1" applyAlignment="1">
      <alignment vertical="center"/>
    </xf>
    <xf numFmtId="0" fontId="85" fillId="0" borderId="90" xfId="0" applyFont="1" applyBorder="1" applyAlignment="1">
      <alignment vertical="center" wrapText="1"/>
    </xf>
    <xf numFmtId="3" fontId="9" fillId="0" borderId="89" xfId="168" applyNumberFormat="1" applyFont="1" applyBorder="1" applyAlignment="1">
      <alignment horizontal="left" vertical="center" wrapText="1"/>
    </xf>
    <xf numFmtId="3" fontId="9" fillId="0" borderId="90" xfId="168" applyNumberFormat="1" applyFont="1" applyBorder="1" applyAlignment="1">
      <alignment horizontal="left" vertical="center" wrapText="1"/>
    </xf>
    <xf numFmtId="3" fontId="12" fillId="0" borderId="92" xfId="0" applyNumberFormat="1" applyFont="1" applyBorder="1" applyAlignment="1">
      <alignment horizontal="center" vertical="center"/>
    </xf>
    <xf numFmtId="0" fontId="12" fillId="48" borderId="90" xfId="161" applyFont="1" applyFill="1" applyBorder="1" applyAlignment="1">
      <alignment horizontal="center" vertical="top" wrapText="1"/>
    </xf>
    <xf numFmtId="0" fontId="12" fillId="0" borderId="90" xfId="161" applyFont="1" applyBorder="1" applyAlignment="1">
      <alignment vertical="center"/>
    </xf>
    <xf numFmtId="3" fontId="12" fillId="0" borderId="93" xfId="0" applyNumberFormat="1" applyFont="1" applyBorder="1" applyAlignment="1">
      <alignment horizontal="center" vertical="center"/>
    </xf>
    <xf numFmtId="0" fontId="12" fillId="0" borderId="90" xfId="161" applyFont="1" applyBorder="1" applyAlignment="1">
      <alignment horizontal="center" vertical="center" wrapText="1"/>
    </xf>
    <xf numFmtId="0" fontId="12" fillId="0" borderId="89" xfId="161" applyFont="1" applyBorder="1" applyAlignment="1">
      <alignment horizontal="center" vertical="top" wrapText="1"/>
    </xf>
    <xf numFmtId="3" fontId="12" fillId="0" borderId="70" xfId="0" applyNumberFormat="1" applyFont="1" applyBorder="1" applyAlignment="1">
      <alignment horizontal="center" vertical="center"/>
    </xf>
    <xf numFmtId="0" fontId="12" fillId="0" borderId="67" xfId="129" applyFont="1" applyBorder="1" applyAlignment="1">
      <alignment vertical="center" wrapText="1"/>
    </xf>
    <xf numFmtId="3" fontId="91" fillId="0" borderId="90" xfId="0" applyNumberFormat="1" applyFont="1" applyFill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left" vertical="center" wrapText="1"/>
    </xf>
    <xf numFmtId="3" fontId="9" fillId="0" borderId="36" xfId="0" applyNumberFormat="1" applyFont="1" applyFill="1" applyBorder="1" applyAlignment="1">
      <alignment horizontal="left" vertical="center" wrapText="1"/>
    </xf>
    <xf numFmtId="0" fontId="9" fillId="0" borderId="89" xfId="129" applyFont="1" applyFill="1" applyBorder="1" applyAlignment="1">
      <alignment horizontal="center" vertical="center" wrapText="1"/>
    </xf>
    <xf numFmtId="3" fontId="9" fillId="0" borderId="89" xfId="0" applyNumberFormat="1" applyFont="1" applyBorder="1" applyAlignment="1">
      <alignment horizontal="left" vertical="center" wrapText="1"/>
    </xf>
    <xf numFmtId="3" fontId="12" fillId="0" borderId="89" xfId="0" applyNumberFormat="1" applyFont="1" applyFill="1" applyBorder="1" applyAlignment="1">
      <alignment vertical="center"/>
    </xf>
    <xf numFmtId="0" fontId="79" fillId="49" borderId="58" xfId="174" applyFont="1" applyFill="1" applyBorder="1" applyAlignment="1">
      <alignment horizontal="center" vertical="center" wrapText="1"/>
    </xf>
    <xf numFmtId="0" fontId="79" fillId="49" borderId="59" xfId="174" applyFont="1" applyFill="1" applyBorder="1" applyAlignment="1">
      <alignment horizontal="center" vertical="center" wrapText="1"/>
    </xf>
    <xf numFmtId="0" fontId="11" fillId="49" borderId="57" xfId="151" applyFont="1" applyFill="1" applyBorder="1" applyAlignment="1">
      <alignment horizontal="center" vertical="center" wrapText="1"/>
    </xf>
    <xf numFmtId="0" fontId="79" fillId="49" borderId="39" xfId="174" applyFont="1" applyFill="1" applyBorder="1" applyAlignment="1">
      <alignment horizontal="center" vertical="center" wrapText="1"/>
    </xf>
    <xf numFmtId="0" fontId="3" fillId="46" borderId="29" xfId="0" applyFont="1" applyFill="1" applyBorder="1" applyAlignment="1">
      <alignment horizontal="center" vertical="center"/>
    </xf>
    <xf numFmtId="0" fontId="3" fillId="46" borderId="24" xfId="0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3" fillId="46" borderId="31" xfId="0" applyFont="1" applyFill="1" applyBorder="1" applyAlignment="1">
      <alignment horizontal="center" vertical="center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/>
    </xf>
    <xf numFmtId="0" fontId="10" fillId="46" borderId="31" xfId="154" applyFont="1" applyFill="1" applyBorder="1" applyAlignment="1">
      <alignment horizontal="center"/>
    </xf>
    <xf numFmtId="0" fontId="11" fillId="46" borderId="13" xfId="0" applyFont="1" applyFill="1" applyBorder="1" applyAlignment="1">
      <alignment horizontal="center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60" xfId="0" applyFont="1" applyFill="1" applyBorder="1" applyAlignment="1">
      <alignment horizontal="center" vertical="center"/>
    </xf>
    <xf numFmtId="0" fontId="11" fillId="46" borderId="41" xfId="0" applyFont="1" applyFill="1" applyBorder="1" applyAlignment="1">
      <alignment horizontal="center" vertical="center"/>
    </xf>
    <xf numFmtId="0" fontId="11" fillId="46" borderId="42" xfId="0" applyFont="1" applyFill="1" applyBorder="1" applyAlignment="1">
      <alignment horizontal="center" vertical="center"/>
    </xf>
    <xf numFmtId="0" fontId="11" fillId="46" borderId="37" xfId="0" applyFont="1" applyFill="1" applyBorder="1" applyAlignment="1">
      <alignment horizontal="center" vertical="center"/>
    </xf>
    <xf numFmtId="0" fontId="11" fillId="46" borderId="39" xfId="0" applyFont="1" applyFill="1" applyBorder="1" applyAlignment="1">
      <alignment horizontal="center" vertical="center" wrapText="1"/>
    </xf>
    <xf numFmtId="0" fontId="11" fillId="46" borderId="19" xfId="0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left" vertical="center"/>
    </xf>
    <xf numFmtId="3" fontId="14" fillId="46" borderId="29" xfId="136" applyNumberFormat="1" applyFont="1" applyFill="1" applyBorder="1" applyAlignment="1">
      <alignment horizontal="center" vertical="center" wrapText="1"/>
    </xf>
    <xf numFmtId="3" fontId="14" fillId="46" borderId="24" xfId="136" applyNumberFormat="1" applyFont="1" applyFill="1" applyBorder="1" applyAlignment="1">
      <alignment horizontal="center" vertical="center" wrapText="1"/>
    </xf>
    <xf numFmtId="3" fontId="14" fillId="46" borderId="29" xfId="136" applyNumberFormat="1" applyFont="1" applyFill="1" applyBorder="1" applyAlignment="1">
      <alignment horizontal="center" vertical="center"/>
    </xf>
    <xf numFmtId="3" fontId="14" fillId="46" borderId="24" xfId="136" applyNumberFormat="1" applyFont="1" applyFill="1" applyBorder="1" applyAlignment="1">
      <alignment horizontal="center" vertical="center"/>
    </xf>
    <xf numFmtId="3" fontId="14" fillId="46" borderId="64" xfId="136" applyNumberFormat="1" applyFont="1" applyFill="1" applyBorder="1" applyAlignment="1">
      <alignment horizontal="center" vertical="center" textRotation="90" wrapText="1"/>
    </xf>
    <xf numFmtId="3" fontId="14" fillId="46" borderId="23" xfId="136" applyNumberFormat="1" applyFont="1" applyFill="1" applyBorder="1" applyAlignment="1">
      <alignment horizontal="center" vertical="center" textRotation="90" wrapText="1"/>
    </xf>
    <xf numFmtId="3" fontId="14" fillId="46" borderId="39" xfId="136" applyNumberFormat="1" applyFont="1" applyFill="1" applyBorder="1" applyAlignment="1">
      <alignment horizontal="center" vertical="center" wrapText="1"/>
    </xf>
    <xf numFmtId="3" fontId="14" fillId="46" borderId="19" xfId="136" applyNumberFormat="1" applyFont="1" applyFill="1" applyBorder="1" applyAlignment="1">
      <alignment horizontal="center" vertical="center" wrapText="1"/>
    </xf>
    <xf numFmtId="0" fontId="3" fillId="46" borderId="22" xfId="0" applyFont="1" applyFill="1" applyBorder="1" applyAlignment="1">
      <alignment horizontal="center" vertical="center" wrapText="1"/>
    </xf>
    <xf numFmtId="0" fontId="3" fillId="46" borderId="19" xfId="0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0" fontId="58" fillId="46" borderId="39" xfId="0" applyFont="1" applyFill="1" applyBorder="1" applyAlignment="1">
      <alignment horizontal="center" vertical="center" wrapText="1"/>
    </xf>
    <xf numFmtId="0" fontId="58" fillId="46" borderId="19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3" fontId="11" fillId="49" borderId="34" xfId="0" applyNumberFormat="1" applyFont="1" applyFill="1" applyBorder="1" applyAlignment="1">
      <alignment horizontal="center" vertical="center" wrapText="1"/>
    </xf>
    <xf numFmtId="3" fontId="11" fillId="49" borderId="19" xfId="0" applyNumberFormat="1" applyFont="1" applyFill="1" applyBorder="1" applyAlignment="1">
      <alignment horizontal="center" vertical="center" wrapText="1"/>
    </xf>
    <xf numFmtId="0" fontId="11" fillId="49" borderId="39" xfId="0" applyFont="1" applyFill="1" applyBorder="1" applyAlignment="1">
      <alignment horizontal="center" vertical="center" wrapText="1"/>
    </xf>
    <xf numFmtId="0" fontId="11" fillId="49" borderId="19" xfId="0" applyFont="1" applyFill="1" applyBorder="1" applyAlignment="1">
      <alignment horizontal="center" vertical="center" wrapText="1"/>
    </xf>
  </cellXfs>
  <cellStyles count="179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5" xr:uid="{00000000-0005-0000-0000-000056000000}"/>
    <cellStyle name="Figyelmeztetés" xfId="86" builtinId="11" customBuiltin="1"/>
    <cellStyle name="Figyelmeztetés 2" xfId="87" xr:uid="{00000000-0005-0000-0000-000058000000}"/>
    <cellStyle name="Good" xfId="88" xr:uid="{00000000-0005-0000-0000-000059000000}"/>
    <cellStyle name="Heading 1" xfId="89" xr:uid="{00000000-0005-0000-0000-00005A000000}"/>
    <cellStyle name="Heading 2" xfId="90" xr:uid="{00000000-0005-0000-0000-00005B000000}"/>
    <cellStyle name="Heading 3" xfId="91" xr:uid="{00000000-0005-0000-0000-00005C000000}"/>
    <cellStyle name="Heading 4" xfId="92" xr:uid="{00000000-0005-0000-0000-00005D000000}"/>
    <cellStyle name="Hivatkozott cella" xfId="93" builtinId="24" customBuiltin="1"/>
    <cellStyle name="Hivatkozott cella 2" xfId="94" xr:uid="{00000000-0005-0000-0000-00005F000000}"/>
    <cellStyle name="Input" xfId="95" xr:uid="{00000000-0005-0000-0000-000060000000}"/>
    <cellStyle name="Jegyzet" xfId="96" builtinId="10" customBuiltin="1"/>
    <cellStyle name="Jegyzet 2" xfId="97" xr:uid="{00000000-0005-0000-0000-000062000000}"/>
    <cellStyle name="Jelölőszín (1)" xfId="98" xr:uid="{00000000-0005-0000-0000-000063000000}"/>
    <cellStyle name="Jelölőszín (1) 2" xfId="99" xr:uid="{00000000-0005-0000-0000-000064000000}"/>
    <cellStyle name="Jelölőszín (2)" xfId="100" xr:uid="{00000000-0005-0000-0000-000065000000}"/>
    <cellStyle name="Jelölőszín (2) 2" xfId="101" xr:uid="{00000000-0005-0000-0000-000066000000}"/>
    <cellStyle name="Jelölőszín (3)" xfId="102" xr:uid="{00000000-0005-0000-0000-000067000000}"/>
    <cellStyle name="Jelölőszín (3) 2" xfId="103" xr:uid="{00000000-0005-0000-0000-000068000000}"/>
    <cellStyle name="Jelölőszín (4)" xfId="104" xr:uid="{00000000-0005-0000-0000-000069000000}"/>
    <cellStyle name="Jelölőszín (4) 2" xfId="105" xr:uid="{00000000-0005-0000-0000-00006A000000}"/>
    <cellStyle name="Jelölőszín (5)" xfId="106" xr:uid="{00000000-0005-0000-0000-00006B000000}"/>
    <cellStyle name="Jelölőszín (5) 2" xfId="107" xr:uid="{00000000-0005-0000-0000-00006C000000}"/>
    <cellStyle name="Jelölőszín (6)" xfId="108" xr:uid="{00000000-0005-0000-0000-00006D000000}"/>
    <cellStyle name="Jelölőszín (6) 2" xfId="109" xr:uid="{00000000-0005-0000-0000-00006E000000}"/>
    <cellStyle name="Jelölőszín 1" xfId="110" xr:uid="{00000000-0005-0000-0000-00006F000000}"/>
    <cellStyle name="Jelölőszín 2" xfId="111" xr:uid="{00000000-0005-0000-0000-000070000000}"/>
    <cellStyle name="Jelölőszín 3" xfId="112" xr:uid="{00000000-0005-0000-0000-000071000000}"/>
    <cellStyle name="Jelölőszín 4" xfId="113" xr:uid="{00000000-0005-0000-0000-000072000000}"/>
    <cellStyle name="Jelölőszín 5" xfId="114" xr:uid="{00000000-0005-0000-0000-000073000000}"/>
    <cellStyle name="Jelölőszín 6" xfId="115" xr:uid="{00000000-0005-0000-0000-000074000000}"/>
    <cellStyle name="Jó" xfId="116" builtinId="26" customBuiltin="1"/>
    <cellStyle name="Jó 2" xfId="117" xr:uid="{00000000-0005-0000-0000-000076000000}"/>
    <cellStyle name="Kimenet" xfId="118" builtinId="21" customBuiltin="1"/>
    <cellStyle name="Kimenet 2" xfId="119" xr:uid="{00000000-0005-0000-0000-000078000000}"/>
    <cellStyle name="Linked Cell" xfId="120" xr:uid="{00000000-0005-0000-0000-000079000000}"/>
    <cellStyle name="Magyarázó szöveg" xfId="121" builtinId="53" customBuiltin="1"/>
    <cellStyle name="Magyarázó szöveg 2" xfId="122" xr:uid="{00000000-0005-0000-0000-00007B000000}"/>
    <cellStyle name="Neutral" xfId="123" xr:uid="{00000000-0005-0000-0000-00007C000000}"/>
    <cellStyle name="Normál" xfId="0" builtinId="0"/>
    <cellStyle name="Normál 2" xfId="124" xr:uid="{00000000-0005-0000-0000-00007E000000}"/>
    <cellStyle name="Normál 3" xfId="125" xr:uid="{00000000-0005-0000-0000-00007F000000}"/>
    <cellStyle name="Normál 4" xfId="126" xr:uid="{00000000-0005-0000-0000-000080000000}"/>
    <cellStyle name="Normál 5" xfId="152" xr:uid="{00000000-0005-0000-0000-000081000000}"/>
    <cellStyle name="Normál 5 2" xfId="174" xr:uid="{00000000-0005-0000-0000-000082000000}"/>
    <cellStyle name="Normál_   5    (2)" xfId="127" xr:uid="{00000000-0005-0000-0000-000083000000}"/>
    <cellStyle name="Normál_   5    (2)_KÖLTSÉGVETÉS 2015 intézmények " xfId="128" xr:uid="{00000000-0005-0000-0000-000084000000}"/>
    <cellStyle name="Normál_   5-a    (2)" xfId="154" xr:uid="{00000000-0005-0000-0000-000085000000}"/>
    <cellStyle name="Normál_   7   x" xfId="129" xr:uid="{00000000-0005-0000-0000-000086000000}"/>
    <cellStyle name="Normál_   7   x_2012. III.negyedévi ei. módosítás" xfId="159" xr:uid="{00000000-0005-0000-0000-000087000000}"/>
    <cellStyle name="Normál_   7   x_2012. III.negyedévi ei. módosítás_Intézményi táblák" xfId="130" xr:uid="{00000000-0005-0000-0000-000088000000}"/>
    <cellStyle name="Normál_   7   x_2014_ktsv tervezet_btcs_6.a" xfId="170" xr:uid="{00000000-0005-0000-0000-000089000000}"/>
    <cellStyle name="Normál_   7   x_Másolat eredetije2014. műk-beru-felúj. 2" xfId="131" xr:uid="{00000000-0005-0000-0000-00008A000000}"/>
    <cellStyle name="Normál_   7   x_Másolat eredetije2014. műk-beru-felúj._2017. KÖLTSÉGVETÉS" xfId="176" xr:uid="{00000000-0005-0000-0000-00008B000000}"/>
    <cellStyle name="Normál_   7   x_Másolat eredetije2014. műk-beru-felúj._6.a" xfId="161" xr:uid="{00000000-0005-0000-0000-00008C000000}"/>
    <cellStyle name="Normál_  3   _2010.évi állami_állami  tám." xfId="151" xr:uid="{00000000-0005-0000-0000-00008D000000}"/>
    <cellStyle name="Normál_2001.évi költségvkoncepció" xfId="165" xr:uid="{00000000-0005-0000-0000-00008E000000}"/>
    <cellStyle name="Normál_2012. évi beszámoló 5.a 6a" xfId="163" xr:uid="{00000000-0005-0000-0000-00008F000000}"/>
    <cellStyle name="Normál_213_évi_költségvetés_MCS" xfId="157" xr:uid="{00000000-0005-0000-0000-000090000000}"/>
    <cellStyle name="Normál_213_évi_költségvetés_MCS_2016. IV.névi módosítás" xfId="164" xr:uid="{00000000-0005-0000-0000-000091000000}"/>
    <cellStyle name="Normál_3" xfId="162" xr:uid="{00000000-0005-0000-0000-000092000000}"/>
    <cellStyle name="Normál_eredeti biz.után" xfId="160" xr:uid="{00000000-0005-0000-0000-000093000000}"/>
    <cellStyle name="Normál_Infrastukturális fejlesztések Zalaegerszegen" xfId="172" xr:uid="{00000000-0005-0000-0000-000094000000}"/>
    <cellStyle name="Normál_Intézmények 2014" xfId="132" xr:uid="{00000000-0005-0000-0000-000095000000}"/>
    <cellStyle name="Normál_INTKIA96" xfId="133" xr:uid="{00000000-0005-0000-0000-000096000000}"/>
    <cellStyle name="Normál_Másolat eredetije2014. műk-beru-felúj." xfId="168" xr:uid="{00000000-0005-0000-0000-000097000000}"/>
    <cellStyle name="Normál_Munka2 (2)" xfId="134" xr:uid="{00000000-0005-0000-0000-000098000000}"/>
    <cellStyle name="Normál_Munka2 (2) 2" xfId="177" xr:uid="{00000000-0005-0000-0000-000099000000}"/>
    <cellStyle name="Normál_Munka2 (2) 3" xfId="178" xr:uid="{00000000-0005-0000-0000-00009A000000}"/>
    <cellStyle name="Normál_Munka2 (2)_KÖLTSÉGVETÉS 2015 intézmények " xfId="135" xr:uid="{00000000-0005-0000-0000-00009B000000}"/>
    <cellStyle name="Normál_Munka2 (2)_KÖLTSÉGVETÉS_2015." xfId="156" xr:uid="{00000000-0005-0000-0000-00009C000000}"/>
    <cellStyle name="Normál_Munka3 (2)" xfId="155" xr:uid="{00000000-0005-0000-0000-00009D000000}"/>
    <cellStyle name="Normál_Munka3 (2)_Másolat eredetije2014. műk-beru-felúj." xfId="158" xr:uid="{00000000-0005-0000-0000-00009E000000}"/>
    <cellStyle name="Normál_Munka3 (2)_Másolat eredetije2014. műk-beru-felúj._2016. IV.névi módosítás" xfId="166" xr:uid="{00000000-0005-0000-0000-00009F000000}"/>
    <cellStyle name="Normál_Munka3 (2)_Másolat eredetije2014. műk-beru-felúj._2017.KÖLTSÉGVETÉS" xfId="173" xr:uid="{00000000-0005-0000-0000-0000A0000000}"/>
    <cellStyle name="Normál_Munka3 (2)_Másolat eredetije2014. műk-beru-felúj._2018. I.névi ei-módosítás" xfId="169" xr:uid="{00000000-0005-0000-0000-0000A1000000}"/>
    <cellStyle name="Normál_Munka3 (2)_Másolat eredetije2014. műk-beru-felúj._6.a" xfId="171" xr:uid="{00000000-0005-0000-0000-0000A2000000}"/>
    <cellStyle name="Normál_Műszaki Osztály fejlesztés2016" xfId="167" xr:uid="{00000000-0005-0000-0000-0000A3000000}"/>
    <cellStyle name="Normál_ÖKIADELÖ" xfId="136" xr:uid="{00000000-0005-0000-0000-0000A4000000}"/>
    <cellStyle name="Normal_tanusitv" xfId="137" xr:uid="{00000000-0005-0000-0000-0000A5000000}"/>
    <cellStyle name="Note" xfId="138" xr:uid="{00000000-0005-0000-0000-0000A6000000}"/>
    <cellStyle name="Output" xfId="139" xr:uid="{00000000-0005-0000-0000-0000A7000000}"/>
    <cellStyle name="Összesen" xfId="140" builtinId="25" customBuiltin="1"/>
    <cellStyle name="Összesen 2" xfId="141" xr:uid="{00000000-0005-0000-0000-0000A9000000}"/>
    <cellStyle name="Rossz" xfId="142" builtinId="27" customBuiltin="1"/>
    <cellStyle name="Rossz 2" xfId="143" xr:uid="{00000000-0005-0000-0000-0000AB000000}"/>
    <cellStyle name="Semleges" xfId="144" builtinId="28" customBuiltin="1"/>
    <cellStyle name="Semleges 2" xfId="145" xr:uid="{00000000-0005-0000-0000-0000AD000000}"/>
    <cellStyle name="Számítás" xfId="146" builtinId="22" customBuiltin="1"/>
    <cellStyle name="Számítás 2" xfId="147" xr:uid="{00000000-0005-0000-0000-0000AF000000}"/>
    <cellStyle name="Title" xfId="148" xr:uid="{00000000-0005-0000-0000-0000B0000000}"/>
    <cellStyle name="Total" xfId="149" xr:uid="{00000000-0005-0000-0000-0000B1000000}"/>
    <cellStyle name="Warning Text" xfId="150" xr:uid="{00000000-0005-0000-0000-0000B2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ka/2021.%20K&#214;LTS&#201;GVET&#201;S/2021.%20K&#214;LTS&#201;GVET&#201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5.a"/>
      <sheetName val="6"/>
      <sheetName val="6.a"/>
      <sheetName val="7"/>
      <sheetName val="8"/>
      <sheetName val="9"/>
      <sheetName val="10"/>
      <sheetName val="11"/>
      <sheetName val="12"/>
      <sheetName val="13.a"/>
      <sheetName val="13.b"/>
      <sheetName val="14"/>
    </sheetNames>
    <sheetDataSet>
      <sheetData sheetId="0"/>
      <sheetData sheetId="1"/>
      <sheetData sheetId="2"/>
      <sheetData sheetId="3"/>
      <sheetData sheetId="4"/>
      <sheetData sheetId="5"/>
      <sheetData sheetId="6">
        <row r="17">
          <cell r="D17">
            <v>4845616</v>
          </cell>
          <cell r="E17">
            <v>845508</v>
          </cell>
          <cell r="F17">
            <v>10577885</v>
          </cell>
          <cell r="G17">
            <v>99170</v>
          </cell>
          <cell r="H17">
            <v>3848053</v>
          </cell>
          <cell r="I17">
            <v>28753625</v>
          </cell>
          <cell r="J17">
            <v>3638023</v>
          </cell>
          <cell r="K17">
            <v>113334</v>
          </cell>
          <cell r="L17">
            <v>111534</v>
          </cell>
          <cell r="M17">
            <v>10194029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workbookViewId="0">
      <selection activeCell="C21" sqref="C21"/>
    </sheetView>
  </sheetViews>
  <sheetFormatPr defaultRowHeight="12" x14ac:dyDescent="0.2"/>
  <cols>
    <col min="1" max="1" width="45.1640625" style="21" customWidth="1"/>
    <col min="2" max="2" width="13" style="21" customWidth="1"/>
    <col min="3" max="3" width="13.6640625" style="21" customWidth="1"/>
    <col min="4" max="4" width="12.6640625" style="1" customWidth="1"/>
    <col min="5" max="5" width="2" style="18" customWidth="1"/>
    <col min="6" max="6" width="44.83203125" style="21" customWidth="1"/>
    <col min="7" max="7" width="14.1640625" style="21" customWidth="1"/>
    <col min="8" max="8" width="13.83203125" style="21" customWidth="1"/>
    <col min="9" max="9" width="12.5" style="1" customWidth="1"/>
    <col min="10" max="16384" width="9.33203125" style="19"/>
  </cols>
  <sheetData>
    <row r="1" spans="1:9" s="16" customFormat="1" ht="39.950000000000003" customHeight="1" thickBot="1" x14ac:dyDescent="0.25">
      <c r="A1" s="32"/>
      <c r="B1" s="34" t="s">
        <v>1029</v>
      </c>
      <c r="C1" s="33" t="s">
        <v>1010</v>
      </c>
      <c r="D1" s="34" t="s">
        <v>1030</v>
      </c>
      <c r="E1" s="35"/>
      <c r="F1" s="32" t="s">
        <v>137</v>
      </c>
      <c r="G1" s="34" t="s">
        <v>1029</v>
      </c>
      <c r="H1" s="33" t="s">
        <v>1010</v>
      </c>
      <c r="I1" s="34" t="s">
        <v>1030</v>
      </c>
    </row>
    <row r="2" spans="1:9" s="17" customFormat="1" ht="12.95" customHeight="1" x14ac:dyDescent="0.2">
      <c r="A2" s="36" t="s">
        <v>187</v>
      </c>
      <c r="B2" s="14"/>
      <c r="C2" s="37"/>
      <c r="D2" s="14"/>
      <c r="E2" s="38"/>
      <c r="F2" s="36" t="s">
        <v>188</v>
      </c>
      <c r="G2" s="13"/>
      <c r="H2" s="36"/>
      <c r="I2" s="13"/>
    </row>
    <row r="3" spans="1:9" ht="24.95" customHeight="1" x14ac:dyDescent="0.2">
      <c r="A3" s="39" t="s">
        <v>76</v>
      </c>
      <c r="B3" s="582">
        <v>6090370</v>
      </c>
      <c r="C3" s="39">
        <v>1513862</v>
      </c>
      <c r="D3" s="12">
        <f t="shared" ref="D3:D16" si="0">SUM(B3:C3)</f>
        <v>7604232</v>
      </c>
      <c r="E3" s="40"/>
      <c r="F3" s="39" t="s">
        <v>217</v>
      </c>
      <c r="G3" s="582">
        <v>8235838</v>
      </c>
      <c r="H3" s="39">
        <v>365605</v>
      </c>
      <c r="I3" s="12">
        <f>SUM(G3:H3)</f>
        <v>8601443</v>
      </c>
    </row>
    <row r="4" spans="1:9" ht="15" customHeight="1" x14ac:dyDescent="0.2">
      <c r="A4" s="39" t="s">
        <v>78</v>
      </c>
      <c r="B4" s="582">
        <v>4499747</v>
      </c>
      <c r="C4" s="39">
        <v>16000</v>
      </c>
      <c r="D4" s="12">
        <f t="shared" si="0"/>
        <v>4515747</v>
      </c>
      <c r="E4" s="40"/>
      <c r="F4" s="41" t="s">
        <v>172</v>
      </c>
      <c r="G4" s="582">
        <v>8167142</v>
      </c>
      <c r="H4" s="39">
        <v>741013</v>
      </c>
      <c r="I4" s="12">
        <f t="shared" ref="I4:I27" si="1">SUM(G4:H4)</f>
        <v>8908155</v>
      </c>
    </row>
    <row r="5" spans="1:9" ht="22.5" customHeight="1" x14ac:dyDescent="0.2">
      <c r="A5" s="39" t="s">
        <v>79</v>
      </c>
      <c r="B5" s="582">
        <v>2392621</v>
      </c>
      <c r="C5" s="39">
        <v>92210</v>
      </c>
      <c r="D5" s="12">
        <f t="shared" si="0"/>
        <v>2484831</v>
      </c>
      <c r="E5" s="40"/>
      <c r="F5" s="39" t="s">
        <v>132</v>
      </c>
      <c r="G5" s="582">
        <v>3145847</v>
      </c>
      <c r="H5" s="39">
        <v>287508</v>
      </c>
      <c r="I5" s="12">
        <f t="shared" si="1"/>
        <v>3433355</v>
      </c>
    </row>
    <row r="6" spans="1:9" ht="20.100000000000001" customHeight="1" x14ac:dyDescent="0.2">
      <c r="A6" s="39" t="s">
        <v>80</v>
      </c>
      <c r="B6" s="10"/>
      <c r="C6" s="39">
        <v>49816</v>
      </c>
      <c r="D6" s="12">
        <f t="shared" si="0"/>
        <v>49816</v>
      </c>
      <c r="E6" s="40"/>
      <c r="F6" s="39" t="s">
        <v>189</v>
      </c>
      <c r="G6" s="582">
        <v>622263</v>
      </c>
      <c r="H6" s="39">
        <v>128901</v>
      </c>
      <c r="I6" s="12">
        <f t="shared" si="1"/>
        <v>751164</v>
      </c>
    </row>
    <row r="7" spans="1:9" ht="14.1" customHeight="1" x14ac:dyDescent="0.2">
      <c r="A7" s="77" t="s">
        <v>122</v>
      </c>
      <c r="B7" s="77">
        <f>SUM(B3+B4+B5+B6)</f>
        <v>12982738</v>
      </c>
      <c r="C7" s="77">
        <f>SUM(C3+C4+C5+C6)</f>
        <v>1671888</v>
      </c>
      <c r="D7" s="13">
        <f t="shared" si="0"/>
        <v>14654626</v>
      </c>
      <c r="E7" s="40"/>
      <c r="F7" s="39" t="s">
        <v>7</v>
      </c>
      <c r="G7" s="582">
        <v>10000</v>
      </c>
      <c r="H7" s="39"/>
      <c r="I7" s="12">
        <f t="shared" si="1"/>
        <v>10000</v>
      </c>
    </row>
    <row r="8" spans="1:9" ht="14.1" customHeight="1" x14ac:dyDescent="0.2">
      <c r="A8" s="41" t="s">
        <v>75</v>
      </c>
      <c r="B8" s="77"/>
      <c r="C8" s="77"/>
      <c r="D8" s="12">
        <f t="shared" si="0"/>
        <v>0</v>
      </c>
      <c r="E8" s="40"/>
      <c r="F8" s="77" t="s">
        <v>127</v>
      </c>
      <c r="G8" s="36">
        <f>SUM(G2:G7)</f>
        <v>20181090</v>
      </c>
      <c r="H8" s="36">
        <f>SUM(H2:H7)</f>
        <v>1523027</v>
      </c>
      <c r="I8" s="568">
        <f t="shared" si="1"/>
        <v>21704117</v>
      </c>
    </row>
    <row r="9" spans="1:9" ht="24.95" customHeight="1" x14ac:dyDescent="0.2">
      <c r="A9" s="41" t="s">
        <v>81</v>
      </c>
      <c r="B9" s="85">
        <v>7367381</v>
      </c>
      <c r="C9" s="41">
        <v>-148861</v>
      </c>
      <c r="D9" s="12">
        <f t="shared" si="0"/>
        <v>7218520</v>
      </c>
      <c r="E9" s="40"/>
      <c r="F9" s="41" t="s">
        <v>136</v>
      </c>
      <c r="G9" s="39">
        <v>169029</v>
      </c>
      <c r="H9" s="39"/>
      <c r="I9" s="12">
        <f t="shared" si="1"/>
        <v>169029</v>
      </c>
    </row>
    <row r="10" spans="1:9" s="17" customFormat="1" ht="24.95" customHeight="1" x14ac:dyDescent="0.2">
      <c r="A10" s="41" t="s">
        <v>20</v>
      </c>
      <c r="B10" s="500"/>
      <c r="C10" s="126"/>
      <c r="D10" s="12">
        <f t="shared" si="0"/>
        <v>0</v>
      </c>
      <c r="E10" s="40"/>
      <c r="F10" s="41" t="s">
        <v>5</v>
      </c>
      <c r="G10" s="12"/>
      <c r="H10" s="39"/>
      <c r="I10" s="12">
        <f t="shared" si="1"/>
        <v>0</v>
      </c>
    </row>
    <row r="11" spans="1:9" s="17" customFormat="1" ht="12" customHeight="1" x14ac:dyDescent="0.2">
      <c r="A11" s="45" t="s">
        <v>134</v>
      </c>
      <c r="B11" s="501">
        <f>SUM(B7:B10)</f>
        <v>20350119</v>
      </c>
      <c r="C11" s="501">
        <f>SUM(C7:C10)</f>
        <v>1523027</v>
      </c>
      <c r="D11" s="567">
        <f t="shared" si="0"/>
        <v>21873146</v>
      </c>
      <c r="E11" s="40"/>
      <c r="F11" s="42" t="s">
        <v>190</v>
      </c>
      <c r="G11" s="42">
        <f>SUM(G8:G9)</f>
        <v>20350119</v>
      </c>
      <c r="H11" s="42">
        <f>SUM(H8:H10)</f>
        <v>1523027</v>
      </c>
      <c r="I11" s="567">
        <f t="shared" si="1"/>
        <v>21873146</v>
      </c>
    </row>
    <row r="12" spans="1:9" ht="14.1" customHeight="1" x14ac:dyDescent="0.2">
      <c r="A12" s="36" t="s">
        <v>111</v>
      </c>
      <c r="B12" s="10"/>
      <c r="C12" s="36"/>
      <c r="D12" s="12"/>
      <c r="E12" s="40"/>
      <c r="F12" s="36" t="s">
        <v>110</v>
      </c>
      <c r="G12" s="77"/>
      <c r="H12" s="36"/>
      <c r="I12" s="12"/>
    </row>
    <row r="13" spans="1:9" ht="24" customHeight="1" x14ac:dyDescent="0.2">
      <c r="A13" s="39" t="s">
        <v>77</v>
      </c>
      <c r="B13" s="582">
        <v>10507163</v>
      </c>
      <c r="C13" s="39">
        <v>8154519</v>
      </c>
      <c r="D13" s="12">
        <f t="shared" si="0"/>
        <v>18661682</v>
      </c>
      <c r="E13" s="40"/>
      <c r="F13" s="39" t="s">
        <v>82</v>
      </c>
      <c r="G13" s="616">
        <v>113334</v>
      </c>
      <c r="H13" s="39">
        <v>23919</v>
      </c>
      <c r="I13" s="12">
        <f t="shared" si="1"/>
        <v>137253</v>
      </c>
    </row>
    <row r="14" spans="1:9" ht="20.100000000000001" customHeight="1" x14ac:dyDescent="0.2">
      <c r="A14" s="616" t="s">
        <v>1031</v>
      </c>
      <c r="B14" s="586">
        <v>200441</v>
      </c>
      <c r="C14" s="39">
        <v>110962</v>
      </c>
      <c r="D14" s="12">
        <f t="shared" si="0"/>
        <v>311403</v>
      </c>
      <c r="E14" s="40"/>
      <c r="F14" s="39" t="s">
        <v>112</v>
      </c>
      <c r="G14" s="582">
        <v>28743625</v>
      </c>
      <c r="H14" s="39">
        <v>5728157</v>
      </c>
      <c r="I14" s="12">
        <f t="shared" si="1"/>
        <v>34471782</v>
      </c>
    </row>
    <row r="15" spans="1:9" ht="15" customHeight="1" x14ac:dyDescent="0.2">
      <c r="A15" s="616" t="s">
        <v>1032</v>
      </c>
      <c r="B15" s="586">
        <v>134863</v>
      </c>
      <c r="C15" s="39">
        <v>81796</v>
      </c>
      <c r="D15" s="12">
        <f t="shared" si="0"/>
        <v>216659</v>
      </c>
      <c r="E15" s="40"/>
      <c r="F15" s="39" t="s">
        <v>12</v>
      </c>
      <c r="G15" s="586">
        <v>191139</v>
      </c>
      <c r="H15" s="39">
        <v>110204</v>
      </c>
      <c r="I15" s="12">
        <f t="shared" si="1"/>
        <v>301343</v>
      </c>
    </row>
    <row r="16" spans="1:9" ht="24.95" customHeight="1" x14ac:dyDescent="0.2">
      <c r="A16" s="616" t="s">
        <v>1033</v>
      </c>
      <c r="B16" s="586">
        <v>3423124</v>
      </c>
      <c r="C16" s="39">
        <v>139833</v>
      </c>
      <c r="D16" s="12">
        <f t="shared" si="0"/>
        <v>3562957</v>
      </c>
      <c r="E16" s="40"/>
      <c r="F16" s="39" t="s">
        <v>113</v>
      </c>
      <c r="G16" s="582">
        <v>3618638</v>
      </c>
      <c r="H16" s="39">
        <v>2864539</v>
      </c>
      <c r="I16" s="12">
        <f t="shared" si="1"/>
        <v>6483177</v>
      </c>
    </row>
    <row r="17" spans="1:9" ht="16.5" customHeight="1" x14ac:dyDescent="0.2">
      <c r="A17" s="617" t="s">
        <v>125</v>
      </c>
      <c r="B17" s="618">
        <f>SUM(B13:B16)</f>
        <v>14265591</v>
      </c>
      <c r="C17" s="618">
        <f t="shared" ref="C17:D17" si="2">SUM(C13:C16)</f>
        <v>8487110</v>
      </c>
      <c r="D17" s="618">
        <f t="shared" si="2"/>
        <v>22752701</v>
      </c>
      <c r="E17" s="38"/>
      <c r="F17" s="39" t="s">
        <v>12</v>
      </c>
      <c r="G17" s="582">
        <v>22485</v>
      </c>
      <c r="H17" s="39">
        <v>16260</v>
      </c>
      <c r="I17" s="12">
        <f t="shared" si="1"/>
        <v>38745</v>
      </c>
    </row>
    <row r="18" spans="1:9" ht="18" customHeight="1" x14ac:dyDescent="0.2">
      <c r="A18" s="616" t="s">
        <v>75</v>
      </c>
      <c r="B18" s="77"/>
      <c r="C18" s="36"/>
      <c r="D18" s="12"/>
      <c r="E18" s="38"/>
      <c r="F18" s="39" t="s">
        <v>114</v>
      </c>
      <c r="G18" s="582">
        <v>29385</v>
      </c>
      <c r="H18" s="39">
        <v>631</v>
      </c>
      <c r="I18" s="12">
        <f t="shared" si="1"/>
        <v>30016</v>
      </c>
    </row>
    <row r="19" spans="1:9" ht="16.5" customHeight="1" x14ac:dyDescent="0.2">
      <c r="A19" s="616" t="s">
        <v>1034</v>
      </c>
      <c r="B19" s="616">
        <v>34841</v>
      </c>
      <c r="C19" s="36"/>
      <c r="D19" s="12">
        <f>SUM(B19:C19)</f>
        <v>34841</v>
      </c>
      <c r="E19" s="40"/>
      <c r="F19" s="39" t="s">
        <v>84</v>
      </c>
      <c r="G19" s="582">
        <v>35142</v>
      </c>
      <c r="H19" s="39"/>
      <c r="I19" s="12">
        <f t="shared" si="1"/>
        <v>35142</v>
      </c>
    </row>
    <row r="20" spans="1:9" ht="22.5" customHeight="1" x14ac:dyDescent="0.2">
      <c r="A20" s="616" t="s">
        <v>1035</v>
      </c>
      <c r="B20" s="586">
        <v>3775789</v>
      </c>
      <c r="C20" s="39">
        <v>440136</v>
      </c>
      <c r="D20" s="12">
        <f>SUM(B20:C20)</f>
        <v>4215925</v>
      </c>
      <c r="E20" s="40"/>
      <c r="F20" s="77" t="s">
        <v>126</v>
      </c>
      <c r="G20" s="36">
        <f>SUM(G13+G14+G16+G18+G19)</f>
        <v>32540124</v>
      </c>
      <c r="H20" s="36">
        <f>SUM(H13+H14+H16+H18+H19)</f>
        <v>8617246</v>
      </c>
      <c r="I20" s="13">
        <f t="shared" si="1"/>
        <v>41157370</v>
      </c>
    </row>
    <row r="21" spans="1:9" ht="16.5" customHeight="1" x14ac:dyDescent="0.2">
      <c r="A21" s="616" t="s">
        <v>1036</v>
      </c>
      <c r="B21" s="616">
        <v>14600437</v>
      </c>
      <c r="C21" s="39">
        <v>15000</v>
      </c>
      <c r="D21" s="12">
        <f>SUM(B21:C21)</f>
        <v>14615437</v>
      </c>
      <c r="E21" s="40"/>
      <c r="F21" s="41" t="s">
        <v>83</v>
      </c>
      <c r="G21" s="12"/>
      <c r="H21" s="36"/>
      <c r="I21" s="12"/>
    </row>
    <row r="22" spans="1:9" ht="12.95" customHeight="1" x14ac:dyDescent="0.2">
      <c r="A22" s="128"/>
      <c r="B22" s="41"/>
      <c r="C22" s="39"/>
      <c r="D22" s="12"/>
      <c r="E22" s="40"/>
      <c r="F22" s="41" t="s">
        <v>120</v>
      </c>
      <c r="G22" s="12">
        <v>111534</v>
      </c>
      <c r="H22" s="41"/>
      <c r="I22" s="12">
        <f t="shared" si="1"/>
        <v>111534</v>
      </c>
    </row>
    <row r="23" spans="1:9" ht="12.95" customHeight="1" x14ac:dyDescent="0.2">
      <c r="A23" s="41"/>
      <c r="B23" s="39"/>
      <c r="C23" s="39"/>
      <c r="D23" s="12"/>
      <c r="E23" s="40"/>
      <c r="F23" s="41" t="s">
        <v>119</v>
      </c>
      <c r="G23" s="10">
        <v>25000</v>
      </c>
      <c r="H23" s="41">
        <v>325000</v>
      </c>
      <c r="I23" s="12">
        <f t="shared" si="1"/>
        <v>350000</v>
      </c>
    </row>
    <row r="24" spans="1:9" s="16" customFormat="1" ht="23.1" customHeight="1" x14ac:dyDescent="0.2">
      <c r="A24" s="605" t="s">
        <v>115</v>
      </c>
      <c r="B24" s="204">
        <f>SUM(B17:B23)</f>
        <v>32676658</v>
      </c>
      <c r="C24" s="204">
        <f t="shared" ref="C24:D24" si="3">SUM(C17:C23)</f>
        <v>8942246</v>
      </c>
      <c r="D24" s="204">
        <f t="shared" si="3"/>
        <v>41618904</v>
      </c>
      <c r="E24" s="38"/>
      <c r="F24" s="605" t="s">
        <v>116</v>
      </c>
      <c r="G24" s="204">
        <f>SUM(G20:G23)</f>
        <v>32676658</v>
      </c>
      <c r="H24" s="606">
        <f>SUM(H20:H23)</f>
        <v>8942246</v>
      </c>
      <c r="I24" s="603">
        <f t="shared" si="1"/>
        <v>41618904</v>
      </c>
    </row>
    <row r="25" spans="1:9" s="16" customFormat="1" ht="23.1" customHeight="1" x14ac:dyDescent="0.2">
      <c r="A25" s="605" t="s">
        <v>216</v>
      </c>
      <c r="B25" s="204">
        <f>SUM(B11+B24)</f>
        <v>53026777</v>
      </c>
      <c r="C25" s="606">
        <f>SUM(C11+C24)</f>
        <v>10465273</v>
      </c>
      <c r="D25" s="603">
        <f>SUM(B25:C25)</f>
        <v>63492050</v>
      </c>
      <c r="E25" s="38"/>
      <c r="F25" s="605" t="s">
        <v>216</v>
      </c>
      <c r="G25" s="608">
        <f>SUM(G11+G24)</f>
        <v>53026777</v>
      </c>
      <c r="H25" s="607">
        <f>SUM(H11+H24)</f>
        <v>10465273</v>
      </c>
      <c r="I25" s="603">
        <f t="shared" si="1"/>
        <v>63492050</v>
      </c>
    </row>
    <row r="26" spans="1:9" s="16" customFormat="1" ht="23.1" customHeight="1" x14ac:dyDescent="0.2">
      <c r="A26" s="604" t="s">
        <v>1037</v>
      </c>
      <c r="B26" s="170">
        <v>10000000</v>
      </c>
      <c r="C26" s="604">
        <v>1500000</v>
      </c>
      <c r="D26" s="12">
        <f>SUM(B26:C26)</f>
        <v>11500000</v>
      </c>
      <c r="E26" s="40"/>
      <c r="F26" s="604" t="s">
        <v>3</v>
      </c>
      <c r="G26" s="170">
        <v>10000000</v>
      </c>
      <c r="H26" s="604">
        <v>1500000</v>
      </c>
      <c r="I26" s="12">
        <f t="shared" si="1"/>
        <v>11500000</v>
      </c>
    </row>
    <row r="27" spans="1:9" s="16" customFormat="1" ht="20.100000000000001" customHeight="1" x14ac:dyDescent="0.2">
      <c r="A27" s="42" t="s">
        <v>4</v>
      </c>
      <c r="B27" s="84">
        <f>SUM(B25:B26)</f>
        <v>63026777</v>
      </c>
      <c r="C27" s="42">
        <f>SUM(C25:C26)</f>
        <v>11965273</v>
      </c>
      <c r="D27" s="567">
        <f>SUM(B27:C27)</f>
        <v>74992050</v>
      </c>
      <c r="E27" s="40"/>
      <c r="F27" s="42" t="s">
        <v>4</v>
      </c>
      <c r="G27" s="42">
        <f>SUM(G25:G26)</f>
        <v>63026777</v>
      </c>
      <c r="H27" s="42">
        <f>SUM(H25:H26)</f>
        <v>11965273</v>
      </c>
      <c r="I27" s="567">
        <f t="shared" si="1"/>
        <v>74992050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2021.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8"/>
  <sheetViews>
    <sheetView topLeftCell="A10" zoomScaleNormal="100" workbookViewId="0">
      <selection activeCell="A28" sqref="A28"/>
    </sheetView>
  </sheetViews>
  <sheetFormatPr defaultRowHeight="12" x14ac:dyDescent="0.2"/>
  <cols>
    <col min="1" max="1" width="7.5" style="23" customWidth="1"/>
    <col min="2" max="2" width="65.5" style="21" customWidth="1"/>
    <col min="3" max="4" width="16.33203125" style="21" customWidth="1"/>
    <col min="5" max="5" width="15.33203125" style="21" customWidth="1"/>
    <col min="6" max="16384" width="9.33203125" style="19"/>
  </cols>
  <sheetData>
    <row r="1" spans="1:5" s="16" customFormat="1" ht="55.5" customHeight="1" thickBot="1" x14ac:dyDescent="0.25">
      <c r="A1" s="49" t="s">
        <v>150</v>
      </c>
      <c r="B1" s="50" t="s">
        <v>137</v>
      </c>
      <c r="C1" s="54" t="s">
        <v>1038</v>
      </c>
      <c r="D1" s="602" t="s">
        <v>1010</v>
      </c>
      <c r="E1" s="54" t="s">
        <v>1039</v>
      </c>
    </row>
    <row r="2" spans="1:5" s="22" customFormat="1" ht="14.45" customHeight="1" x14ac:dyDescent="0.2">
      <c r="A2" s="43" t="s">
        <v>34</v>
      </c>
      <c r="B2" s="51" t="s">
        <v>117</v>
      </c>
      <c r="C2" s="51"/>
      <c r="D2" s="561"/>
      <c r="E2" s="51"/>
    </row>
    <row r="3" spans="1:5" s="16" customFormat="1" ht="14.45" customHeight="1" x14ac:dyDescent="0.2">
      <c r="A3" s="43" t="s">
        <v>35</v>
      </c>
      <c r="B3" s="51" t="s">
        <v>36</v>
      </c>
      <c r="C3" s="53"/>
      <c r="D3" s="561"/>
      <c r="E3" s="53"/>
    </row>
    <row r="4" spans="1:5" s="16" customFormat="1" ht="25.5" customHeight="1" x14ac:dyDescent="0.2">
      <c r="A4" s="94" t="s">
        <v>37</v>
      </c>
      <c r="B4" s="576" t="s">
        <v>1040</v>
      </c>
      <c r="C4" s="53">
        <v>4225717</v>
      </c>
      <c r="D4" s="562">
        <v>86462</v>
      </c>
      <c r="E4" s="53">
        <f t="shared" ref="E4:E38" si="0">SUM(C4:D4)</f>
        <v>4312179</v>
      </c>
    </row>
    <row r="5" spans="1:5" s="16" customFormat="1" ht="18" customHeight="1" x14ac:dyDescent="0.2">
      <c r="A5" s="937" t="s">
        <v>1345</v>
      </c>
      <c r="B5" s="897" t="s">
        <v>1346</v>
      </c>
      <c r="C5" s="897"/>
      <c r="D5" s="897">
        <v>47257</v>
      </c>
      <c r="E5" s="53">
        <f t="shared" si="0"/>
        <v>47257</v>
      </c>
    </row>
    <row r="6" spans="1:5" s="16" customFormat="1" ht="24.75" customHeight="1" x14ac:dyDescent="0.2">
      <c r="A6" s="94" t="s">
        <v>1</v>
      </c>
      <c r="B6" s="53" t="s">
        <v>2</v>
      </c>
      <c r="C6" s="53">
        <v>43350</v>
      </c>
      <c r="D6" s="562"/>
      <c r="E6" s="53">
        <f t="shared" si="0"/>
        <v>43350</v>
      </c>
    </row>
    <row r="7" spans="1:5" s="16" customFormat="1" ht="18.75" customHeight="1" x14ac:dyDescent="0.2">
      <c r="A7" s="94" t="s">
        <v>130</v>
      </c>
      <c r="B7" s="53" t="s">
        <v>131</v>
      </c>
      <c r="C7" s="53">
        <v>1821303</v>
      </c>
      <c r="D7" s="562">
        <v>1380143</v>
      </c>
      <c r="E7" s="53">
        <f t="shared" si="0"/>
        <v>3201446</v>
      </c>
    </row>
    <row r="8" spans="1:5" s="17" customFormat="1" ht="22.5" customHeight="1" x14ac:dyDescent="0.2">
      <c r="A8" s="54"/>
      <c r="B8" s="48" t="s">
        <v>38</v>
      </c>
      <c r="C8" s="48">
        <f>SUM(C4:C7)</f>
        <v>6090370</v>
      </c>
      <c r="D8" s="48">
        <f>SUM(D4:D7)</f>
        <v>1513862</v>
      </c>
      <c r="E8" s="566">
        <f t="shared" si="0"/>
        <v>7604232</v>
      </c>
    </row>
    <row r="9" spans="1:5" s="16" customFormat="1" ht="14.45" customHeight="1" x14ac:dyDescent="0.2">
      <c r="A9" s="43" t="s">
        <v>39</v>
      </c>
      <c r="B9" s="51" t="s">
        <v>40</v>
      </c>
      <c r="C9" s="53"/>
      <c r="D9" s="561"/>
      <c r="E9" s="53"/>
    </row>
    <row r="10" spans="1:5" s="16" customFormat="1" ht="14.45" customHeight="1" x14ac:dyDescent="0.2">
      <c r="A10" s="94" t="s">
        <v>41</v>
      </c>
      <c r="B10" s="53" t="s">
        <v>42</v>
      </c>
      <c r="C10" s="53"/>
      <c r="D10" s="562">
        <v>647918</v>
      </c>
      <c r="E10" s="53">
        <f t="shared" si="0"/>
        <v>647918</v>
      </c>
    </row>
    <row r="11" spans="1:5" s="16" customFormat="1" ht="17.25" customHeight="1" x14ac:dyDescent="0.2">
      <c r="A11" s="94" t="s">
        <v>43</v>
      </c>
      <c r="B11" s="53" t="s">
        <v>44</v>
      </c>
      <c r="C11" s="53">
        <v>10507163</v>
      </c>
      <c r="D11" s="562">
        <v>7506601</v>
      </c>
      <c r="E11" s="53">
        <f t="shared" si="0"/>
        <v>18013764</v>
      </c>
    </row>
    <row r="12" spans="1:5" s="17" customFormat="1" ht="18.75" customHeight="1" x14ac:dyDescent="0.2">
      <c r="A12" s="54"/>
      <c r="B12" s="48" t="s">
        <v>45</v>
      </c>
      <c r="C12" s="48">
        <f>SUM(C10:C11)</f>
        <v>10507163</v>
      </c>
      <c r="D12" s="48">
        <f>SUM(D10:D11)</f>
        <v>8154519</v>
      </c>
      <c r="E12" s="566">
        <f t="shared" si="0"/>
        <v>18661682</v>
      </c>
    </row>
    <row r="13" spans="1:5" s="16" customFormat="1" ht="14.45" customHeight="1" x14ac:dyDescent="0.2">
      <c r="A13" s="43" t="s">
        <v>46</v>
      </c>
      <c r="B13" s="51" t="s">
        <v>17</v>
      </c>
      <c r="C13" s="53"/>
      <c r="D13" s="561"/>
      <c r="E13" s="53"/>
    </row>
    <row r="14" spans="1:5" s="16" customFormat="1" ht="14.45" customHeight="1" x14ac:dyDescent="0.2">
      <c r="A14" s="106" t="s">
        <v>104</v>
      </c>
      <c r="B14" s="107" t="s">
        <v>105</v>
      </c>
      <c r="C14" s="53">
        <v>1091747</v>
      </c>
      <c r="D14" s="564"/>
      <c r="E14" s="53">
        <f t="shared" si="0"/>
        <v>1091747</v>
      </c>
    </row>
    <row r="15" spans="1:5" s="16" customFormat="1" ht="14.45" customHeight="1" x14ac:dyDescent="0.2">
      <c r="A15" s="94" t="s">
        <v>47</v>
      </c>
      <c r="B15" s="53" t="s">
        <v>49</v>
      </c>
      <c r="C15" s="53"/>
      <c r="D15" s="562"/>
      <c r="E15" s="53"/>
    </row>
    <row r="16" spans="1:5" s="16" customFormat="1" ht="14.45" customHeight="1" x14ac:dyDescent="0.2">
      <c r="A16" s="95" t="s">
        <v>48</v>
      </c>
      <c r="B16" s="53" t="s">
        <v>9</v>
      </c>
      <c r="C16" s="53">
        <v>3400000</v>
      </c>
      <c r="D16" s="562"/>
      <c r="E16" s="53">
        <f t="shared" si="0"/>
        <v>3400000</v>
      </c>
    </row>
    <row r="17" spans="1:5" s="16" customFormat="1" ht="15" customHeight="1" x14ac:dyDescent="0.2">
      <c r="A17" s="95" t="s">
        <v>53</v>
      </c>
      <c r="B17" s="53" t="s">
        <v>124</v>
      </c>
      <c r="C17" s="53"/>
      <c r="D17" s="562">
        <v>16000</v>
      </c>
      <c r="E17" s="53">
        <f t="shared" si="0"/>
        <v>16000</v>
      </c>
    </row>
    <row r="18" spans="1:5" s="16" customFormat="1" ht="14.45" customHeight="1" x14ac:dyDescent="0.2">
      <c r="A18" s="94" t="s">
        <v>54</v>
      </c>
      <c r="B18" s="53" t="s">
        <v>123</v>
      </c>
      <c r="C18" s="53">
        <v>8000</v>
      </c>
      <c r="D18" s="562"/>
      <c r="E18" s="53">
        <f t="shared" si="0"/>
        <v>8000</v>
      </c>
    </row>
    <row r="19" spans="1:5" ht="15" customHeight="1" x14ac:dyDescent="0.2">
      <c r="A19" s="54"/>
      <c r="B19" s="48" t="s">
        <v>55</v>
      </c>
      <c r="C19" s="48">
        <f>SUM(C13:C18)</f>
        <v>4499747</v>
      </c>
      <c r="D19" s="48">
        <f>SUM(D13:D18)</f>
        <v>16000</v>
      </c>
      <c r="E19" s="566">
        <f t="shared" si="0"/>
        <v>4515747</v>
      </c>
    </row>
    <row r="20" spans="1:5" s="16" customFormat="1" ht="15" customHeight="1" x14ac:dyDescent="0.2">
      <c r="A20" s="54" t="s">
        <v>56</v>
      </c>
      <c r="B20" s="48" t="s">
        <v>207</v>
      </c>
      <c r="C20" s="48">
        <v>5815745</v>
      </c>
      <c r="D20" s="48">
        <v>232043</v>
      </c>
      <c r="E20" s="566">
        <f t="shared" si="0"/>
        <v>6047788</v>
      </c>
    </row>
    <row r="21" spans="1:5" s="16" customFormat="1" ht="15" customHeight="1" x14ac:dyDescent="0.2">
      <c r="A21" s="43" t="s">
        <v>57</v>
      </c>
      <c r="B21" s="51" t="s">
        <v>208</v>
      </c>
      <c r="C21" s="53"/>
      <c r="D21" s="561"/>
      <c r="E21" s="53"/>
    </row>
    <row r="22" spans="1:5" s="16" customFormat="1" ht="15" customHeight="1" x14ac:dyDescent="0.2">
      <c r="A22" s="52" t="s">
        <v>58</v>
      </c>
      <c r="B22" s="53" t="s">
        <v>59</v>
      </c>
      <c r="C22" s="53">
        <v>200441</v>
      </c>
      <c r="D22" s="562">
        <v>110962</v>
      </c>
      <c r="E22" s="53">
        <f t="shared" si="0"/>
        <v>311403</v>
      </c>
    </row>
    <row r="23" spans="1:5" s="16" customFormat="1" ht="15" customHeight="1" x14ac:dyDescent="0.2">
      <c r="A23" s="52" t="s">
        <v>106</v>
      </c>
      <c r="B23" s="53" t="s">
        <v>107</v>
      </c>
      <c r="C23" s="53"/>
      <c r="D23" s="562"/>
      <c r="E23" s="53">
        <f t="shared" si="0"/>
        <v>0</v>
      </c>
    </row>
    <row r="24" spans="1:5" s="16" customFormat="1" ht="15" customHeight="1" x14ac:dyDescent="0.2">
      <c r="A24" s="80"/>
      <c r="B24" s="48" t="s">
        <v>60</v>
      </c>
      <c r="C24" s="48">
        <f>SUM(C22:C23)</f>
        <v>200441</v>
      </c>
      <c r="D24" s="48">
        <f>SUM(D22:D23)</f>
        <v>110962</v>
      </c>
      <c r="E24" s="566">
        <f t="shared" si="0"/>
        <v>311403</v>
      </c>
    </row>
    <row r="25" spans="1:5" s="16" customFormat="1" ht="15" customHeight="1" x14ac:dyDescent="0.2">
      <c r="A25" s="54" t="s">
        <v>61</v>
      </c>
      <c r="B25" s="48" t="s">
        <v>209</v>
      </c>
      <c r="C25" s="48"/>
      <c r="D25" s="563">
        <v>49816</v>
      </c>
      <c r="E25" s="566">
        <f t="shared" si="0"/>
        <v>49816</v>
      </c>
    </row>
    <row r="26" spans="1:5" s="16" customFormat="1" ht="15" customHeight="1" x14ac:dyDescent="0.2">
      <c r="A26" s="43" t="s">
        <v>62</v>
      </c>
      <c r="B26" s="51" t="s">
        <v>210</v>
      </c>
      <c r="C26" s="51"/>
      <c r="D26" s="561"/>
      <c r="E26" s="53"/>
    </row>
    <row r="27" spans="1:5" s="16" customFormat="1" ht="24.95" customHeight="1" x14ac:dyDescent="0.2">
      <c r="A27" s="52" t="s">
        <v>1018</v>
      </c>
      <c r="B27" s="53" t="s">
        <v>63</v>
      </c>
      <c r="C27" s="53">
        <v>3000</v>
      </c>
      <c r="D27" s="562"/>
      <c r="E27" s="53">
        <f t="shared" si="0"/>
        <v>3000</v>
      </c>
    </row>
    <row r="28" spans="1:5" s="16" customFormat="1" ht="15" customHeight="1" x14ac:dyDescent="0.2">
      <c r="A28" s="52" t="s">
        <v>1409</v>
      </c>
      <c r="B28" s="53" t="s">
        <v>64</v>
      </c>
      <c r="C28" s="53">
        <v>131863</v>
      </c>
      <c r="D28" s="562">
        <v>81796</v>
      </c>
      <c r="E28" s="53">
        <f t="shared" si="0"/>
        <v>213659</v>
      </c>
    </row>
    <row r="29" spans="1:5" s="16" customFormat="1" ht="15" customHeight="1" x14ac:dyDescent="0.2">
      <c r="A29" s="80"/>
      <c r="B29" s="48" t="s">
        <v>65</v>
      </c>
      <c r="C29" s="48">
        <f>SUM(C27:C28)</f>
        <v>134863</v>
      </c>
      <c r="D29" s="48">
        <f>SUM(D27:D28)</f>
        <v>81796</v>
      </c>
      <c r="E29" s="566">
        <f t="shared" si="0"/>
        <v>216659</v>
      </c>
    </row>
    <row r="30" spans="1:5" s="16" customFormat="1" ht="15" customHeight="1" x14ac:dyDescent="0.2">
      <c r="A30" s="54" t="s">
        <v>66</v>
      </c>
      <c r="B30" s="48" t="s">
        <v>144</v>
      </c>
      <c r="C30" s="48">
        <f>SUM(C8+C12+C19+C20+C24+C25+C29)</f>
        <v>27248329</v>
      </c>
      <c r="D30" s="48">
        <f>SUM(D8+D12+D19+D20+D24+D25+D29)</f>
        <v>10158998</v>
      </c>
      <c r="E30" s="566">
        <f t="shared" si="0"/>
        <v>37407327</v>
      </c>
    </row>
    <row r="31" spans="1:5" s="16" customFormat="1" ht="15.95" customHeight="1" x14ac:dyDescent="0.2">
      <c r="A31" s="43" t="s">
        <v>67</v>
      </c>
      <c r="B31" s="51" t="s">
        <v>211</v>
      </c>
      <c r="C31" s="51"/>
      <c r="D31" s="561"/>
      <c r="E31" s="53"/>
    </row>
    <row r="32" spans="1:5" s="16" customFormat="1" ht="14.45" customHeight="1" x14ac:dyDescent="0.2">
      <c r="A32" s="94" t="s">
        <v>68</v>
      </c>
      <c r="B32" s="53" t="s">
        <v>69</v>
      </c>
      <c r="C32" s="53"/>
      <c r="D32" s="562"/>
      <c r="E32" s="53"/>
    </row>
    <row r="33" spans="1:5" s="16" customFormat="1" ht="14.45" customHeight="1" x14ac:dyDescent="0.2">
      <c r="A33" s="96" t="s">
        <v>70</v>
      </c>
      <c r="B33" s="81" t="s">
        <v>71</v>
      </c>
      <c r="C33" s="53">
        <v>34841</v>
      </c>
      <c r="D33" s="565"/>
      <c r="E33" s="53">
        <f t="shared" si="0"/>
        <v>34841</v>
      </c>
    </row>
    <row r="34" spans="1:5" s="16" customFormat="1" ht="14.45" customHeight="1" x14ac:dyDescent="0.2">
      <c r="A34" s="96" t="s">
        <v>220</v>
      </c>
      <c r="B34" s="127" t="s">
        <v>219</v>
      </c>
      <c r="C34" s="53">
        <v>24600437</v>
      </c>
      <c r="D34" s="889">
        <v>1515000</v>
      </c>
      <c r="E34" s="53">
        <f t="shared" si="0"/>
        <v>26115437</v>
      </c>
    </row>
    <row r="35" spans="1:5" s="16" customFormat="1" ht="14.45" customHeight="1" x14ac:dyDescent="0.2">
      <c r="A35" s="96" t="s">
        <v>72</v>
      </c>
      <c r="B35" s="81" t="s">
        <v>146</v>
      </c>
      <c r="C35" s="53">
        <v>11143170</v>
      </c>
      <c r="D35" s="565">
        <v>291275</v>
      </c>
      <c r="E35" s="53">
        <f t="shared" si="0"/>
        <v>11434445</v>
      </c>
    </row>
    <row r="36" spans="1:5" s="16" customFormat="1" ht="14.45" customHeight="1" x14ac:dyDescent="0.2">
      <c r="A36" s="600" t="s">
        <v>1024</v>
      </c>
      <c r="B36" s="601" t="s">
        <v>1025</v>
      </c>
      <c r="C36" s="562"/>
      <c r="D36" s="565"/>
      <c r="E36" s="53">
        <f t="shared" si="0"/>
        <v>0</v>
      </c>
    </row>
    <row r="37" spans="1:5" s="16" customFormat="1" ht="14.45" customHeight="1" x14ac:dyDescent="0.2">
      <c r="A37" s="97"/>
      <c r="B37" s="48" t="s">
        <v>73</v>
      </c>
      <c r="C37" s="48">
        <f>SUM(C33:C35)</f>
        <v>35778448</v>
      </c>
      <c r="D37" s="48">
        <f>SUM(D33:D36)</f>
        <v>1806275</v>
      </c>
      <c r="E37" s="48">
        <f>SUM(E33:E36)</f>
        <v>37584723</v>
      </c>
    </row>
    <row r="38" spans="1:5" ht="15.95" customHeight="1" x14ac:dyDescent="0.2">
      <c r="A38" s="54"/>
      <c r="B38" s="48" t="s">
        <v>74</v>
      </c>
      <c r="C38" s="48">
        <f>SUM(C30+C37)</f>
        <v>63026777</v>
      </c>
      <c r="D38" s="48">
        <f>SUM(D30+D37)</f>
        <v>11965273</v>
      </c>
      <c r="E38" s="566">
        <f t="shared" si="0"/>
        <v>74992050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fitToHeight="0" orientation="portrait" r:id="rId1"/>
  <headerFooter alignWithMargins="0">
    <oddHeader>&amp;C&amp;"Times New Roman CE,Félkövér dőlt"ZALAEGERSZEG MEGYEI  JOGÚ  VÁROS  ÖNKORMÁNYZATA
ÖSSZESÍTŐ A BEVÉTELEKRŐL ROVATONKÉNT
2021.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60"/>
  <sheetViews>
    <sheetView zoomScale="96" zoomScaleNormal="96" workbookViewId="0">
      <pane xSplit="1" ySplit="2" topLeftCell="B42" activePane="bottomRight" state="frozen"/>
      <selection pane="topRight" activeCell="B1" sqref="B1"/>
      <selection pane="bottomLeft" activeCell="A141" sqref="A141"/>
      <selection pane="bottomRight" activeCell="J1" sqref="J1:J1048576"/>
    </sheetView>
  </sheetViews>
  <sheetFormatPr defaultRowHeight="12" x14ac:dyDescent="0.2"/>
  <cols>
    <col min="1" max="1" width="75.6640625" style="130" customWidth="1"/>
    <col min="2" max="2" width="9.33203125" style="130" customWidth="1"/>
    <col min="3" max="3" width="11.1640625" style="130" customWidth="1"/>
    <col min="4" max="4" width="10.6640625" style="130" customWidth="1"/>
    <col min="5" max="5" width="12.5" style="130" customWidth="1"/>
    <col min="6" max="8" width="11.1640625" style="130" customWidth="1"/>
    <col min="9" max="9" width="12.6640625" style="130" customWidth="1"/>
    <col min="10" max="10" width="16" style="130" hidden="1" customWidth="1"/>
    <col min="11" max="16384" width="9.33203125" style="130"/>
  </cols>
  <sheetData>
    <row r="1" spans="1:10" ht="21" customHeight="1" x14ac:dyDescent="0.2">
      <c r="A1" s="129"/>
      <c r="B1" s="941" t="s">
        <v>1041</v>
      </c>
      <c r="C1" s="942"/>
      <c r="D1" s="943" t="s">
        <v>1090</v>
      </c>
      <c r="E1" s="944"/>
      <c r="F1" s="941" t="s">
        <v>1041</v>
      </c>
      <c r="G1" s="942"/>
      <c r="H1" s="943" t="s">
        <v>1091</v>
      </c>
      <c r="I1" s="944"/>
      <c r="J1" s="619"/>
    </row>
    <row r="2" spans="1:10" ht="32.25" customHeight="1" x14ac:dyDescent="0.2">
      <c r="A2" s="131" t="s">
        <v>221</v>
      </c>
      <c r="B2" s="620" t="s">
        <v>225</v>
      </c>
      <c r="C2" s="620" t="s">
        <v>226</v>
      </c>
      <c r="D2" s="620" t="s">
        <v>222</v>
      </c>
      <c r="E2" s="621" t="s">
        <v>223</v>
      </c>
      <c r="F2" s="620" t="s">
        <v>225</v>
      </c>
      <c r="G2" s="620" t="s">
        <v>226</v>
      </c>
      <c r="H2" s="620" t="s">
        <v>222</v>
      </c>
      <c r="I2" s="621" t="s">
        <v>223</v>
      </c>
      <c r="J2" s="622" t="s">
        <v>1042</v>
      </c>
    </row>
    <row r="3" spans="1:10" ht="15.95" customHeight="1" x14ac:dyDescent="0.2">
      <c r="A3" s="623" t="s">
        <v>224</v>
      </c>
      <c r="B3" s="624"/>
      <c r="C3" s="624"/>
      <c r="D3" s="625"/>
      <c r="E3" s="625"/>
      <c r="F3" s="625"/>
      <c r="G3" s="625"/>
      <c r="H3" s="625"/>
      <c r="I3" s="625"/>
      <c r="J3" s="626"/>
    </row>
    <row r="4" spans="1:10" ht="15.95" customHeight="1" x14ac:dyDescent="0.2">
      <c r="A4" s="627" t="s">
        <v>1043</v>
      </c>
      <c r="B4" s="628"/>
      <c r="C4" s="628"/>
      <c r="D4" s="628"/>
      <c r="E4" s="628"/>
      <c r="F4" s="628"/>
      <c r="G4" s="628"/>
      <c r="H4" s="628"/>
      <c r="I4" s="628"/>
      <c r="J4" s="626"/>
    </row>
    <row r="5" spans="1:10" ht="15.95" customHeight="1" x14ac:dyDescent="0.2">
      <c r="A5" s="626" t="s">
        <v>1044</v>
      </c>
      <c r="B5" s="629"/>
      <c r="C5" s="629">
        <v>130.56</v>
      </c>
      <c r="D5" s="628">
        <v>5475000</v>
      </c>
      <c r="E5" s="628">
        <v>714816</v>
      </c>
      <c r="F5" s="629"/>
      <c r="G5" s="629">
        <v>130.56</v>
      </c>
      <c r="H5" s="628">
        <v>5492000</v>
      </c>
      <c r="I5" s="628">
        <v>717035</v>
      </c>
      <c r="J5" s="630">
        <v>717035520</v>
      </c>
    </row>
    <row r="6" spans="1:10" ht="15.95" customHeight="1" x14ac:dyDescent="0.2">
      <c r="A6" s="626" t="s">
        <v>1045</v>
      </c>
      <c r="B6" s="628"/>
      <c r="C6" s="628"/>
      <c r="E6" s="631"/>
      <c r="F6" s="628"/>
      <c r="G6" s="628"/>
      <c r="I6" s="631"/>
      <c r="J6" s="630"/>
    </row>
    <row r="7" spans="1:10" ht="15.95" customHeight="1" x14ac:dyDescent="0.2">
      <c r="A7" s="626" t="s">
        <v>1046</v>
      </c>
      <c r="B7" s="628"/>
      <c r="C7" s="628">
        <v>2369.1999999999998</v>
      </c>
      <c r="D7" s="632">
        <v>25200</v>
      </c>
      <c r="E7" s="628">
        <v>59704</v>
      </c>
      <c r="F7" s="628"/>
      <c r="G7" s="628">
        <v>2369.1999999999998</v>
      </c>
      <c r="H7" s="632">
        <v>25200</v>
      </c>
      <c r="I7" s="628">
        <v>59704</v>
      </c>
      <c r="J7" s="630">
        <v>59703840</v>
      </c>
    </row>
    <row r="8" spans="1:10" ht="15.95" customHeight="1" x14ac:dyDescent="0.2">
      <c r="A8" s="626" t="s">
        <v>1047</v>
      </c>
      <c r="B8" s="628"/>
      <c r="C8" s="628">
        <v>402.8</v>
      </c>
      <c r="D8" s="632">
        <v>415000</v>
      </c>
      <c r="E8" s="628">
        <v>167162</v>
      </c>
      <c r="F8" s="628"/>
      <c r="G8" s="628">
        <v>402.8</v>
      </c>
      <c r="H8" s="632">
        <v>415000</v>
      </c>
      <c r="I8" s="628">
        <v>167162</v>
      </c>
      <c r="J8" s="630">
        <v>167162000</v>
      </c>
    </row>
    <row r="9" spans="1:10" ht="15.95" customHeight="1" x14ac:dyDescent="0.2">
      <c r="A9" s="626" t="s">
        <v>1048</v>
      </c>
      <c r="B9" s="628"/>
      <c r="C9" s="628">
        <v>323446</v>
      </c>
      <c r="D9" s="632">
        <v>70</v>
      </c>
      <c r="E9" s="628">
        <v>22641</v>
      </c>
      <c r="F9" s="628"/>
      <c r="G9" s="628">
        <v>323446</v>
      </c>
      <c r="H9" s="632">
        <v>70</v>
      </c>
      <c r="I9" s="628">
        <v>22641</v>
      </c>
      <c r="J9" s="630">
        <v>22641220</v>
      </c>
    </row>
    <row r="10" spans="1:10" ht="15.95" customHeight="1" x14ac:dyDescent="0.2">
      <c r="A10" s="626" t="s">
        <v>1049</v>
      </c>
      <c r="B10" s="628"/>
      <c r="C10" s="629">
        <v>219.19</v>
      </c>
      <c r="D10" s="632">
        <v>470000</v>
      </c>
      <c r="E10" s="628">
        <v>103022</v>
      </c>
      <c r="F10" s="628"/>
      <c r="G10" s="629">
        <v>219.19</v>
      </c>
      <c r="H10" s="632">
        <v>480000</v>
      </c>
      <c r="I10" s="628">
        <v>105214</v>
      </c>
      <c r="J10" s="630">
        <v>105213601</v>
      </c>
    </row>
    <row r="11" spans="1:10" ht="15.95" customHeight="1" x14ac:dyDescent="0.2">
      <c r="A11" s="626" t="s">
        <v>1050</v>
      </c>
      <c r="B11" s="628">
        <v>56959</v>
      </c>
      <c r="C11" s="628"/>
      <c r="D11" s="632">
        <v>2700</v>
      </c>
      <c r="E11" s="632">
        <v>153789</v>
      </c>
      <c r="F11" s="628">
        <v>56959</v>
      </c>
      <c r="G11" s="628"/>
      <c r="H11" s="632">
        <v>2700</v>
      </c>
      <c r="I11" s="632">
        <v>153789</v>
      </c>
      <c r="J11" s="630">
        <v>153789300</v>
      </c>
    </row>
    <row r="12" spans="1:10" ht="15.95" customHeight="1" x14ac:dyDescent="0.2">
      <c r="A12" s="626" t="s">
        <v>1051</v>
      </c>
      <c r="B12" s="628">
        <v>4236</v>
      </c>
      <c r="C12" s="628"/>
      <c r="D12" s="632">
        <v>2550</v>
      </c>
      <c r="E12" s="632">
        <v>10802</v>
      </c>
      <c r="F12" s="628">
        <v>4236</v>
      </c>
      <c r="G12" s="628"/>
      <c r="H12" s="632">
        <v>2550</v>
      </c>
      <c r="I12" s="632">
        <v>10802</v>
      </c>
      <c r="J12" s="630">
        <v>10801800</v>
      </c>
    </row>
    <row r="13" spans="1:10" ht="15.95" customHeight="1" x14ac:dyDescent="0.2">
      <c r="A13" s="626" t="s">
        <v>1052</v>
      </c>
      <c r="B13" s="628"/>
      <c r="C13" s="628"/>
      <c r="D13" s="633"/>
      <c r="E13" s="628">
        <v>100</v>
      </c>
      <c r="F13" s="628"/>
      <c r="G13" s="628"/>
      <c r="H13" s="633"/>
      <c r="I13" s="628">
        <v>100</v>
      </c>
      <c r="J13" s="630">
        <v>100000</v>
      </c>
    </row>
    <row r="14" spans="1:10" ht="15.95" customHeight="1" x14ac:dyDescent="0.2">
      <c r="A14" s="627" t="s">
        <v>1053</v>
      </c>
      <c r="B14" s="628"/>
      <c r="C14" s="628"/>
      <c r="D14" s="633"/>
      <c r="E14" s="633"/>
      <c r="F14" s="628"/>
      <c r="G14" s="628"/>
      <c r="H14" s="633"/>
      <c r="I14" s="633"/>
      <c r="J14" s="630"/>
    </row>
    <row r="15" spans="1:10" ht="15.95" customHeight="1" x14ac:dyDescent="0.2">
      <c r="A15" s="626" t="s">
        <v>1054</v>
      </c>
      <c r="B15" s="628"/>
      <c r="C15" s="634">
        <v>1529.7</v>
      </c>
      <c r="D15" s="628">
        <v>97400</v>
      </c>
      <c r="E15" s="628">
        <v>148993</v>
      </c>
      <c r="F15" s="628"/>
      <c r="G15" s="634">
        <v>1528.3</v>
      </c>
      <c r="H15" s="628">
        <v>97400</v>
      </c>
      <c r="I15" s="628">
        <v>148856</v>
      </c>
      <c r="J15" s="630">
        <v>148856420</v>
      </c>
    </row>
    <row r="16" spans="1:10" ht="15.95" customHeight="1" x14ac:dyDescent="0.2">
      <c r="A16" s="635" t="s">
        <v>1055</v>
      </c>
      <c r="B16" s="628"/>
      <c r="C16" s="634">
        <v>137.9</v>
      </c>
      <c r="D16" s="628">
        <v>4861500</v>
      </c>
      <c r="E16" s="628">
        <v>670401</v>
      </c>
      <c r="F16" s="628"/>
      <c r="G16" s="634">
        <v>137.80000000000001</v>
      </c>
      <c r="H16" s="628">
        <v>4861500</v>
      </c>
      <c r="I16" s="628">
        <v>669915</v>
      </c>
      <c r="J16" s="630">
        <v>669914700</v>
      </c>
    </row>
    <row r="17" spans="1:10" ht="15.95" customHeight="1" x14ac:dyDescent="0.2">
      <c r="A17" s="626" t="s">
        <v>1056</v>
      </c>
      <c r="B17" s="628"/>
      <c r="C17" s="628"/>
      <c r="D17" s="628"/>
      <c r="E17" s="628"/>
      <c r="F17" s="628"/>
      <c r="G17" s="628"/>
      <c r="H17" s="628"/>
      <c r="I17" s="628"/>
      <c r="J17" s="630"/>
    </row>
    <row r="18" spans="1:10" ht="15.95" customHeight="1" x14ac:dyDescent="0.2">
      <c r="A18" s="626" t="s">
        <v>1057</v>
      </c>
      <c r="B18" s="628"/>
      <c r="C18" s="634">
        <v>39.299999999999997</v>
      </c>
      <c r="D18" s="628">
        <v>432000</v>
      </c>
      <c r="E18" s="628">
        <v>16977</v>
      </c>
      <c r="F18" s="628"/>
      <c r="G18" s="634">
        <v>39.299999999999997</v>
      </c>
      <c r="H18" s="628">
        <v>432000</v>
      </c>
      <c r="I18" s="628">
        <v>16977</v>
      </c>
      <c r="J18" s="630">
        <v>16977600</v>
      </c>
    </row>
    <row r="19" spans="1:10" ht="20.25" customHeight="1" x14ac:dyDescent="0.2">
      <c r="A19" s="635" t="s">
        <v>1344</v>
      </c>
      <c r="B19" s="628"/>
      <c r="C19" s="628"/>
      <c r="D19" s="628">
        <v>363642</v>
      </c>
      <c r="E19" s="628"/>
      <c r="F19" s="628"/>
      <c r="G19" s="628">
        <v>4</v>
      </c>
      <c r="H19" s="628">
        <v>363642</v>
      </c>
      <c r="I19" s="628">
        <v>1584</v>
      </c>
      <c r="J19" s="630">
        <v>1584000</v>
      </c>
    </row>
    <row r="20" spans="1:10" ht="24.95" customHeight="1" x14ac:dyDescent="0.2">
      <c r="A20" s="635" t="s">
        <v>1058</v>
      </c>
      <c r="B20" s="628"/>
      <c r="C20" s="628">
        <v>2</v>
      </c>
      <c r="D20" s="628">
        <v>1611000</v>
      </c>
      <c r="E20" s="628">
        <v>3222</v>
      </c>
      <c r="F20" s="628"/>
      <c r="G20" s="628">
        <v>2</v>
      </c>
      <c r="H20" s="628">
        <v>1611000</v>
      </c>
      <c r="I20" s="628">
        <v>3222</v>
      </c>
      <c r="J20" s="630">
        <v>3222000</v>
      </c>
    </row>
    <row r="21" spans="1:10" ht="24.75" customHeight="1" x14ac:dyDescent="0.2">
      <c r="A21" s="635" t="s">
        <v>1059</v>
      </c>
      <c r="C21" s="634">
        <v>90</v>
      </c>
      <c r="D21" s="628">
        <v>2919000</v>
      </c>
      <c r="E21" s="628">
        <v>262710</v>
      </c>
      <c r="G21" s="634">
        <v>90</v>
      </c>
      <c r="H21" s="628">
        <v>3318000</v>
      </c>
      <c r="I21" s="628">
        <v>298620</v>
      </c>
      <c r="J21" s="630">
        <v>298620000</v>
      </c>
    </row>
    <row r="22" spans="1:10" ht="15" customHeight="1" x14ac:dyDescent="0.2">
      <c r="A22" s="627" t="s">
        <v>1060</v>
      </c>
      <c r="B22" s="628"/>
      <c r="C22" s="628"/>
      <c r="D22" s="628"/>
      <c r="E22" s="628"/>
      <c r="F22" s="628"/>
      <c r="G22" s="628"/>
      <c r="H22" s="628"/>
      <c r="I22" s="628"/>
      <c r="J22" s="630"/>
    </row>
    <row r="23" spans="1:10" ht="15" customHeight="1" x14ac:dyDescent="0.2">
      <c r="A23" s="626" t="s">
        <v>1061</v>
      </c>
      <c r="B23" s="628"/>
      <c r="C23" s="634">
        <v>8.6</v>
      </c>
      <c r="D23" s="628">
        <v>4100000</v>
      </c>
      <c r="E23" s="628">
        <v>35260</v>
      </c>
      <c r="F23" s="628"/>
      <c r="G23" s="634">
        <v>8.6</v>
      </c>
      <c r="H23" s="628">
        <v>4256200</v>
      </c>
      <c r="I23" s="628">
        <v>36603</v>
      </c>
      <c r="J23" s="630">
        <v>36603320</v>
      </c>
    </row>
    <row r="24" spans="1:10" ht="15" customHeight="1" x14ac:dyDescent="0.2">
      <c r="A24" s="626" t="s">
        <v>1062</v>
      </c>
      <c r="B24" s="628"/>
      <c r="C24" s="634">
        <v>23.1</v>
      </c>
      <c r="D24" s="628">
        <v>3650000</v>
      </c>
      <c r="E24" s="628">
        <v>84315</v>
      </c>
      <c r="F24" s="628"/>
      <c r="G24" s="634">
        <v>23.1</v>
      </c>
      <c r="H24" s="628">
        <v>3828555</v>
      </c>
      <c r="I24" s="628">
        <v>88440</v>
      </c>
      <c r="J24" s="630">
        <v>88439621</v>
      </c>
    </row>
    <row r="25" spans="1:10" ht="12.75" customHeight="1" x14ac:dyDescent="0.2">
      <c r="A25" s="626" t="s">
        <v>1063</v>
      </c>
      <c r="B25" s="628"/>
      <c r="C25" s="628">
        <v>325</v>
      </c>
      <c r="D25" s="628">
        <v>72996</v>
      </c>
      <c r="E25" s="628">
        <v>23724</v>
      </c>
      <c r="F25" s="628"/>
      <c r="G25" s="628">
        <v>325</v>
      </c>
      <c r="H25" s="628">
        <v>74328</v>
      </c>
      <c r="I25" s="628">
        <v>24157</v>
      </c>
      <c r="J25" s="630">
        <v>24156600</v>
      </c>
    </row>
    <row r="26" spans="1:10" ht="14.25" customHeight="1" x14ac:dyDescent="0.2">
      <c r="A26" s="626" t="s">
        <v>1064</v>
      </c>
      <c r="B26" s="628"/>
      <c r="C26" s="628"/>
      <c r="D26" s="628"/>
      <c r="E26" s="628"/>
      <c r="F26" s="628"/>
      <c r="G26" s="628"/>
      <c r="H26" s="628"/>
      <c r="I26" s="628"/>
      <c r="J26" s="630"/>
    </row>
    <row r="27" spans="1:10" ht="15" customHeight="1" x14ac:dyDescent="0.2">
      <c r="A27" s="626" t="s">
        <v>1065</v>
      </c>
      <c r="B27" s="628"/>
      <c r="C27" s="628">
        <v>2</v>
      </c>
      <c r="D27" s="628">
        <v>25000</v>
      </c>
      <c r="E27" s="628">
        <v>50</v>
      </c>
      <c r="F27" s="628"/>
      <c r="G27" s="628">
        <v>2</v>
      </c>
      <c r="H27" s="628">
        <v>25000</v>
      </c>
      <c r="I27" s="628">
        <v>50</v>
      </c>
      <c r="J27" s="630">
        <v>50000</v>
      </c>
    </row>
    <row r="28" spans="1:10" ht="15" customHeight="1" x14ac:dyDescent="0.2">
      <c r="A28" s="626" t="s">
        <v>1066</v>
      </c>
      <c r="B28" s="628"/>
      <c r="C28" s="628">
        <v>53</v>
      </c>
      <c r="D28" s="628">
        <v>471900</v>
      </c>
      <c r="E28" s="628">
        <v>25011</v>
      </c>
      <c r="F28" s="628"/>
      <c r="G28" s="628">
        <v>53</v>
      </c>
      <c r="H28" s="628">
        <v>491550</v>
      </c>
      <c r="I28" s="628">
        <v>26052</v>
      </c>
      <c r="J28" s="630">
        <v>26052150</v>
      </c>
    </row>
    <row r="29" spans="1:10" ht="15" customHeight="1" x14ac:dyDescent="0.2">
      <c r="A29" s="635" t="s">
        <v>1067</v>
      </c>
      <c r="B29" s="628"/>
      <c r="C29" s="628">
        <v>55</v>
      </c>
      <c r="D29" s="628">
        <v>325500</v>
      </c>
      <c r="E29" s="628">
        <v>17902</v>
      </c>
      <c r="F29" s="628"/>
      <c r="G29" s="628">
        <v>55</v>
      </c>
      <c r="H29" s="628">
        <v>336285</v>
      </c>
      <c r="I29" s="628">
        <v>18496</v>
      </c>
      <c r="J29" s="630">
        <v>18495675</v>
      </c>
    </row>
    <row r="30" spans="1:10" ht="21.75" customHeight="1" x14ac:dyDescent="0.2">
      <c r="A30" s="635" t="s">
        <v>1068</v>
      </c>
      <c r="B30" s="628"/>
      <c r="C30" s="628">
        <v>4</v>
      </c>
      <c r="D30" s="628">
        <v>805200</v>
      </c>
      <c r="E30" s="628">
        <v>3221</v>
      </c>
      <c r="F30" s="628"/>
      <c r="G30" s="628">
        <v>4</v>
      </c>
      <c r="H30" s="628">
        <v>821200</v>
      </c>
      <c r="I30" s="628">
        <v>3285</v>
      </c>
      <c r="J30" s="630">
        <v>3284800</v>
      </c>
    </row>
    <row r="31" spans="1:10" ht="21.75" customHeight="1" x14ac:dyDescent="0.2">
      <c r="A31" s="635" t="s">
        <v>1069</v>
      </c>
      <c r="B31" s="628"/>
      <c r="C31" s="628">
        <v>19</v>
      </c>
      <c r="D31" s="628">
        <v>450000</v>
      </c>
      <c r="E31" s="628">
        <v>8550</v>
      </c>
      <c r="F31" s="628"/>
      <c r="G31" s="628">
        <v>19</v>
      </c>
      <c r="H31" s="628">
        <v>458580</v>
      </c>
      <c r="I31" s="628">
        <v>8713</v>
      </c>
      <c r="J31" s="630">
        <v>8713020</v>
      </c>
    </row>
    <row r="32" spans="1:10" ht="21" customHeight="1" x14ac:dyDescent="0.2">
      <c r="A32" s="635" t="s">
        <v>1070</v>
      </c>
      <c r="B32" s="628"/>
      <c r="C32" s="628">
        <v>9</v>
      </c>
      <c r="D32" s="628">
        <v>450000</v>
      </c>
      <c r="E32" s="628">
        <v>4050</v>
      </c>
      <c r="F32" s="628"/>
      <c r="G32" s="628">
        <v>9</v>
      </c>
      <c r="H32" s="628">
        <v>458580</v>
      </c>
      <c r="I32" s="628">
        <v>4127</v>
      </c>
      <c r="J32" s="630">
        <v>4127220</v>
      </c>
    </row>
    <row r="33" spans="1:10" ht="21" customHeight="1" x14ac:dyDescent="0.2">
      <c r="A33" s="636" t="s">
        <v>1071</v>
      </c>
      <c r="B33" s="628"/>
      <c r="C33" s="628"/>
      <c r="D33" s="628"/>
      <c r="E33" s="628"/>
      <c r="F33" s="628"/>
      <c r="G33" s="628"/>
      <c r="H33" s="628"/>
      <c r="I33" s="628"/>
      <c r="J33" s="630"/>
    </row>
    <row r="34" spans="1:10" ht="13.5" customHeight="1" x14ac:dyDescent="0.2">
      <c r="A34" s="626" t="s">
        <v>1072</v>
      </c>
      <c r="B34" s="628"/>
      <c r="C34" s="628"/>
      <c r="D34" s="628"/>
      <c r="E34" s="628"/>
      <c r="F34" s="628"/>
      <c r="G34" s="628"/>
      <c r="H34" s="628"/>
      <c r="I34" s="628"/>
      <c r="J34" s="630"/>
    </row>
    <row r="35" spans="1:10" ht="13.5" customHeight="1" x14ac:dyDescent="0.2">
      <c r="A35" s="626" t="s">
        <v>1073</v>
      </c>
      <c r="B35" s="628"/>
      <c r="C35" s="634">
        <v>25</v>
      </c>
      <c r="D35" s="628">
        <v>5100000</v>
      </c>
      <c r="E35" s="628">
        <v>127500</v>
      </c>
      <c r="F35" s="628"/>
      <c r="G35" s="634">
        <v>25</v>
      </c>
      <c r="H35" s="628">
        <v>5100000</v>
      </c>
      <c r="I35" s="628">
        <v>127500</v>
      </c>
      <c r="J35" s="630">
        <v>127500000</v>
      </c>
    </row>
    <row r="36" spans="1:10" ht="26.25" customHeight="1" x14ac:dyDescent="0.2">
      <c r="A36" s="635" t="s">
        <v>1074</v>
      </c>
      <c r="B36" s="628"/>
      <c r="C36" s="634">
        <v>44.4</v>
      </c>
      <c r="D36" s="628">
        <v>4260000</v>
      </c>
      <c r="E36" s="628">
        <v>189144</v>
      </c>
      <c r="F36" s="628"/>
      <c r="G36" s="634">
        <v>50</v>
      </c>
      <c r="H36" s="628">
        <v>4260000</v>
      </c>
      <c r="I36" s="628">
        <v>213000</v>
      </c>
      <c r="J36" s="630">
        <v>213000000</v>
      </c>
    </row>
    <row r="37" spans="1:10" ht="13.5" customHeight="1" x14ac:dyDescent="0.2">
      <c r="A37" s="626" t="s">
        <v>1075</v>
      </c>
      <c r="B37" s="628"/>
      <c r="C37" s="628"/>
      <c r="D37" s="628"/>
      <c r="E37" s="628">
        <v>86299</v>
      </c>
      <c r="F37" s="628"/>
      <c r="G37" s="628"/>
      <c r="H37" s="628"/>
      <c r="I37" s="628">
        <v>47009</v>
      </c>
      <c r="J37" s="630">
        <v>47009000</v>
      </c>
    </row>
    <row r="38" spans="1:10" ht="26.25" customHeight="1" x14ac:dyDescent="0.2">
      <c r="A38" s="636" t="s">
        <v>1076</v>
      </c>
      <c r="B38" s="628"/>
      <c r="C38" s="628"/>
      <c r="D38" s="628"/>
      <c r="E38" s="628"/>
      <c r="F38" s="628"/>
      <c r="G38" s="628"/>
      <c r="H38" s="628"/>
      <c r="I38" s="628"/>
      <c r="J38" s="630"/>
    </row>
    <row r="39" spans="1:10" ht="13.5" customHeight="1" x14ac:dyDescent="0.2">
      <c r="A39" s="635" t="s">
        <v>1077</v>
      </c>
      <c r="B39" s="628"/>
      <c r="C39" s="634">
        <v>34.200000000000003</v>
      </c>
      <c r="D39" s="628">
        <v>4234040</v>
      </c>
      <c r="E39" s="628">
        <v>144804</v>
      </c>
      <c r="F39" s="628"/>
      <c r="G39" s="634">
        <v>34.200000000000003</v>
      </c>
      <c r="H39" s="628">
        <v>4442000</v>
      </c>
      <c r="I39" s="628">
        <v>151916</v>
      </c>
      <c r="J39" s="630">
        <v>151916400</v>
      </c>
    </row>
    <row r="40" spans="1:10" ht="13.5" customHeight="1" x14ac:dyDescent="0.2">
      <c r="A40" s="626" t="s">
        <v>1078</v>
      </c>
      <c r="B40" s="628"/>
      <c r="C40" s="628"/>
      <c r="D40" s="628"/>
      <c r="E40" s="628">
        <v>22914</v>
      </c>
      <c r="F40" s="628"/>
      <c r="G40" s="628"/>
      <c r="H40" s="628"/>
      <c r="I40" s="628">
        <v>24242</v>
      </c>
      <c r="J40" s="630">
        <v>24242000</v>
      </c>
    </row>
    <row r="41" spans="1:10" ht="13.5" customHeight="1" x14ac:dyDescent="0.2">
      <c r="A41" s="637" t="s">
        <v>1079</v>
      </c>
      <c r="B41" s="628"/>
      <c r="C41" s="628"/>
      <c r="D41" s="628"/>
      <c r="E41" s="628"/>
      <c r="F41" s="628"/>
      <c r="G41" s="628"/>
      <c r="H41" s="628"/>
      <c r="I41" s="628"/>
      <c r="J41" s="630"/>
    </row>
    <row r="42" spans="1:10" ht="13.5" customHeight="1" x14ac:dyDescent="0.2">
      <c r="A42" s="626" t="s">
        <v>1080</v>
      </c>
      <c r="B42" s="628"/>
      <c r="C42" s="634">
        <v>110.1</v>
      </c>
      <c r="D42" s="628">
        <v>2376000</v>
      </c>
      <c r="E42" s="628">
        <v>261597</v>
      </c>
      <c r="F42" s="628"/>
      <c r="G42" s="634">
        <v>89</v>
      </c>
      <c r="H42" s="628">
        <v>2430000</v>
      </c>
      <c r="I42" s="628">
        <v>216270</v>
      </c>
      <c r="J42" s="630">
        <v>216270000</v>
      </c>
    </row>
    <row r="43" spans="1:10" ht="13.5" customHeight="1" x14ac:dyDescent="0.2">
      <c r="A43" s="626" t="s">
        <v>1081</v>
      </c>
      <c r="B43" s="628"/>
      <c r="C43" s="628"/>
      <c r="D43" s="628"/>
      <c r="E43" s="628">
        <v>327231</v>
      </c>
      <c r="F43" s="628"/>
      <c r="G43" s="628"/>
      <c r="H43" s="628"/>
      <c r="I43" s="628">
        <v>321802</v>
      </c>
      <c r="J43" s="630">
        <v>321801721</v>
      </c>
    </row>
    <row r="44" spans="1:10" ht="13.5" customHeight="1" x14ac:dyDescent="0.2">
      <c r="A44" s="626" t="s">
        <v>1082</v>
      </c>
      <c r="B44" s="628"/>
      <c r="C44" s="628">
        <v>1960</v>
      </c>
      <c r="D44" s="628">
        <v>285</v>
      </c>
      <c r="E44" s="628">
        <v>559</v>
      </c>
      <c r="F44" s="628"/>
      <c r="G44" s="628">
        <v>1966</v>
      </c>
      <c r="H44" s="628">
        <v>285</v>
      </c>
      <c r="I44" s="628">
        <v>560</v>
      </c>
      <c r="J44" s="630">
        <v>560310</v>
      </c>
    </row>
    <row r="45" spans="1:10" ht="13.5" customHeight="1" x14ac:dyDescent="0.2">
      <c r="A45" s="627" t="s">
        <v>1083</v>
      </c>
      <c r="B45" s="628"/>
      <c r="C45" s="628"/>
      <c r="D45" s="628"/>
      <c r="E45" s="628"/>
      <c r="F45" s="628"/>
      <c r="G45" s="628"/>
      <c r="H45" s="628"/>
      <c r="I45" s="628"/>
      <c r="J45" s="630"/>
    </row>
    <row r="46" spans="1:10" ht="13.5" customHeight="1" x14ac:dyDescent="0.2">
      <c r="A46" s="635" t="s">
        <v>1084</v>
      </c>
      <c r="B46" s="628">
        <v>56959</v>
      </c>
      <c r="C46" s="628"/>
      <c r="D46" s="628">
        <v>950</v>
      </c>
      <c r="E46" s="628">
        <v>54111</v>
      </c>
      <c r="F46" s="628">
        <v>56959</v>
      </c>
      <c r="G46" s="628"/>
      <c r="H46" s="628">
        <v>961</v>
      </c>
      <c r="I46" s="628">
        <v>54738</v>
      </c>
      <c r="J46" s="630">
        <v>54737599</v>
      </c>
    </row>
    <row r="47" spans="1:10" ht="24.95" customHeight="1" x14ac:dyDescent="0.2">
      <c r="A47" s="635" t="s">
        <v>1085</v>
      </c>
      <c r="B47" s="628"/>
      <c r="C47" s="628"/>
      <c r="D47" s="628"/>
      <c r="E47" s="628">
        <v>175476</v>
      </c>
      <c r="F47" s="628"/>
      <c r="G47" s="628"/>
      <c r="H47" s="628"/>
      <c r="I47" s="628">
        <v>175476</v>
      </c>
      <c r="J47" s="630">
        <v>175476000</v>
      </c>
    </row>
    <row r="48" spans="1:10" ht="17.25" customHeight="1" x14ac:dyDescent="0.2">
      <c r="A48" s="638" t="s">
        <v>1086</v>
      </c>
      <c r="B48" s="628"/>
      <c r="C48" s="628"/>
      <c r="D48" s="628"/>
      <c r="E48" s="628"/>
      <c r="F48" s="628"/>
      <c r="G48" s="628"/>
      <c r="H48" s="628"/>
      <c r="I48" s="628"/>
      <c r="J48" s="630"/>
    </row>
    <row r="49" spans="1:10" ht="17.25" customHeight="1" x14ac:dyDescent="0.2">
      <c r="A49" s="803" t="s">
        <v>1273</v>
      </c>
      <c r="B49" s="801"/>
      <c r="C49" s="801"/>
      <c r="D49" s="801"/>
      <c r="E49" s="801"/>
      <c r="F49" s="801"/>
      <c r="G49" s="801"/>
      <c r="H49" s="801"/>
      <c r="I49" s="801">
        <v>100961</v>
      </c>
      <c r="J49" s="802">
        <v>100960456</v>
      </c>
    </row>
    <row r="50" spans="1:10" ht="17.25" customHeight="1" x14ac:dyDescent="0.2">
      <c r="A50" s="635" t="s">
        <v>1087</v>
      </c>
      <c r="B50" s="628"/>
      <c r="C50" s="628"/>
      <c r="D50" s="628"/>
      <c r="E50" s="628">
        <v>54460</v>
      </c>
      <c r="F50" s="628"/>
      <c r="G50" s="628"/>
      <c r="H50" s="628"/>
      <c r="I50" s="628">
        <v>54460</v>
      </c>
      <c r="J50" s="630">
        <v>54460453</v>
      </c>
    </row>
    <row r="51" spans="1:10" ht="18" customHeight="1" x14ac:dyDescent="0.2">
      <c r="A51" s="635" t="s">
        <v>1088</v>
      </c>
      <c r="B51" s="628"/>
      <c r="C51" s="628"/>
      <c r="D51" s="625"/>
      <c r="E51" s="625">
        <v>110200</v>
      </c>
      <c r="F51" s="628"/>
      <c r="G51" s="628"/>
      <c r="H51" s="625"/>
      <c r="I51" s="625">
        <v>110200</v>
      </c>
      <c r="J51" s="630">
        <v>110200000</v>
      </c>
    </row>
    <row r="52" spans="1:10" ht="24.95" customHeight="1" x14ac:dyDescent="0.2">
      <c r="A52" s="635" t="s">
        <v>1089</v>
      </c>
      <c r="B52" s="628"/>
      <c r="C52" s="628"/>
      <c r="D52" s="625"/>
      <c r="E52" s="625">
        <v>135000</v>
      </c>
      <c r="F52" s="628"/>
      <c r="G52" s="628"/>
      <c r="H52" s="625"/>
      <c r="I52" s="625">
        <v>135000</v>
      </c>
      <c r="J52" s="630">
        <v>135000000</v>
      </c>
    </row>
    <row r="53" spans="1:10" ht="18.75" customHeight="1" x14ac:dyDescent="0.2">
      <c r="A53" s="901" t="s">
        <v>1347</v>
      </c>
      <c r="B53" s="898"/>
      <c r="C53" s="898"/>
      <c r="D53" s="899"/>
      <c r="E53" s="899"/>
      <c r="F53" s="898"/>
      <c r="G53" s="898"/>
      <c r="H53" s="899"/>
      <c r="I53" s="899">
        <v>677</v>
      </c>
      <c r="J53" s="900">
        <v>677000</v>
      </c>
    </row>
    <row r="54" spans="1:10" ht="19.5" customHeight="1" x14ac:dyDescent="0.2">
      <c r="A54" s="803" t="s">
        <v>1274</v>
      </c>
      <c r="B54" s="801"/>
      <c r="C54" s="801"/>
      <c r="D54" s="804"/>
      <c r="E54" s="804"/>
      <c r="F54" s="801"/>
      <c r="G54" s="801"/>
      <c r="H54" s="804"/>
      <c r="I54" s="804">
        <v>7901</v>
      </c>
      <c r="J54" s="802">
        <v>7901000</v>
      </c>
    </row>
    <row r="55" spans="1:10" ht="19.5" customHeight="1" x14ac:dyDescent="0.2">
      <c r="A55" s="882" t="s">
        <v>1335</v>
      </c>
      <c r="B55" s="883"/>
      <c r="C55" s="883"/>
      <c r="D55" s="884"/>
      <c r="E55" s="884"/>
      <c r="F55" s="883"/>
      <c r="G55" s="883"/>
      <c r="H55" s="884"/>
      <c r="I55" s="884">
        <v>40080</v>
      </c>
      <c r="J55" s="885">
        <v>40079730</v>
      </c>
    </row>
    <row r="56" spans="1:10" ht="19.5" customHeight="1" x14ac:dyDescent="0.2">
      <c r="A56" s="902" t="s">
        <v>1348</v>
      </c>
      <c r="B56" s="898"/>
      <c r="C56" s="898"/>
      <c r="D56" s="899"/>
      <c r="E56" s="899"/>
      <c r="F56" s="898"/>
      <c r="G56" s="898"/>
      <c r="H56" s="899"/>
      <c r="I56" s="899">
        <v>10017</v>
      </c>
      <c r="J56" s="900">
        <v>10016933</v>
      </c>
    </row>
    <row r="57" spans="1:10" ht="19.5" customHeight="1" x14ac:dyDescent="0.2">
      <c r="A57" s="882" t="s">
        <v>1336</v>
      </c>
      <c r="B57" s="883"/>
      <c r="C57" s="883"/>
      <c r="D57" s="884"/>
      <c r="E57" s="884"/>
      <c r="F57" s="883"/>
      <c r="G57" s="883"/>
      <c r="H57" s="884"/>
      <c r="I57" s="884">
        <v>630000</v>
      </c>
      <c r="J57" s="885">
        <v>630000000</v>
      </c>
    </row>
    <row r="58" spans="1:10" ht="13.5" customHeight="1" x14ac:dyDescent="0.2">
      <c r="A58" s="639" t="s">
        <v>227</v>
      </c>
      <c r="B58" s="640"/>
      <c r="C58" s="640"/>
      <c r="D58" s="640"/>
      <c r="E58" s="640">
        <f>SUM(E5:E57)</f>
        <v>4225717</v>
      </c>
      <c r="F58" s="640"/>
      <c r="G58" s="640"/>
      <c r="H58" s="640"/>
      <c r="I58" s="640">
        <f t="shared" ref="I58:J58" si="0">SUM(I5:I57)</f>
        <v>5007353</v>
      </c>
      <c r="J58" s="640">
        <f t="shared" si="0"/>
        <v>5007353009</v>
      </c>
    </row>
    <row r="59" spans="1:10" ht="12.75" customHeight="1" x14ac:dyDescent="0.2">
      <c r="A59" s="641"/>
      <c r="B59" s="642"/>
      <c r="C59" s="642"/>
      <c r="D59" s="643"/>
      <c r="E59" s="643"/>
      <c r="F59" s="643"/>
      <c r="G59" s="643"/>
      <c r="H59" s="643"/>
      <c r="I59" s="643"/>
      <c r="J59" s="644"/>
    </row>
    <row r="60" spans="1:10" ht="12.75" customHeight="1" x14ac:dyDescent="0.2">
      <c r="E60" s="645"/>
      <c r="F60" s="645"/>
      <c r="G60" s="645"/>
      <c r="H60" s="645"/>
      <c r="I60" s="645"/>
      <c r="J60" s="645"/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8" firstPageNumber="0" orientation="portrait" r:id="rId1"/>
  <headerFooter alignWithMargins="0">
    <oddHeader>&amp;C&amp;"Times New Roman,Félkövér dőlt"ÁLLAMI HOZZÁJÁRULÁSOKBÓL SZÁRMAZÓ BEVÉTEL 2021.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zoomScale="98" zoomScaleNormal="98" workbookViewId="0">
      <selection activeCell="D3" sqref="D3"/>
    </sheetView>
  </sheetViews>
  <sheetFormatPr defaultRowHeight="12" x14ac:dyDescent="0.2"/>
  <cols>
    <col min="1" max="1" width="9.33203125" style="19"/>
    <col min="2" max="2" width="50.5" style="19" customWidth="1"/>
    <col min="3" max="5" width="16.33203125" style="19" customWidth="1"/>
    <col min="6" max="6" width="9.33203125" style="19"/>
    <col min="7" max="7" width="20.33203125" style="19" customWidth="1"/>
    <col min="8" max="16384" width="9.33203125" style="19"/>
  </cols>
  <sheetData>
    <row r="1" spans="1:5" s="46" customFormat="1" ht="50.1" customHeight="1" thickBot="1" x14ac:dyDescent="0.25">
      <c r="A1" s="63" t="s">
        <v>150</v>
      </c>
      <c r="B1" s="63" t="s">
        <v>137</v>
      </c>
      <c r="C1" s="63" t="s">
        <v>1038</v>
      </c>
      <c r="D1" s="63" t="s">
        <v>1010</v>
      </c>
      <c r="E1" s="63" t="s">
        <v>1039</v>
      </c>
    </row>
    <row r="2" spans="1:5" s="46" customFormat="1" ht="19.5" customHeight="1" x14ac:dyDescent="0.2">
      <c r="A2" s="92"/>
      <c r="B2" s="93" t="s">
        <v>143</v>
      </c>
      <c r="C2" s="93"/>
      <c r="D2" s="93"/>
      <c r="E2" s="92"/>
    </row>
    <row r="3" spans="1:5" s="47" customFormat="1" ht="12.75" x14ac:dyDescent="0.2">
      <c r="A3" s="65" t="s">
        <v>151</v>
      </c>
      <c r="B3" s="66" t="s">
        <v>121</v>
      </c>
      <c r="C3" s="671">
        <f>'[1]6'!D17</f>
        <v>4845616</v>
      </c>
      <c r="D3" s="569">
        <f>171265+táj.2!G771</f>
        <v>239534</v>
      </c>
      <c r="E3" s="78">
        <f>SUM(C3:D3)</f>
        <v>5085150</v>
      </c>
    </row>
    <row r="4" spans="1:5" s="29" customFormat="1" ht="12.75" x14ac:dyDescent="0.2">
      <c r="A4" s="65" t="s">
        <v>152</v>
      </c>
      <c r="B4" s="68" t="s">
        <v>203</v>
      </c>
      <c r="C4" s="671">
        <f>'[1]6'!E17</f>
        <v>845508</v>
      </c>
      <c r="D4" s="569">
        <f>26350+táj.2!H771</f>
        <v>36985</v>
      </c>
      <c r="E4" s="78">
        <f t="shared" ref="E4:E15" si="0">SUM(C4:D4)</f>
        <v>882493</v>
      </c>
    </row>
    <row r="5" spans="1:5" s="29" customFormat="1" ht="12.75" x14ac:dyDescent="0.2">
      <c r="A5" s="65" t="s">
        <v>153</v>
      </c>
      <c r="B5" s="70" t="s">
        <v>204</v>
      </c>
      <c r="C5" s="671">
        <f>'[1]6'!F17</f>
        <v>10577885</v>
      </c>
      <c r="D5" s="569">
        <f>239781+táj.2!I771</f>
        <v>730884</v>
      </c>
      <c r="E5" s="78">
        <f t="shared" si="0"/>
        <v>11308769</v>
      </c>
    </row>
    <row r="6" spans="1:5" s="29" customFormat="1" ht="12.75" x14ac:dyDescent="0.2">
      <c r="A6" s="65" t="s">
        <v>154</v>
      </c>
      <c r="B6" s="70" t="s">
        <v>18</v>
      </c>
      <c r="C6" s="671">
        <f>'[1]6'!G17</f>
        <v>99170</v>
      </c>
      <c r="D6" s="569">
        <f>492+táj.2!J771</f>
        <v>-158</v>
      </c>
      <c r="E6" s="78">
        <f t="shared" si="0"/>
        <v>99012</v>
      </c>
    </row>
    <row r="7" spans="1:5" s="29" customFormat="1" ht="12.75" x14ac:dyDescent="0.2">
      <c r="A7" s="65" t="s">
        <v>155</v>
      </c>
      <c r="B7" s="70" t="s">
        <v>33</v>
      </c>
      <c r="C7" s="671">
        <f>'[1]6'!H17</f>
        <v>3848053</v>
      </c>
      <c r="D7" s="569">
        <f>431054+táj.2!K771</f>
        <v>515782</v>
      </c>
      <c r="E7" s="78">
        <f t="shared" si="0"/>
        <v>4363835</v>
      </c>
    </row>
    <row r="8" spans="1:5" s="29" customFormat="1" ht="13.5" x14ac:dyDescent="0.2">
      <c r="A8" s="65"/>
      <c r="B8" s="64" t="s">
        <v>214</v>
      </c>
      <c r="C8" s="571">
        <f>SUM(C3:C7)</f>
        <v>20216232</v>
      </c>
      <c r="D8" s="571">
        <f t="shared" ref="D8:E8" si="1">SUM(D3:D7)</f>
        <v>1523027</v>
      </c>
      <c r="E8" s="571">
        <f t="shared" si="1"/>
        <v>21739259</v>
      </c>
    </row>
    <row r="9" spans="1:5" s="29" customFormat="1" ht="12.75" x14ac:dyDescent="0.2">
      <c r="A9" s="67" t="s">
        <v>156</v>
      </c>
      <c r="B9" s="69" t="s">
        <v>24</v>
      </c>
      <c r="C9" s="672">
        <f>'[1]6'!I17</f>
        <v>28753625</v>
      </c>
      <c r="D9" s="570">
        <f>-2397947+táj.2!L771</f>
        <v>5739442</v>
      </c>
      <c r="E9" s="78">
        <f t="shared" si="0"/>
        <v>34493067</v>
      </c>
    </row>
    <row r="10" spans="1:5" s="29" customFormat="1" ht="12.75" x14ac:dyDescent="0.2">
      <c r="A10" s="67" t="s">
        <v>157</v>
      </c>
      <c r="B10" s="69" t="s">
        <v>23</v>
      </c>
      <c r="C10" s="672">
        <f>'[1]6'!J17</f>
        <v>3638023</v>
      </c>
      <c r="D10" s="570">
        <f>2851416+táj.2!M771</f>
        <v>2853885</v>
      </c>
      <c r="E10" s="78">
        <f t="shared" si="0"/>
        <v>6491908</v>
      </c>
    </row>
    <row r="11" spans="1:5" s="29" customFormat="1" ht="12.75" x14ac:dyDescent="0.2">
      <c r="A11" s="67" t="s">
        <v>158</v>
      </c>
      <c r="B11" s="69" t="s">
        <v>85</v>
      </c>
      <c r="C11" s="672">
        <f>'[1]6'!K17</f>
        <v>113334</v>
      </c>
      <c r="D11" s="570">
        <f>16833+táj.2!N771</f>
        <v>23919</v>
      </c>
      <c r="E11" s="78">
        <f t="shared" si="0"/>
        <v>137253</v>
      </c>
    </row>
    <row r="12" spans="1:5" s="29" customFormat="1" ht="13.5" x14ac:dyDescent="0.2">
      <c r="A12" s="67"/>
      <c r="B12" s="79" t="s">
        <v>215</v>
      </c>
      <c r="C12" s="572">
        <f>SUM(C9:C11)</f>
        <v>32504982</v>
      </c>
      <c r="D12" s="572">
        <f>SUM(D9:D11)</f>
        <v>8617246</v>
      </c>
      <c r="E12" s="674">
        <f t="shared" si="0"/>
        <v>41122228</v>
      </c>
    </row>
    <row r="13" spans="1:5" s="29" customFormat="1" ht="18" customHeight="1" x14ac:dyDescent="0.2">
      <c r="A13" s="67" t="s">
        <v>86</v>
      </c>
      <c r="B13" s="79" t="s">
        <v>87</v>
      </c>
      <c r="C13" s="572">
        <f>SUM(C8+C12)</f>
        <v>52721214</v>
      </c>
      <c r="D13" s="572">
        <f>SUM(D8+D12)</f>
        <v>10140273</v>
      </c>
      <c r="E13" s="674">
        <f t="shared" si="0"/>
        <v>62861487</v>
      </c>
    </row>
    <row r="14" spans="1:5" s="29" customFormat="1" ht="16.5" customHeight="1" x14ac:dyDescent="0.2">
      <c r="A14" s="67" t="s">
        <v>88</v>
      </c>
      <c r="B14" s="79" t="s">
        <v>142</v>
      </c>
      <c r="C14" s="673">
        <f>'[1]6'!L17+'[1]6'!M17</f>
        <v>10305563</v>
      </c>
      <c r="D14" s="572">
        <f>1825000+táj.2!O771+táj.2!P771</f>
        <v>1825000</v>
      </c>
      <c r="E14" s="674">
        <f t="shared" si="0"/>
        <v>12130563</v>
      </c>
    </row>
    <row r="15" spans="1:5" s="30" customFormat="1" ht="18.75" customHeight="1" x14ac:dyDescent="0.2">
      <c r="A15" s="71"/>
      <c r="B15" s="72" t="s">
        <v>129</v>
      </c>
      <c r="C15" s="573">
        <f>SUM(C14+C13)</f>
        <v>63026777</v>
      </c>
      <c r="D15" s="573">
        <f>SUM(D14+D13)</f>
        <v>11965273</v>
      </c>
      <c r="E15" s="675">
        <f t="shared" si="0"/>
        <v>74992050</v>
      </c>
    </row>
    <row r="16" spans="1:5" s="15" customFormat="1" ht="12.75" x14ac:dyDescent="0.2">
      <c r="A16" s="74"/>
      <c r="B16" s="73"/>
      <c r="C16" s="73"/>
      <c r="D16" s="73"/>
      <c r="E16" s="73"/>
    </row>
    <row r="17" spans="1:5" s="1" customFormat="1" ht="12.75" x14ac:dyDescent="0.2">
      <c r="A17" s="74"/>
      <c r="B17" s="74"/>
      <c r="C17" s="74"/>
      <c r="D17" s="74"/>
      <c r="E17" s="74"/>
    </row>
    <row r="18" spans="1:5" s="1" customFormat="1" ht="12.75" x14ac:dyDescent="0.2">
      <c r="A18" s="74"/>
      <c r="B18" s="74"/>
      <c r="C18" s="74"/>
      <c r="D18" s="74"/>
      <c r="E18" s="74"/>
    </row>
    <row r="19" spans="1:5" s="1" customFormat="1" ht="12.75" x14ac:dyDescent="0.2">
      <c r="A19" s="74"/>
      <c r="B19" s="74"/>
      <c r="C19" s="74"/>
      <c r="D19" s="74"/>
      <c r="E19" s="74"/>
    </row>
    <row r="20" spans="1:5" s="1" customFormat="1" ht="12.75" x14ac:dyDescent="0.2">
      <c r="A20" s="74"/>
      <c r="B20" s="74"/>
      <c r="C20" s="74"/>
      <c r="D20" s="74"/>
      <c r="E20" s="74"/>
    </row>
    <row r="21" spans="1:5" s="1" customFormat="1" ht="12.75" x14ac:dyDescent="0.2">
      <c r="A21" s="74"/>
      <c r="B21" s="74"/>
      <c r="C21" s="74"/>
      <c r="D21" s="74"/>
      <c r="E21" s="74"/>
    </row>
    <row r="22" spans="1:5" s="1" customFormat="1" ht="12.75" x14ac:dyDescent="0.2">
      <c r="A22" s="74"/>
      <c r="B22" s="74"/>
      <c r="C22" s="74"/>
      <c r="D22" s="74"/>
      <c r="E22" s="74"/>
    </row>
    <row r="23" spans="1:5" s="1" customFormat="1" ht="12.75" x14ac:dyDescent="0.2">
      <c r="A23" s="74"/>
      <c r="B23" s="74"/>
      <c r="C23" s="74"/>
      <c r="D23" s="74"/>
      <c r="E23" s="74"/>
    </row>
    <row r="24" spans="1:5" s="1" customFormat="1" ht="12.75" x14ac:dyDescent="0.2">
      <c r="A24" s="74"/>
      <c r="B24" s="74"/>
      <c r="C24" s="74"/>
      <c r="D24" s="74"/>
      <c r="E24" s="74"/>
    </row>
    <row r="25" spans="1:5" s="1" customFormat="1" ht="12.75" x14ac:dyDescent="0.2">
      <c r="A25" s="74"/>
      <c r="B25" s="74"/>
      <c r="C25" s="74"/>
      <c r="D25" s="74"/>
      <c r="E25" s="74"/>
    </row>
    <row r="26" spans="1:5" s="1" customFormat="1" ht="12.75" x14ac:dyDescent="0.2">
      <c r="A26" s="75"/>
      <c r="B26" s="74"/>
      <c r="C26" s="74"/>
      <c r="D26" s="74"/>
      <c r="E26" s="74"/>
    </row>
    <row r="27" spans="1:5" ht="12.75" x14ac:dyDescent="0.2">
      <c r="A27" s="75"/>
      <c r="B27" s="75"/>
      <c r="C27" s="75"/>
      <c r="D27" s="75"/>
      <c r="E27" s="75"/>
    </row>
    <row r="28" spans="1:5" ht="12.75" x14ac:dyDescent="0.2">
      <c r="A28" s="75"/>
      <c r="B28" s="75"/>
      <c r="C28" s="75"/>
      <c r="D28" s="75"/>
      <c r="E28" s="75"/>
    </row>
    <row r="29" spans="1:5" ht="12.75" x14ac:dyDescent="0.2">
      <c r="A29" s="75"/>
      <c r="B29" s="75"/>
      <c r="C29" s="75"/>
      <c r="D29" s="75"/>
      <c r="E29" s="75"/>
    </row>
    <row r="30" spans="1:5" ht="12.75" x14ac:dyDescent="0.2">
      <c r="A30" s="75"/>
      <c r="B30" s="75"/>
      <c r="C30" s="75"/>
      <c r="D30" s="75"/>
      <c r="E30" s="75"/>
    </row>
    <row r="31" spans="1:5" ht="12.75" x14ac:dyDescent="0.2">
      <c r="A31" s="75"/>
      <c r="B31" s="75"/>
      <c r="C31" s="75"/>
      <c r="D31" s="75"/>
      <c r="E31" s="75"/>
    </row>
    <row r="32" spans="1:5" ht="12.75" x14ac:dyDescent="0.2">
      <c r="B32" s="75"/>
      <c r="C32" s="75"/>
      <c r="D32" s="75"/>
      <c r="E32" s="75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2021.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>
    <pageSetUpPr fitToPage="1"/>
  </sheetPr>
  <dimension ref="A1:N28"/>
  <sheetViews>
    <sheetView zoomScale="90" workbookViewId="0">
      <pane ySplit="2" topLeftCell="A3" activePane="bottomLeft" state="frozen"/>
      <selection activeCell="G26" sqref="G26"/>
      <selection pane="bottomLeft" activeCell="D17" sqref="D17"/>
    </sheetView>
  </sheetViews>
  <sheetFormatPr defaultRowHeight="12.75" x14ac:dyDescent="0.2"/>
  <cols>
    <col min="1" max="1" width="3.33203125" style="24" customWidth="1"/>
    <col min="2" max="2" width="7" style="24" customWidth="1"/>
    <col min="3" max="3" width="23.33203125" style="24" customWidth="1"/>
    <col min="4" max="4" width="12.33203125" style="24" customWidth="1"/>
    <col min="5" max="5" width="14.33203125" style="24" customWidth="1"/>
    <col min="6" max="6" width="10.83203125" style="24" customWidth="1"/>
    <col min="7" max="7" width="10.33203125" style="24" customWidth="1"/>
    <col min="8" max="8" width="12" style="24" customWidth="1"/>
    <col min="9" max="9" width="14" style="24" customWidth="1"/>
    <col min="10" max="10" width="14.83203125" style="24" customWidth="1"/>
    <col min="11" max="11" width="13.33203125" style="24" customWidth="1"/>
    <col min="12" max="12" width="14.83203125" style="24" customWidth="1"/>
    <col min="13" max="13" width="13.6640625" style="24" customWidth="1"/>
    <col min="14" max="14" width="11.5" style="24" customWidth="1"/>
    <col min="15" max="16384" width="9.33203125" style="24"/>
  </cols>
  <sheetData>
    <row r="1" spans="1:14" x14ac:dyDescent="0.2">
      <c r="A1" s="949" t="s">
        <v>97</v>
      </c>
      <c r="B1" s="949" t="s">
        <v>98</v>
      </c>
      <c r="C1" s="950" t="s">
        <v>137</v>
      </c>
      <c r="D1" s="947" t="s">
        <v>144</v>
      </c>
      <c r="E1" s="947"/>
      <c r="F1" s="947"/>
      <c r="G1" s="947"/>
      <c r="H1" s="947"/>
      <c r="I1" s="947"/>
      <c r="J1" s="947"/>
      <c r="K1" s="947" t="s">
        <v>211</v>
      </c>
      <c r="L1" s="947"/>
      <c r="M1" s="948"/>
      <c r="N1" s="945" t="s">
        <v>138</v>
      </c>
    </row>
    <row r="2" spans="1:14" s="25" customFormat="1" ht="54.95" customHeight="1" thickBot="1" x14ac:dyDescent="0.25">
      <c r="A2" s="949"/>
      <c r="B2" s="949"/>
      <c r="C2" s="950"/>
      <c r="D2" s="91" t="s">
        <v>15</v>
      </c>
      <c r="E2" s="91" t="s">
        <v>16</v>
      </c>
      <c r="F2" s="90" t="s">
        <v>17</v>
      </c>
      <c r="G2" s="88" t="s">
        <v>207</v>
      </c>
      <c r="H2" s="90" t="s">
        <v>208</v>
      </c>
      <c r="I2" s="90" t="s">
        <v>209</v>
      </c>
      <c r="J2" s="90" t="s">
        <v>210</v>
      </c>
      <c r="K2" s="90" t="s">
        <v>145</v>
      </c>
      <c r="L2" s="90" t="s">
        <v>146</v>
      </c>
      <c r="M2" s="100" t="s">
        <v>148</v>
      </c>
      <c r="N2" s="946"/>
    </row>
    <row r="3" spans="1:14" ht="17.100000000000001" customHeight="1" x14ac:dyDescent="0.2">
      <c r="A3" s="55">
        <v>1</v>
      </c>
      <c r="B3" s="55"/>
      <c r="C3" s="55" t="s">
        <v>195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101"/>
    </row>
    <row r="4" spans="1:14" ht="24.95" customHeight="1" x14ac:dyDescent="0.2">
      <c r="A4" s="56"/>
      <c r="B4" s="56">
        <v>12</v>
      </c>
      <c r="C4" s="99" t="s">
        <v>108</v>
      </c>
      <c r="D4" s="57">
        <f>'6'!E10</f>
        <v>0</v>
      </c>
      <c r="E4" s="57">
        <f>'6'!F10</f>
        <v>0</v>
      </c>
      <c r="F4" s="57">
        <f>'6'!G10</f>
        <v>0</v>
      </c>
      <c r="G4" s="57">
        <f>'6'!H10</f>
        <v>9906</v>
      </c>
      <c r="H4" s="57">
        <f>'6'!I10</f>
        <v>0</v>
      </c>
      <c r="I4" s="57">
        <f>'6'!J10</f>
        <v>243</v>
      </c>
      <c r="J4" s="57">
        <f>'6'!K10</f>
        <v>0</v>
      </c>
      <c r="K4" s="57">
        <f>'6'!L10</f>
        <v>0</v>
      </c>
      <c r="L4" s="57">
        <f>'6'!M10</f>
        <v>0</v>
      </c>
      <c r="M4" s="57">
        <f>'6'!N10</f>
        <v>0</v>
      </c>
      <c r="N4" s="57">
        <f>SUM(D4:M4)</f>
        <v>10149</v>
      </c>
    </row>
    <row r="5" spans="1:14" ht="17.100000000000001" customHeight="1" x14ac:dyDescent="0.2">
      <c r="A5" s="56"/>
      <c r="B5" s="56">
        <v>13</v>
      </c>
      <c r="C5" s="55" t="s">
        <v>109</v>
      </c>
      <c r="D5" s="57">
        <f>'6'!E34</f>
        <v>545726</v>
      </c>
      <c r="E5" s="57">
        <f>'6'!F34</f>
        <v>9000</v>
      </c>
      <c r="F5" s="57">
        <f>'6'!G34</f>
        <v>0</v>
      </c>
      <c r="G5" s="57">
        <f>'6'!H34</f>
        <v>6007</v>
      </c>
      <c r="H5" s="57">
        <f>'6'!I34</f>
        <v>0</v>
      </c>
      <c r="I5" s="57">
        <f>'6'!J34</f>
        <v>3611</v>
      </c>
      <c r="J5" s="57">
        <f>'6'!K34</f>
        <v>0</v>
      </c>
      <c r="K5" s="57">
        <f>'6'!L34</f>
        <v>0</v>
      </c>
      <c r="L5" s="57">
        <f>'6'!M34</f>
        <v>19955</v>
      </c>
      <c r="M5" s="57">
        <f>'6'!N34</f>
        <v>0</v>
      </c>
      <c r="N5" s="57">
        <f t="shared" ref="N5:N15" si="0">SUM(D5:M5)</f>
        <v>584299</v>
      </c>
    </row>
    <row r="6" spans="1:14" ht="17.100000000000001" customHeight="1" x14ac:dyDescent="0.2">
      <c r="A6" s="83"/>
      <c r="B6" s="83">
        <v>14</v>
      </c>
      <c r="C6" s="11" t="s">
        <v>197</v>
      </c>
      <c r="D6" s="57">
        <f>'6'!E39</f>
        <v>0</v>
      </c>
      <c r="E6" s="57">
        <f>'6'!F39</f>
        <v>0</v>
      </c>
      <c r="F6" s="57">
        <f>'6'!G39</f>
        <v>0</v>
      </c>
      <c r="G6" s="57">
        <f>'6'!H39</f>
        <v>5645</v>
      </c>
      <c r="H6" s="57">
        <f>'6'!I39</f>
        <v>0</v>
      </c>
      <c r="I6" s="57">
        <f>'6'!J39</f>
        <v>0</v>
      </c>
      <c r="J6" s="57">
        <f>'6'!K39</f>
        <v>0</v>
      </c>
      <c r="K6" s="57">
        <f>'6'!L39</f>
        <v>0</v>
      </c>
      <c r="L6" s="57">
        <f>'6'!M39</f>
        <v>6513</v>
      </c>
      <c r="M6" s="57">
        <f>'6'!N39</f>
        <v>0</v>
      </c>
      <c r="N6" s="57">
        <f t="shared" si="0"/>
        <v>12158</v>
      </c>
    </row>
    <row r="7" spans="1:14" ht="17.100000000000001" customHeight="1" x14ac:dyDescent="0.2">
      <c r="A7" s="56"/>
      <c r="B7" s="56">
        <v>15</v>
      </c>
      <c r="C7" s="55" t="s">
        <v>191</v>
      </c>
      <c r="D7" s="57">
        <f>'6'!E57</f>
        <v>0</v>
      </c>
      <c r="E7" s="57">
        <f>'6'!F57</f>
        <v>2499</v>
      </c>
      <c r="F7" s="57">
        <f>'6'!G57</f>
        <v>0</v>
      </c>
      <c r="G7" s="57">
        <f>'6'!H57</f>
        <v>393119</v>
      </c>
      <c r="H7" s="57">
        <f>'6'!I57</f>
        <v>0</v>
      </c>
      <c r="I7" s="57">
        <f>'6'!J57</f>
        <v>0</v>
      </c>
      <c r="J7" s="57">
        <f>'6'!K57</f>
        <v>2000</v>
      </c>
      <c r="K7" s="57">
        <f>'6'!L57</f>
        <v>0</v>
      </c>
      <c r="L7" s="57">
        <f>'6'!M57</f>
        <v>23867</v>
      </c>
      <c r="M7" s="57">
        <f>'6'!N57</f>
        <v>0</v>
      </c>
      <c r="N7" s="57">
        <f t="shared" si="0"/>
        <v>421485</v>
      </c>
    </row>
    <row r="8" spans="1:14" ht="17.100000000000001" customHeight="1" x14ac:dyDescent="0.2">
      <c r="A8" s="56"/>
      <c r="B8" s="56">
        <v>16</v>
      </c>
      <c r="C8" s="55" t="s">
        <v>128</v>
      </c>
      <c r="D8" s="57">
        <f>'6'!E112</f>
        <v>1529464</v>
      </c>
      <c r="E8" s="57">
        <f>'6'!F112</f>
        <v>17937015</v>
      </c>
      <c r="F8" s="57">
        <f>'6'!G112</f>
        <v>0</v>
      </c>
      <c r="G8" s="57">
        <f>'6'!H112</f>
        <v>3742721</v>
      </c>
      <c r="H8" s="57">
        <f>'6'!I112</f>
        <v>8794</v>
      </c>
      <c r="I8" s="57">
        <f>'6'!J112</f>
        <v>0</v>
      </c>
      <c r="J8" s="57">
        <f>'6'!K112</f>
        <v>131863</v>
      </c>
      <c r="K8" s="57">
        <f>'6'!L112</f>
        <v>34841</v>
      </c>
      <c r="L8" s="57">
        <f>'6'!M112</f>
        <v>7389022</v>
      </c>
      <c r="M8" s="57">
        <f>'6'!N112</f>
        <v>14019850</v>
      </c>
      <c r="N8" s="57">
        <f t="shared" si="0"/>
        <v>44793570</v>
      </c>
    </row>
    <row r="9" spans="1:14" ht="17.100000000000001" customHeight="1" x14ac:dyDescent="0.2">
      <c r="A9" s="56"/>
      <c r="B9" s="56">
        <v>17</v>
      </c>
      <c r="C9" s="55" t="s">
        <v>192</v>
      </c>
      <c r="D9" s="57">
        <f>'6'!E140</f>
        <v>0</v>
      </c>
      <c r="E9" s="57">
        <f>'6'!F140</f>
        <v>0</v>
      </c>
      <c r="F9" s="57">
        <f>'6'!G140</f>
        <v>0</v>
      </c>
      <c r="G9" s="57">
        <f>'6'!H140</f>
        <v>476264</v>
      </c>
      <c r="H9" s="57">
        <f>'6'!I140</f>
        <v>302609</v>
      </c>
      <c r="I9" s="57">
        <f>'6'!J140</f>
        <v>0</v>
      </c>
      <c r="J9" s="57">
        <f>'6'!K140</f>
        <v>3000</v>
      </c>
      <c r="K9" s="57">
        <f>'6'!L140</f>
        <v>0</v>
      </c>
      <c r="L9" s="57">
        <f>'6'!M140</f>
        <v>98016</v>
      </c>
      <c r="M9" s="57">
        <f>'6'!N140</f>
        <v>45587</v>
      </c>
      <c r="N9" s="57">
        <f t="shared" si="0"/>
        <v>925476</v>
      </c>
    </row>
    <row r="10" spans="1:14" ht="17.100000000000001" customHeight="1" x14ac:dyDescent="0.2">
      <c r="A10" s="56"/>
      <c r="B10" s="56">
        <v>18</v>
      </c>
      <c r="C10" s="55" t="s">
        <v>193</v>
      </c>
      <c r="D10" s="57">
        <f>'6'!E148</f>
        <v>0</v>
      </c>
      <c r="E10" s="57">
        <f>'6'!F148</f>
        <v>0</v>
      </c>
      <c r="F10" s="57">
        <f>'6'!G148</f>
        <v>3000</v>
      </c>
      <c r="G10" s="57">
        <f>'6'!H148</f>
        <v>77213</v>
      </c>
      <c r="H10" s="57">
        <f>'6'!I148</f>
        <v>0</v>
      </c>
      <c r="I10" s="57">
        <f>'6'!J148</f>
        <v>0</v>
      </c>
      <c r="J10" s="57">
        <f>'6'!K148</f>
        <v>0</v>
      </c>
      <c r="K10" s="57">
        <f>'6'!L148</f>
        <v>0</v>
      </c>
      <c r="L10" s="57">
        <f>'6'!M148</f>
        <v>0</v>
      </c>
      <c r="M10" s="57">
        <f>'6'!N148</f>
        <v>0</v>
      </c>
      <c r="N10" s="57">
        <f t="shared" si="0"/>
        <v>80213</v>
      </c>
    </row>
    <row r="11" spans="1:14" ht="17.100000000000001" customHeight="1" x14ac:dyDescent="0.2">
      <c r="A11" s="56"/>
      <c r="B11" s="56">
        <v>19</v>
      </c>
      <c r="C11" s="55" t="s">
        <v>95</v>
      </c>
      <c r="D11" s="57">
        <f>'6'!E178</f>
        <v>4450193</v>
      </c>
      <c r="E11" s="57">
        <f>'6'!F178</f>
        <v>647918</v>
      </c>
      <c r="F11" s="57">
        <f>'6'!G178</f>
        <v>4512747</v>
      </c>
      <c r="G11" s="57">
        <f>'6'!H178</f>
        <v>106285</v>
      </c>
      <c r="H11" s="57">
        <f>'6'!I178</f>
        <v>0</v>
      </c>
      <c r="I11" s="57">
        <f>'6'!J178</f>
        <v>23400</v>
      </c>
      <c r="J11" s="57">
        <f>'6'!K178</f>
        <v>500</v>
      </c>
      <c r="K11" s="57">
        <f>'6'!L178</f>
        <v>0</v>
      </c>
      <c r="L11" s="57">
        <f>'6'!M178</f>
        <v>3074627</v>
      </c>
      <c r="M11" s="57">
        <f>'6'!N178</f>
        <v>12050000</v>
      </c>
      <c r="N11" s="57">
        <f t="shared" si="0"/>
        <v>24865670</v>
      </c>
    </row>
    <row r="12" spans="1:14" ht="17.100000000000001" customHeight="1" x14ac:dyDescent="0.2">
      <c r="A12" s="56"/>
      <c r="B12" s="56">
        <v>22</v>
      </c>
      <c r="C12" s="87" t="s">
        <v>10</v>
      </c>
      <c r="D12" s="57">
        <f>'6'!E187</f>
        <v>190</v>
      </c>
      <c r="E12" s="57">
        <f>'6'!F187</f>
        <v>0</v>
      </c>
      <c r="F12" s="57">
        <f>'6'!G187</f>
        <v>0</v>
      </c>
      <c r="G12" s="57">
        <f>'6'!H187</f>
        <v>8</v>
      </c>
      <c r="H12" s="57">
        <f>'6'!I187</f>
        <v>0</v>
      </c>
      <c r="I12" s="57">
        <f>'6'!J187</f>
        <v>17564</v>
      </c>
      <c r="J12" s="57">
        <f>'6'!K187</f>
        <v>79046</v>
      </c>
      <c r="K12" s="57">
        <f>'6'!L187</f>
        <v>0</v>
      </c>
      <c r="L12" s="57">
        <f>'6'!M187</f>
        <v>0</v>
      </c>
      <c r="M12" s="57">
        <f>'6'!N187</f>
        <v>0</v>
      </c>
      <c r="N12" s="57">
        <f t="shared" si="0"/>
        <v>96808</v>
      </c>
    </row>
    <row r="13" spans="1:14" ht="36" customHeight="1" x14ac:dyDescent="0.2">
      <c r="A13" s="58"/>
      <c r="B13" s="58"/>
      <c r="C13" s="86" t="s">
        <v>13</v>
      </c>
      <c r="D13" s="76">
        <f t="shared" ref="D13:M13" si="1">SUM(D4:D12)</f>
        <v>6525573</v>
      </c>
      <c r="E13" s="76">
        <f t="shared" si="1"/>
        <v>18596432</v>
      </c>
      <c r="F13" s="76">
        <f t="shared" si="1"/>
        <v>4515747</v>
      </c>
      <c r="G13" s="76">
        <f t="shared" si="1"/>
        <v>4817168</v>
      </c>
      <c r="H13" s="76">
        <f t="shared" si="1"/>
        <v>311403</v>
      </c>
      <c r="I13" s="76">
        <f t="shared" si="1"/>
        <v>44818</v>
      </c>
      <c r="J13" s="76">
        <f t="shared" si="1"/>
        <v>216409</v>
      </c>
      <c r="K13" s="76">
        <f t="shared" si="1"/>
        <v>34841</v>
      </c>
      <c r="L13" s="76">
        <f t="shared" si="1"/>
        <v>10612000</v>
      </c>
      <c r="M13" s="76">
        <f t="shared" si="1"/>
        <v>26115437</v>
      </c>
      <c r="N13" s="76">
        <f t="shared" si="0"/>
        <v>71789828</v>
      </c>
    </row>
    <row r="14" spans="1:14" s="811" customFormat="1" ht="17.100000000000001" customHeight="1" x14ac:dyDescent="0.2">
      <c r="A14" s="809">
        <v>2</v>
      </c>
      <c r="B14" s="809"/>
      <c r="C14" s="55" t="s">
        <v>196</v>
      </c>
      <c r="D14" s="57">
        <f>'6'!E189</f>
        <v>1078659</v>
      </c>
      <c r="E14" s="57">
        <f>'6'!F189</f>
        <v>65250</v>
      </c>
      <c r="F14" s="57">
        <f>'6'!G189</f>
        <v>0</v>
      </c>
      <c r="G14" s="57">
        <f>'6'!H189</f>
        <v>1230620</v>
      </c>
      <c r="H14" s="57">
        <f>'6'!I189</f>
        <v>0</v>
      </c>
      <c r="I14" s="57">
        <f>'6'!J189</f>
        <v>4998</v>
      </c>
      <c r="J14" s="57">
        <f>'6'!K189</f>
        <v>250</v>
      </c>
      <c r="K14" s="57"/>
      <c r="L14" s="57">
        <f>'6'!M189</f>
        <v>822445</v>
      </c>
      <c r="M14" s="810"/>
      <c r="N14" s="57">
        <f t="shared" si="0"/>
        <v>3202222</v>
      </c>
    </row>
    <row r="15" spans="1:14" ht="17.100000000000001" customHeight="1" x14ac:dyDescent="0.2">
      <c r="A15" s="58"/>
      <c r="B15" s="58"/>
      <c r="C15" s="59" t="s">
        <v>186</v>
      </c>
      <c r="D15" s="76">
        <f t="shared" ref="D15:M15" si="2">SUM(D13:D14)</f>
        <v>7604232</v>
      </c>
      <c r="E15" s="76">
        <f t="shared" si="2"/>
        <v>18661682</v>
      </c>
      <c r="F15" s="76">
        <f t="shared" si="2"/>
        <v>4515747</v>
      </c>
      <c r="G15" s="76">
        <f t="shared" si="2"/>
        <v>6047788</v>
      </c>
      <c r="H15" s="76">
        <f t="shared" si="2"/>
        <v>311403</v>
      </c>
      <c r="I15" s="76">
        <f t="shared" si="2"/>
        <v>49816</v>
      </c>
      <c r="J15" s="76">
        <f t="shared" si="2"/>
        <v>216659</v>
      </c>
      <c r="K15" s="76">
        <f t="shared" si="2"/>
        <v>34841</v>
      </c>
      <c r="L15" s="76">
        <f t="shared" si="2"/>
        <v>11434445</v>
      </c>
      <c r="M15" s="76">
        <f t="shared" si="2"/>
        <v>26115437</v>
      </c>
      <c r="N15" s="76">
        <f t="shared" si="0"/>
        <v>74992050</v>
      </c>
    </row>
    <row r="16" spans="1:14" ht="17.100000000000001" customHeight="1" x14ac:dyDescent="0.2"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3:12" ht="14.1" customHeight="1" x14ac:dyDescent="0.2">
      <c r="C17" s="26"/>
      <c r="D17" s="27"/>
      <c r="E17" s="27"/>
      <c r="F17" s="27"/>
      <c r="G17" s="27"/>
      <c r="H17" s="27"/>
      <c r="I17" s="27"/>
      <c r="J17" s="27"/>
      <c r="K17" s="27"/>
      <c r="L17" s="27"/>
    </row>
    <row r="18" spans="3:12" ht="14.1" customHeight="1" x14ac:dyDescent="0.2">
      <c r="D18" s="27"/>
      <c r="E18" s="27"/>
      <c r="F18" s="27"/>
      <c r="G18" s="27"/>
      <c r="H18" s="27"/>
      <c r="I18" s="27"/>
      <c r="J18" s="27"/>
      <c r="K18" s="27"/>
      <c r="L18" s="27"/>
    </row>
    <row r="19" spans="3:12" ht="14.1" customHeight="1" x14ac:dyDescent="0.2">
      <c r="D19" s="27"/>
      <c r="E19" s="27"/>
      <c r="F19" s="27"/>
      <c r="G19" s="27"/>
      <c r="H19" s="27"/>
      <c r="I19" s="27"/>
      <c r="J19" s="27"/>
      <c r="K19" s="27"/>
      <c r="L19" s="27"/>
    </row>
    <row r="20" spans="3:12" ht="14.1" customHeight="1" x14ac:dyDescent="0.2">
      <c r="D20" s="27"/>
      <c r="E20" s="27"/>
      <c r="F20" s="27"/>
      <c r="G20" s="27"/>
      <c r="H20" s="27"/>
      <c r="I20" s="27"/>
      <c r="J20" s="27"/>
      <c r="K20" s="27"/>
      <c r="L20" s="27"/>
    </row>
    <row r="21" spans="3:12" ht="14.1" customHeight="1" x14ac:dyDescent="0.2">
      <c r="D21" s="27"/>
      <c r="E21" s="27"/>
      <c r="F21" s="27"/>
      <c r="G21" s="27"/>
      <c r="H21" s="27"/>
      <c r="I21" s="27"/>
      <c r="J21" s="27"/>
      <c r="K21" s="27"/>
      <c r="L21" s="27"/>
    </row>
    <row r="22" spans="3:12" ht="14.1" customHeight="1" x14ac:dyDescent="0.2">
      <c r="D22" s="27"/>
      <c r="E22" s="27"/>
      <c r="F22" s="27"/>
      <c r="G22" s="27"/>
      <c r="H22" s="27"/>
      <c r="I22" s="27"/>
      <c r="J22" s="27"/>
      <c r="K22" s="27"/>
      <c r="L22" s="27"/>
    </row>
    <row r="23" spans="3:12" ht="14.1" customHeight="1" x14ac:dyDescent="0.2">
      <c r="D23" s="27"/>
      <c r="E23" s="27"/>
      <c r="F23" s="27"/>
      <c r="G23" s="27"/>
      <c r="H23" s="27"/>
      <c r="I23" s="27"/>
      <c r="J23" s="27"/>
      <c r="K23" s="27"/>
      <c r="L23" s="27"/>
    </row>
    <row r="24" spans="3:12" ht="14.1" customHeight="1" x14ac:dyDescent="0.2">
      <c r="D24" s="27"/>
      <c r="E24" s="27"/>
      <c r="F24" s="27"/>
      <c r="G24" s="27"/>
      <c r="H24" s="27"/>
      <c r="I24" s="27"/>
      <c r="J24" s="27"/>
      <c r="K24" s="27"/>
      <c r="L24" s="27"/>
    </row>
    <row r="25" spans="3:12" ht="14.1" customHeight="1" x14ac:dyDescent="0.2">
      <c r="D25" s="27"/>
      <c r="E25" s="27"/>
      <c r="F25" s="27"/>
      <c r="G25" s="27"/>
      <c r="H25" s="27"/>
      <c r="I25" s="27"/>
      <c r="J25" s="27"/>
      <c r="K25" s="27"/>
      <c r="L25" s="27"/>
    </row>
    <row r="26" spans="3:12" ht="14.1" customHeight="1" x14ac:dyDescent="0.2"/>
    <row r="27" spans="3:12" ht="14.1" customHeight="1" x14ac:dyDescent="0.2"/>
    <row r="28" spans="3:12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1" orientation="landscape" r:id="rId1"/>
  <headerFooter alignWithMargins="0">
    <oddHeader>&amp;C&amp;"Times New Roman,Félkövér dőlt"ZALAEGERSZEG MEGYEI JOGÚ VÁROS ÖNKORMÁNYZATA 
2021.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96"/>
  <sheetViews>
    <sheetView zoomScale="96" zoomScaleNormal="96" workbookViewId="0">
      <pane ySplit="2" topLeftCell="A110" activePane="bottomLeft" state="frozen"/>
      <selection activeCell="H32" sqref="H32"/>
      <selection pane="bottomLeft" activeCell="D110" sqref="D110"/>
    </sheetView>
  </sheetViews>
  <sheetFormatPr defaultRowHeight="12.75" x14ac:dyDescent="0.2"/>
  <cols>
    <col min="1" max="1" width="5.33203125" style="132" customWidth="1"/>
    <col min="2" max="2" width="5.5" style="132" customWidth="1"/>
    <col min="3" max="3" width="40.83203125" style="132" customWidth="1"/>
    <col min="4" max="4" width="9.83203125" style="162" customWidth="1"/>
    <col min="5" max="5" width="13" style="132" customWidth="1"/>
    <col min="6" max="6" width="13.1640625" style="132" customWidth="1"/>
    <col min="7" max="7" width="12.33203125" style="132" customWidth="1"/>
    <col min="8" max="8" width="11.33203125" style="132" customWidth="1"/>
    <col min="9" max="9" width="11.83203125" style="132" customWidth="1"/>
    <col min="10" max="10" width="10.83203125" style="132" customWidth="1"/>
    <col min="11" max="11" width="13.1640625" style="132" customWidth="1"/>
    <col min="12" max="12" width="11.5" style="132" customWidth="1"/>
    <col min="13" max="14" width="12.33203125" style="132" customWidth="1"/>
    <col min="15" max="15" width="13.1640625" style="132" customWidth="1"/>
    <col min="16" max="16" width="7.33203125" style="132" customWidth="1"/>
    <col min="17" max="255" width="9.33203125" style="132"/>
    <col min="256" max="256" width="5.33203125" style="132" customWidth="1"/>
    <col min="257" max="257" width="5.5" style="132" customWidth="1"/>
    <col min="258" max="258" width="40.83203125" style="132" customWidth="1"/>
    <col min="259" max="259" width="9.83203125" style="132" customWidth="1"/>
    <col min="260" max="260" width="13" style="132" customWidth="1"/>
    <col min="261" max="261" width="13.1640625" style="132" customWidth="1"/>
    <col min="262" max="262" width="12.33203125" style="132" customWidth="1"/>
    <col min="263" max="263" width="11.33203125" style="132" customWidth="1"/>
    <col min="264" max="264" width="11.83203125" style="132" customWidth="1"/>
    <col min="265" max="265" width="10.83203125" style="132" customWidth="1"/>
    <col min="266" max="266" width="13.1640625" style="132" customWidth="1"/>
    <col min="267" max="267" width="11.5" style="132" customWidth="1"/>
    <col min="268" max="269" width="12.33203125" style="132" customWidth="1"/>
    <col min="270" max="270" width="13.1640625" style="132" customWidth="1"/>
    <col min="271" max="271" width="18.5" style="132" customWidth="1"/>
    <col min="272" max="272" width="7.33203125" style="132" customWidth="1"/>
    <col min="273" max="511" width="9.33203125" style="132"/>
    <col min="512" max="512" width="5.33203125" style="132" customWidth="1"/>
    <col min="513" max="513" width="5.5" style="132" customWidth="1"/>
    <col min="514" max="514" width="40.83203125" style="132" customWidth="1"/>
    <col min="515" max="515" width="9.83203125" style="132" customWidth="1"/>
    <col min="516" max="516" width="13" style="132" customWidth="1"/>
    <col min="517" max="517" width="13.1640625" style="132" customWidth="1"/>
    <col min="518" max="518" width="12.33203125" style="132" customWidth="1"/>
    <col min="519" max="519" width="11.33203125" style="132" customWidth="1"/>
    <col min="520" max="520" width="11.83203125" style="132" customWidth="1"/>
    <col min="521" max="521" width="10.83203125" style="132" customWidth="1"/>
    <col min="522" max="522" width="13.1640625" style="132" customWidth="1"/>
    <col min="523" max="523" width="11.5" style="132" customWidth="1"/>
    <col min="524" max="525" width="12.33203125" style="132" customWidth="1"/>
    <col min="526" max="526" width="13.1640625" style="132" customWidth="1"/>
    <col min="527" max="527" width="18.5" style="132" customWidth="1"/>
    <col min="528" max="528" width="7.33203125" style="132" customWidth="1"/>
    <col min="529" max="767" width="9.33203125" style="132"/>
    <col min="768" max="768" width="5.33203125" style="132" customWidth="1"/>
    <col min="769" max="769" width="5.5" style="132" customWidth="1"/>
    <col min="770" max="770" width="40.83203125" style="132" customWidth="1"/>
    <col min="771" max="771" width="9.83203125" style="132" customWidth="1"/>
    <col min="772" max="772" width="13" style="132" customWidth="1"/>
    <col min="773" max="773" width="13.1640625" style="132" customWidth="1"/>
    <col min="774" max="774" width="12.33203125" style="132" customWidth="1"/>
    <col min="775" max="775" width="11.33203125" style="132" customWidth="1"/>
    <col min="776" max="776" width="11.83203125" style="132" customWidth="1"/>
    <col min="777" max="777" width="10.83203125" style="132" customWidth="1"/>
    <col min="778" max="778" width="13.1640625" style="132" customWidth="1"/>
    <col min="779" max="779" width="11.5" style="132" customWidth="1"/>
    <col min="780" max="781" width="12.33203125" style="132" customWidth="1"/>
    <col min="782" max="782" width="13.1640625" style="132" customWidth="1"/>
    <col min="783" max="783" width="18.5" style="132" customWidth="1"/>
    <col min="784" max="784" width="7.33203125" style="132" customWidth="1"/>
    <col min="785" max="1023" width="9.33203125" style="132"/>
    <col min="1024" max="1024" width="5.33203125" style="132" customWidth="1"/>
    <col min="1025" max="1025" width="5.5" style="132" customWidth="1"/>
    <col min="1026" max="1026" width="40.83203125" style="132" customWidth="1"/>
    <col min="1027" max="1027" width="9.83203125" style="132" customWidth="1"/>
    <col min="1028" max="1028" width="13" style="132" customWidth="1"/>
    <col min="1029" max="1029" width="13.1640625" style="132" customWidth="1"/>
    <col min="1030" max="1030" width="12.33203125" style="132" customWidth="1"/>
    <col min="1031" max="1031" width="11.33203125" style="132" customWidth="1"/>
    <col min="1032" max="1032" width="11.83203125" style="132" customWidth="1"/>
    <col min="1033" max="1033" width="10.83203125" style="132" customWidth="1"/>
    <col min="1034" max="1034" width="13.1640625" style="132" customWidth="1"/>
    <col min="1035" max="1035" width="11.5" style="132" customWidth="1"/>
    <col min="1036" max="1037" width="12.33203125" style="132" customWidth="1"/>
    <col min="1038" max="1038" width="13.1640625" style="132" customWidth="1"/>
    <col min="1039" max="1039" width="18.5" style="132" customWidth="1"/>
    <col min="1040" max="1040" width="7.33203125" style="132" customWidth="1"/>
    <col min="1041" max="1279" width="9.33203125" style="132"/>
    <col min="1280" max="1280" width="5.33203125" style="132" customWidth="1"/>
    <col min="1281" max="1281" width="5.5" style="132" customWidth="1"/>
    <col min="1282" max="1282" width="40.83203125" style="132" customWidth="1"/>
    <col min="1283" max="1283" width="9.83203125" style="132" customWidth="1"/>
    <col min="1284" max="1284" width="13" style="132" customWidth="1"/>
    <col min="1285" max="1285" width="13.1640625" style="132" customWidth="1"/>
    <col min="1286" max="1286" width="12.33203125" style="132" customWidth="1"/>
    <col min="1287" max="1287" width="11.33203125" style="132" customWidth="1"/>
    <col min="1288" max="1288" width="11.83203125" style="132" customWidth="1"/>
    <col min="1289" max="1289" width="10.83203125" style="132" customWidth="1"/>
    <col min="1290" max="1290" width="13.1640625" style="132" customWidth="1"/>
    <col min="1291" max="1291" width="11.5" style="132" customWidth="1"/>
    <col min="1292" max="1293" width="12.33203125" style="132" customWidth="1"/>
    <col min="1294" max="1294" width="13.1640625" style="132" customWidth="1"/>
    <col min="1295" max="1295" width="18.5" style="132" customWidth="1"/>
    <col min="1296" max="1296" width="7.33203125" style="132" customWidth="1"/>
    <col min="1297" max="1535" width="9.33203125" style="132"/>
    <col min="1536" max="1536" width="5.33203125" style="132" customWidth="1"/>
    <col min="1537" max="1537" width="5.5" style="132" customWidth="1"/>
    <col min="1538" max="1538" width="40.83203125" style="132" customWidth="1"/>
    <col min="1539" max="1539" width="9.83203125" style="132" customWidth="1"/>
    <col min="1540" max="1540" width="13" style="132" customWidth="1"/>
    <col min="1541" max="1541" width="13.1640625" style="132" customWidth="1"/>
    <col min="1542" max="1542" width="12.33203125" style="132" customWidth="1"/>
    <col min="1543" max="1543" width="11.33203125" style="132" customWidth="1"/>
    <col min="1544" max="1544" width="11.83203125" style="132" customWidth="1"/>
    <col min="1545" max="1545" width="10.83203125" style="132" customWidth="1"/>
    <col min="1546" max="1546" width="13.1640625" style="132" customWidth="1"/>
    <col min="1547" max="1547" width="11.5" style="132" customWidth="1"/>
    <col min="1548" max="1549" width="12.33203125" style="132" customWidth="1"/>
    <col min="1550" max="1550" width="13.1640625" style="132" customWidth="1"/>
    <col min="1551" max="1551" width="18.5" style="132" customWidth="1"/>
    <col min="1552" max="1552" width="7.33203125" style="132" customWidth="1"/>
    <col min="1553" max="1791" width="9.33203125" style="132"/>
    <col min="1792" max="1792" width="5.33203125" style="132" customWidth="1"/>
    <col min="1793" max="1793" width="5.5" style="132" customWidth="1"/>
    <col min="1794" max="1794" width="40.83203125" style="132" customWidth="1"/>
    <col min="1795" max="1795" width="9.83203125" style="132" customWidth="1"/>
    <col min="1796" max="1796" width="13" style="132" customWidth="1"/>
    <col min="1797" max="1797" width="13.1640625" style="132" customWidth="1"/>
    <col min="1798" max="1798" width="12.33203125" style="132" customWidth="1"/>
    <col min="1799" max="1799" width="11.33203125" style="132" customWidth="1"/>
    <col min="1800" max="1800" width="11.83203125" style="132" customWidth="1"/>
    <col min="1801" max="1801" width="10.83203125" style="132" customWidth="1"/>
    <col min="1802" max="1802" width="13.1640625" style="132" customWidth="1"/>
    <col min="1803" max="1803" width="11.5" style="132" customWidth="1"/>
    <col min="1804" max="1805" width="12.33203125" style="132" customWidth="1"/>
    <col min="1806" max="1806" width="13.1640625" style="132" customWidth="1"/>
    <col min="1807" max="1807" width="18.5" style="132" customWidth="1"/>
    <col min="1808" max="1808" width="7.33203125" style="132" customWidth="1"/>
    <col min="1809" max="2047" width="9.33203125" style="132"/>
    <col min="2048" max="2048" width="5.33203125" style="132" customWidth="1"/>
    <col min="2049" max="2049" width="5.5" style="132" customWidth="1"/>
    <col min="2050" max="2050" width="40.83203125" style="132" customWidth="1"/>
    <col min="2051" max="2051" width="9.83203125" style="132" customWidth="1"/>
    <col min="2052" max="2052" width="13" style="132" customWidth="1"/>
    <col min="2053" max="2053" width="13.1640625" style="132" customWidth="1"/>
    <col min="2054" max="2054" width="12.33203125" style="132" customWidth="1"/>
    <col min="2055" max="2055" width="11.33203125" style="132" customWidth="1"/>
    <col min="2056" max="2056" width="11.83203125" style="132" customWidth="1"/>
    <col min="2057" max="2057" width="10.83203125" style="132" customWidth="1"/>
    <col min="2058" max="2058" width="13.1640625" style="132" customWidth="1"/>
    <col min="2059" max="2059" width="11.5" style="132" customWidth="1"/>
    <col min="2060" max="2061" width="12.33203125" style="132" customWidth="1"/>
    <col min="2062" max="2062" width="13.1640625" style="132" customWidth="1"/>
    <col min="2063" max="2063" width="18.5" style="132" customWidth="1"/>
    <col min="2064" max="2064" width="7.33203125" style="132" customWidth="1"/>
    <col min="2065" max="2303" width="9.33203125" style="132"/>
    <col min="2304" max="2304" width="5.33203125" style="132" customWidth="1"/>
    <col min="2305" max="2305" width="5.5" style="132" customWidth="1"/>
    <col min="2306" max="2306" width="40.83203125" style="132" customWidth="1"/>
    <col min="2307" max="2307" width="9.83203125" style="132" customWidth="1"/>
    <col min="2308" max="2308" width="13" style="132" customWidth="1"/>
    <col min="2309" max="2309" width="13.1640625" style="132" customWidth="1"/>
    <col min="2310" max="2310" width="12.33203125" style="132" customWidth="1"/>
    <col min="2311" max="2311" width="11.33203125" style="132" customWidth="1"/>
    <col min="2312" max="2312" width="11.83203125" style="132" customWidth="1"/>
    <col min="2313" max="2313" width="10.83203125" style="132" customWidth="1"/>
    <col min="2314" max="2314" width="13.1640625" style="132" customWidth="1"/>
    <col min="2315" max="2315" width="11.5" style="132" customWidth="1"/>
    <col min="2316" max="2317" width="12.33203125" style="132" customWidth="1"/>
    <col min="2318" max="2318" width="13.1640625" style="132" customWidth="1"/>
    <col min="2319" max="2319" width="18.5" style="132" customWidth="1"/>
    <col min="2320" max="2320" width="7.33203125" style="132" customWidth="1"/>
    <col min="2321" max="2559" width="9.33203125" style="132"/>
    <col min="2560" max="2560" width="5.33203125" style="132" customWidth="1"/>
    <col min="2561" max="2561" width="5.5" style="132" customWidth="1"/>
    <col min="2562" max="2562" width="40.83203125" style="132" customWidth="1"/>
    <col min="2563" max="2563" width="9.83203125" style="132" customWidth="1"/>
    <col min="2564" max="2564" width="13" style="132" customWidth="1"/>
    <col min="2565" max="2565" width="13.1640625" style="132" customWidth="1"/>
    <col min="2566" max="2566" width="12.33203125" style="132" customWidth="1"/>
    <col min="2567" max="2567" width="11.33203125" style="132" customWidth="1"/>
    <col min="2568" max="2568" width="11.83203125" style="132" customWidth="1"/>
    <col min="2569" max="2569" width="10.83203125" style="132" customWidth="1"/>
    <col min="2570" max="2570" width="13.1640625" style="132" customWidth="1"/>
    <col min="2571" max="2571" width="11.5" style="132" customWidth="1"/>
    <col min="2572" max="2573" width="12.33203125" style="132" customWidth="1"/>
    <col min="2574" max="2574" width="13.1640625" style="132" customWidth="1"/>
    <col min="2575" max="2575" width="18.5" style="132" customWidth="1"/>
    <col min="2576" max="2576" width="7.33203125" style="132" customWidth="1"/>
    <col min="2577" max="2815" width="9.33203125" style="132"/>
    <col min="2816" max="2816" width="5.33203125" style="132" customWidth="1"/>
    <col min="2817" max="2817" width="5.5" style="132" customWidth="1"/>
    <col min="2818" max="2818" width="40.83203125" style="132" customWidth="1"/>
    <col min="2819" max="2819" width="9.83203125" style="132" customWidth="1"/>
    <col min="2820" max="2820" width="13" style="132" customWidth="1"/>
    <col min="2821" max="2821" width="13.1640625" style="132" customWidth="1"/>
    <col min="2822" max="2822" width="12.33203125" style="132" customWidth="1"/>
    <col min="2823" max="2823" width="11.33203125" style="132" customWidth="1"/>
    <col min="2824" max="2824" width="11.83203125" style="132" customWidth="1"/>
    <col min="2825" max="2825" width="10.83203125" style="132" customWidth="1"/>
    <col min="2826" max="2826" width="13.1640625" style="132" customWidth="1"/>
    <col min="2827" max="2827" width="11.5" style="132" customWidth="1"/>
    <col min="2828" max="2829" width="12.33203125" style="132" customWidth="1"/>
    <col min="2830" max="2830" width="13.1640625" style="132" customWidth="1"/>
    <col min="2831" max="2831" width="18.5" style="132" customWidth="1"/>
    <col min="2832" max="2832" width="7.33203125" style="132" customWidth="1"/>
    <col min="2833" max="3071" width="9.33203125" style="132"/>
    <col min="3072" max="3072" width="5.33203125" style="132" customWidth="1"/>
    <col min="3073" max="3073" width="5.5" style="132" customWidth="1"/>
    <col min="3074" max="3074" width="40.83203125" style="132" customWidth="1"/>
    <col min="3075" max="3075" width="9.83203125" style="132" customWidth="1"/>
    <col min="3076" max="3076" width="13" style="132" customWidth="1"/>
    <col min="3077" max="3077" width="13.1640625" style="132" customWidth="1"/>
    <col min="3078" max="3078" width="12.33203125" style="132" customWidth="1"/>
    <col min="3079" max="3079" width="11.33203125" style="132" customWidth="1"/>
    <col min="3080" max="3080" width="11.83203125" style="132" customWidth="1"/>
    <col min="3081" max="3081" width="10.83203125" style="132" customWidth="1"/>
    <col min="3082" max="3082" width="13.1640625" style="132" customWidth="1"/>
    <col min="3083" max="3083" width="11.5" style="132" customWidth="1"/>
    <col min="3084" max="3085" width="12.33203125" style="132" customWidth="1"/>
    <col min="3086" max="3086" width="13.1640625" style="132" customWidth="1"/>
    <col min="3087" max="3087" width="18.5" style="132" customWidth="1"/>
    <col min="3088" max="3088" width="7.33203125" style="132" customWidth="1"/>
    <col min="3089" max="3327" width="9.33203125" style="132"/>
    <col min="3328" max="3328" width="5.33203125" style="132" customWidth="1"/>
    <col min="3329" max="3329" width="5.5" style="132" customWidth="1"/>
    <col min="3330" max="3330" width="40.83203125" style="132" customWidth="1"/>
    <col min="3331" max="3331" width="9.83203125" style="132" customWidth="1"/>
    <col min="3332" max="3332" width="13" style="132" customWidth="1"/>
    <col min="3333" max="3333" width="13.1640625" style="132" customWidth="1"/>
    <col min="3334" max="3334" width="12.33203125" style="132" customWidth="1"/>
    <col min="3335" max="3335" width="11.33203125" style="132" customWidth="1"/>
    <col min="3336" max="3336" width="11.83203125" style="132" customWidth="1"/>
    <col min="3337" max="3337" width="10.83203125" style="132" customWidth="1"/>
    <col min="3338" max="3338" width="13.1640625" style="132" customWidth="1"/>
    <col min="3339" max="3339" width="11.5" style="132" customWidth="1"/>
    <col min="3340" max="3341" width="12.33203125" style="132" customWidth="1"/>
    <col min="3342" max="3342" width="13.1640625" style="132" customWidth="1"/>
    <col min="3343" max="3343" width="18.5" style="132" customWidth="1"/>
    <col min="3344" max="3344" width="7.33203125" style="132" customWidth="1"/>
    <col min="3345" max="3583" width="9.33203125" style="132"/>
    <col min="3584" max="3584" width="5.33203125" style="132" customWidth="1"/>
    <col min="3585" max="3585" width="5.5" style="132" customWidth="1"/>
    <col min="3586" max="3586" width="40.83203125" style="132" customWidth="1"/>
    <col min="3587" max="3587" width="9.83203125" style="132" customWidth="1"/>
    <col min="3588" max="3588" width="13" style="132" customWidth="1"/>
    <col min="3589" max="3589" width="13.1640625" style="132" customWidth="1"/>
    <col min="3590" max="3590" width="12.33203125" style="132" customWidth="1"/>
    <col min="3591" max="3591" width="11.33203125" style="132" customWidth="1"/>
    <col min="3592" max="3592" width="11.83203125" style="132" customWidth="1"/>
    <col min="3593" max="3593" width="10.83203125" style="132" customWidth="1"/>
    <col min="3594" max="3594" width="13.1640625" style="132" customWidth="1"/>
    <col min="3595" max="3595" width="11.5" style="132" customWidth="1"/>
    <col min="3596" max="3597" width="12.33203125" style="132" customWidth="1"/>
    <col min="3598" max="3598" width="13.1640625" style="132" customWidth="1"/>
    <col min="3599" max="3599" width="18.5" style="132" customWidth="1"/>
    <col min="3600" max="3600" width="7.33203125" style="132" customWidth="1"/>
    <col min="3601" max="3839" width="9.33203125" style="132"/>
    <col min="3840" max="3840" width="5.33203125" style="132" customWidth="1"/>
    <col min="3841" max="3841" width="5.5" style="132" customWidth="1"/>
    <col min="3842" max="3842" width="40.83203125" style="132" customWidth="1"/>
    <col min="3843" max="3843" width="9.83203125" style="132" customWidth="1"/>
    <col min="3844" max="3844" width="13" style="132" customWidth="1"/>
    <col min="3845" max="3845" width="13.1640625" style="132" customWidth="1"/>
    <col min="3846" max="3846" width="12.33203125" style="132" customWidth="1"/>
    <col min="3847" max="3847" width="11.33203125" style="132" customWidth="1"/>
    <col min="3848" max="3848" width="11.83203125" style="132" customWidth="1"/>
    <col min="3849" max="3849" width="10.83203125" style="132" customWidth="1"/>
    <col min="3850" max="3850" width="13.1640625" style="132" customWidth="1"/>
    <col min="3851" max="3851" width="11.5" style="132" customWidth="1"/>
    <col min="3852" max="3853" width="12.33203125" style="132" customWidth="1"/>
    <col min="3854" max="3854" width="13.1640625" style="132" customWidth="1"/>
    <col min="3855" max="3855" width="18.5" style="132" customWidth="1"/>
    <col min="3856" max="3856" width="7.33203125" style="132" customWidth="1"/>
    <col min="3857" max="4095" width="9.33203125" style="132"/>
    <col min="4096" max="4096" width="5.33203125" style="132" customWidth="1"/>
    <col min="4097" max="4097" width="5.5" style="132" customWidth="1"/>
    <col min="4098" max="4098" width="40.83203125" style="132" customWidth="1"/>
    <col min="4099" max="4099" width="9.83203125" style="132" customWidth="1"/>
    <col min="4100" max="4100" width="13" style="132" customWidth="1"/>
    <col min="4101" max="4101" width="13.1640625" style="132" customWidth="1"/>
    <col min="4102" max="4102" width="12.33203125" style="132" customWidth="1"/>
    <col min="4103" max="4103" width="11.33203125" style="132" customWidth="1"/>
    <col min="4104" max="4104" width="11.83203125" style="132" customWidth="1"/>
    <col min="4105" max="4105" width="10.83203125" style="132" customWidth="1"/>
    <col min="4106" max="4106" width="13.1640625" style="132" customWidth="1"/>
    <col min="4107" max="4107" width="11.5" style="132" customWidth="1"/>
    <col min="4108" max="4109" width="12.33203125" style="132" customWidth="1"/>
    <col min="4110" max="4110" width="13.1640625" style="132" customWidth="1"/>
    <col min="4111" max="4111" width="18.5" style="132" customWidth="1"/>
    <col min="4112" max="4112" width="7.33203125" style="132" customWidth="1"/>
    <col min="4113" max="4351" width="9.33203125" style="132"/>
    <col min="4352" max="4352" width="5.33203125" style="132" customWidth="1"/>
    <col min="4353" max="4353" width="5.5" style="132" customWidth="1"/>
    <col min="4354" max="4354" width="40.83203125" style="132" customWidth="1"/>
    <col min="4355" max="4355" width="9.83203125" style="132" customWidth="1"/>
    <col min="4356" max="4356" width="13" style="132" customWidth="1"/>
    <col min="4357" max="4357" width="13.1640625" style="132" customWidth="1"/>
    <col min="4358" max="4358" width="12.33203125" style="132" customWidth="1"/>
    <col min="4359" max="4359" width="11.33203125" style="132" customWidth="1"/>
    <col min="4360" max="4360" width="11.83203125" style="132" customWidth="1"/>
    <col min="4361" max="4361" width="10.83203125" style="132" customWidth="1"/>
    <col min="4362" max="4362" width="13.1640625" style="132" customWidth="1"/>
    <col min="4363" max="4363" width="11.5" style="132" customWidth="1"/>
    <col min="4364" max="4365" width="12.33203125" style="132" customWidth="1"/>
    <col min="4366" max="4366" width="13.1640625" style="132" customWidth="1"/>
    <col min="4367" max="4367" width="18.5" style="132" customWidth="1"/>
    <col min="4368" max="4368" width="7.33203125" style="132" customWidth="1"/>
    <col min="4369" max="4607" width="9.33203125" style="132"/>
    <col min="4608" max="4608" width="5.33203125" style="132" customWidth="1"/>
    <col min="4609" max="4609" width="5.5" style="132" customWidth="1"/>
    <col min="4610" max="4610" width="40.83203125" style="132" customWidth="1"/>
    <col min="4611" max="4611" width="9.83203125" style="132" customWidth="1"/>
    <col min="4612" max="4612" width="13" style="132" customWidth="1"/>
    <col min="4613" max="4613" width="13.1640625" style="132" customWidth="1"/>
    <col min="4614" max="4614" width="12.33203125" style="132" customWidth="1"/>
    <col min="4615" max="4615" width="11.33203125" style="132" customWidth="1"/>
    <col min="4616" max="4616" width="11.83203125" style="132" customWidth="1"/>
    <col min="4617" max="4617" width="10.83203125" style="132" customWidth="1"/>
    <col min="4618" max="4618" width="13.1640625" style="132" customWidth="1"/>
    <col min="4619" max="4619" width="11.5" style="132" customWidth="1"/>
    <col min="4620" max="4621" width="12.33203125" style="132" customWidth="1"/>
    <col min="4622" max="4622" width="13.1640625" style="132" customWidth="1"/>
    <col min="4623" max="4623" width="18.5" style="132" customWidth="1"/>
    <col min="4624" max="4624" width="7.33203125" style="132" customWidth="1"/>
    <col min="4625" max="4863" width="9.33203125" style="132"/>
    <col min="4864" max="4864" width="5.33203125" style="132" customWidth="1"/>
    <col min="4865" max="4865" width="5.5" style="132" customWidth="1"/>
    <col min="4866" max="4866" width="40.83203125" style="132" customWidth="1"/>
    <col min="4867" max="4867" width="9.83203125" style="132" customWidth="1"/>
    <col min="4868" max="4868" width="13" style="132" customWidth="1"/>
    <col min="4869" max="4869" width="13.1640625" style="132" customWidth="1"/>
    <col min="4870" max="4870" width="12.33203125" style="132" customWidth="1"/>
    <col min="4871" max="4871" width="11.33203125" style="132" customWidth="1"/>
    <col min="4872" max="4872" width="11.83203125" style="132" customWidth="1"/>
    <col min="4873" max="4873" width="10.83203125" style="132" customWidth="1"/>
    <col min="4874" max="4874" width="13.1640625" style="132" customWidth="1"/>
    <col min="4875" max="4875" width="11.5" style="132" customWidth="1"/>
    <col min="4876" max="4877" width="12.33203125" style="132" customWidth="1"/>
    <col min="4878" max="4878" width="13.1640625" style="132" customWidth="1"/>
    <col min="4879" max="4879" width="18.5" style="132" customWidth="1"/>
    <col min="4880" max="4880" width="7.33203125" style="132" customWidth="1"/>
    <col min="4881" max="5119" width="9.33203125" style="132"/>
    <col min="5120" max="5120" width="5.33203125" style="132" customWidth="1"/>
    <col min="5121" max="5121" width="5.5" style="132" customWidth="1"/>
    <col min="5122" max="5122" width="40.83203125" style="132" customWidth="1"/>
    <col min="5123" max="5123" width="9.83203125" style="132" customWidth="1"/>
    <col min="5124" max="5124" width="13" style="132" customWidth="1"/>
    <col min="5125" max="5125" width="13.1640625" style="132" customWidth="1"/>
    <col min="5126" max="5126" width="12.33203125" style="132" customWidth="1"/>
    <col min="5127" max="5127" width="11.33203125" style="132" customWidth="1"/>
    <col min="5128" max="5128" width="11.83203125" style="132" customWidth="1"/>
    <col min="5129" max="5129" width="10.83203125" style="132" customWidth="1"/>
    <col min="5130" max="5130" width="13.1640625" style="132" customWidth="1"/>
    <col min="5131" max="5131" width="11.5" style="132" customWidth="1"/>
    <col min="5132" max="5133" width="12.33203125" style="132" customWidth="1"/>
    <col min="5134" max="5134" width="13.1640625" style="132" customWidth="1"/>
    <col min="5135" max="5135" width="18.5" style="132" customWidth="1"/>
    <col min="5136" max="5136" width="7.33203125" style="132" customWidth="1"/>
    <col min="5137" max="5375" width="9.33203125" style="132"/>
    <col min="5376" max="5376" width="5.33203125" style="132" customWidth="1"/>
    <col min="5377" max="5377" width="5.5" style="132" customWidth="1"/>
    <col min="5378" max="5378" width="40.83203125" style="132" customWidth="1"/>
    <col min="5379" max="5379" width="9.83203125" style="132" customWidth="1"/>
    <col min="5380" max="5380" width="13" style="132" customWidth="1"/>
    <col min="5381" max="5381" width="13.1640625" style="132" customWidth="1"/>
    <col min="5382" max="5382" width="12.33203125" style="132" customWidth="1"/>
    <col min="5383" max="5383" width="11.33203125" style="132" customWidth="1"/>
    <col min="5384" max="5384" width="11.83203125" style="132" customWidth="1"/>
    <col min="5385" max="5385" width="10.83203125" style="132" customWidth="1"/>
    <col min="5386" max="5386" width="13.1640625" style="132" customWidth="1"/>
    <col min="5387" max="5387" width="11.5" style="132" customWidth="1"/>
    <col min="5388" max="5389" width="12.33203125" style="132" customWidth="1"/>
    <col min="5390" max="5390" width="13.1640625" style="132" customWidth="1"/>
    <col min="5391" max="5391" width="18.5" style="132" customWidth="1"/>
    <col min="5392" max="5392" width="7.33203125" style="132" customWidth="1"/>
    <col min="5393" max="5631" width="9.33203125" style="132"/>
    <col min="5632" max="5632" width="5.33203125" style="132" customWidth="1"/>
    <col min="5633" max="5633" width="5.5" style="132" customWidth="1"/>
    <col min="5634" max="5634" width="40.83203125" style="132" customWidth="1"/>
    <col min="5635" max="5635" width="9.83203125" style="132" customWidth="1"/>
    <col min="5636" max="5636" width="13" style="132" customWidth="1"/>
    <col min="5637" max="5637" width="13.1640625" style="132" customWidth="1"/>
    <col min="5638" max="5638" width="12.33203125" style="132" customWidth="1"/>
    <col min="5639" max="5639" width="11.33203125" style="132" customWidth="1"/>
    <col min="5640" max="5640" width="11.83203125" style="132" customWidth="1"/>
    <col min="5641" max="5641" width="10.83203125" style="132" customWidth="1"/>
    <col min="5642" max="5642" width="13.1640625" style="132" customWidth="1"/>
    <col min="5643" max="5643" width="11.5" style="132" customWidth="1"/>
    <col min="5644" max="5645" width="12.33203125" style="132" customWidth="1"/>
    <col min="5646" max="5646" width="13.1640625" style="132" customWidth="1"/>
    <col min="5647" max="5647" width="18.5" style="132" customWidth="1"/>
    <col min="5648" max="5648" width="7.33203125" style="132" customWidth="1"/>
    <col min="5649" max="5887" width="9.33203125" style="132"/>
    <col min="5888" max="5888" width="5.33203125" style="132" customWidth="1"/>
    <col min="5889" max="5889" width="5.5" style="132" customWidth="1"/>
    <col min="5890" max="5890" width="40.83203125" style="132" customWidth="1"/>
    <col min="5891" max="5891" width="9.83203125" style="132" customWidth="1"/>
    <col min="5892" max="5892" width="13" style="132" customWidth="1"/>
    <col min="5893" max="5893" width="13.1640625" style="132" customWidth="1"/>
    <col min="5894" max="5894" width="12.33203125" style="132" customWidth="1"/>
    <col min="5895" max="5895" width="11.33203125" style="132" customWidth="1"/>
    <col min="5896" max="5896" width="11.83203125" style="132" customWidth="1"/>
    <col min="5897" max="5897" width="10.83203125" style="132" customWidth="1"/>
    <col min="5898" max="5898" width="13.1640625" style="132" customWidth="1"/>
    <col min="5899" max="5899" width="11.5" style="132" customWidth="1"/>
    <col min="5900" max="5901" width="12.33203125" style="132" customWidth="1"/>
    <col min="5902" max="5902" width="13.1640625" style="132" customWidth="1"/>
    <col min="5903" max="5903" width="18.5" style="132" customWidth="1"/>
    <col min="5904" max="5904" width="7.33203125" style="132" customWidth="1"/>
    <col min="5905" max="6143" width="9.33203125" style="132"/>
    <col min="6144" max="6144" width="5.33203125" style="132" customWidth="1"/>
    <col min="6145" max="6145" width="5.5" style="132" customWidth="1"/>
    <col min="6146" max="6146" width="40.83203125" style="132" customWidth="1"/>
    <col min="6147" max="6147" width="9.83203125" style="132" customWidth="1"/>
    <col min="6148" max="6148" width="13" style="132" customWidth="1"/>
    <col min="6149" max="6149" width="13.1640625" style="132" customWidth="1"/>
    <col min="6150" max="6150" width="12.33203125" style="132" customWidth="1"/>
    <col min="6151" max="6151" width="11.33203125" style="132" customWidth="1"/>
    <col min="6152" max="6152" width="11.83203125" style="132" customWidth="1"/>
    <col min="6153" max="6153" width="10.83203125" style="132" customWidth="1"/>
    <col min="6154" max="6154" width="13.1640625" style="132" customWidth="1"/>
    <col min="6155" max="6155" width="11.5" style="132" customWidth="1"/>
    <col min="6156" max="6157" width="12.33203125" style="132" customWidth="1"/>
    <col min="6158" max="6158" width="13.1640625" style="132" customWidth="1"/>
    <col min="6159" max="6159" width="18.5" style="132" customWidth="1"/>
    <col min="6160" max="6160" width="7.33203125" style="132" customWidth="1"/>
    <col min="6161" max="6399" width="9.33203125" style="132"/>
    <col min="6400" max="6400" width="5.33203125" style="132" customWidth="1"/>
    <col min="6401" max="6401" width="5.5" style="132" customWidth="1"/>
    <col min="6402" max="6402" width="40.83203125" style="132" customWidth="1"/>
    <col min="6403" max="6403" width="9.83203125" style="132" customWidth="1"/>
    <col min="6404" max="6404" width="13" style="132" customWidth="1"/>
    <col min="6405" max="6405" width="13.1640625" style="132" customWidth="1"/>
    <col min="6406" max="6406" width="12.33203125" style="132" customWidth="1"/>
    <col min="6407" max="6407" width="11.33203125" style="132" customWidth="1"/>
    <col min="6408" max="6408" width="11.83203125" style="132" customWidth="1"/>
    <col min="6409" max="6409" width="10.83203125" style="132" customWidth="1"/>
    <col min="6410" max="6410" width="13.1640625" style="132" customWidth="1"/>
    <col min="6411" max="6411" width="11.5" style="132" customWidth="1"/>
    <col min="6412" max="6413" width="12.33203125" style="132" customWidth="1"/>
    <col min="6414" max="6414" width="13.1640625" style="132" customWidth="1"/>
    <col min="6415" max="6415" width="18.5" style="132" customWidth="1"/>
    <col min="6416" max="6416" width="7.33203125" style="132" customWidth="1"/>
    <col min="6417" max="6655" width="9.33203125" style="132"/>
    <col min="6656" max="6656" width="5.33203125" style="132" customWidth="1"/>
    <col min="6657" max="6657" width="5.5" style="132" customWidth="1"/>
    <col min="6658" max="6658" width="40.83203125" style="132" customWidth="1"/>
    <col min="6659" max="6659" width="9.83203125" style="132" customWidth="1"/>
    <col min="6660" max="6660" width="13" style="132" customWidth="1"/>
    <col min="6661" max="6661" width="13.1640625" style="132" customWidth="1"/>
    <col min="6662" max="6662" width="12.33203125" style="132" customWidth="1"/>
    <col min="6663" max="6663" width="11.33203125" style="132" customWidth="1"/>
    <col min="6664" max="6664" width="11.83203125" style="132" customWidth="1"/>
    <col min="6665" max="6665" width="10.83203125" style="132" customWidth="1"/>
    <col min="6666" max="6666" width="13.1640625" style="132" customWidth="1"/>
    <col min="6667" max="6667" width="11.5" style="132" customWidth="1"/>
    <col min="6668" max="6669" width="12.33203125" style="132" customWidth="1"/>
    <col min="6670" max="6670" width="13.1640625" style="132" customWidth="1"/>
    <col min="6671" max="6671" width="18.5" style="132" customWidth="1"/>
    <col min="6672" max="6672" width="7.33203125" style="132" customWidth="1"/>
    <col min="6673" max="6911" width="9.33203125" style="132"/>
    <col min="6912" max="6912" width="5.33203125" style="132" customWidth="1"/>
    <col min="6913" max="6913" width="5.5" style="132" customWidth="1"/>
    <col min="6914" max="6914" width="40.83203125" style="132" customWidth="1"/>
    <col min="6915" max="6915" width="9.83203125" style="132" customWidth="1"/>
    <col min="6916" max="6916" width="13" style="132" customWidth="1"/>
    <col min="6917" max="6917" width="13.1640625" style="132" customWidth="1"/>
    <col min="6918" max="6918" width="12.33203125" style="132" customWidth="1"/>
    <col min="6919" max="6919" width="11.33203125" style="132" customWidth="1"/>
    <col min="6920" max="6920" width="11.83203125" style="132" customWidth="1"/>
    <col min="6921" max="6921" width="10.83203125" style="132" customWidth="1"/>
    <col min="6922" max="6922" width="13.1640625" style="132" customWidth="1"/>
    <col min="6923" max="6923" width="11.5" style="132" customWidth="1"/>
    <col min="6924" max="6925" width="12.33203125" style="132" customWidth="1"/>
    <col min="6926" max="6926" width="13.1640625" style="132" customWidth="1"/>
    <col min="6927" max="6927" width="18.5" style="132" customWidth="1"/>
    <col min="6928" max="6928" width="7.33203125" style="132" customWidth="1"/>
    <col min="6929" max="7167" width="9.33203125" style="132"/>
    <col min="7168" max="7168" width="5.33203125" style="132" customWidth="1"/>
    <col min="7169" max="7169" width="5.5" style="132" customWidth="1"/>
    <col min="7170" max="7170" width="40.83203125" style="132" customWidth="1"/>
    <col min="7171" max="7171" width="9.83203125" style="132" customWidth="1"/>
    <col min="7172" max="7172" width="13" style="132" customWidth="1"/>
    <col min="7173" max="7173" width="13.1640625" style="132" customWidth="1"/>
    <col min="7174" max="7174" width="12.33203125" style="132" customWidth="1"/>
    <col min="7175" max="7175" width="11.33203125" style="132" customWidth="1"/>
    <col min="7176" max="7176" width="11.83203125" style="132" customWidth="1"/>
    <col min="7177" max="7177" width="10.83203125" style="132" customWidth="1"/>
    <col min="7178" max="7178" width="13.1640625" style="132" customWidth="1"/>
    <col min="7179" max="7179" width="11.5" style="132" customWidth="1"/>
    <col min="7180" max="7181" width="12.33203125" style="132" customWidth="1"/>
    <col min="7182" max="7182" width="13.1640625" style="132" customWidth="1"/>
    <col min="7183" max="7183" width="18.5" style="132" customWidth="1"/>
    <col min="7184" max="7184" width="7.33203125" style="132" customWidth="1"/>
    <col min="7185" max="7423" width="9.33203125" style="132"/>
    <col min="7424" max="7424" width="5.33203125" style="132" customWidth="1"/>
    <col min="7425" max="7425" width="5.5" style="132" customWidth="1"/>
    <col min="7426" max="7426" width="40.83203125" style="132" customWidth="1"/>
    <col min="7427" max="7427" width="9.83203125" style="132" customWidth="1"/>
    <col min="7428" max="7428" width="13" style="132" customWidth="1"/>
    <col min="7429" max="7429" width="13.1640625" style="132" customWidth="1"/>
    <col min="7430" max="7430" width="12.33203125" style="132" customWidth="1"/>
    <col min="7431" max="7431" width="11.33203125" style="132" customWidth="1"/>
    <col min="7432" max="7432" width="11.83203125" style="132" customWidth="1"/>
    <col min="7433" max="7433" width="10.83203125" style="132" customWidth="1"/>
    <col min="7434" max="7434" width="13.1640625" style="132" customWidth="1"/>
    <col min="7435" max="7435" width="11.5" style="132" customWidth="1"/>
    <col min="7436" max="7437" width="12.33203125" style="132" customWidth="1"/>
    <col min="7438" max="7438" width="13.1640625" style="132" customWidth="1"/>
    <col min="7439" max="7439" width="18.5" style="132" customWidth="1"/>
    <col min="7440" max="7440" width="7.33203125" style="132" customWidth="1"/>
    <col min="7441" max="7679" width="9.33203125" style="132"/>
    <col min="7680" max="7680" width="5.33203125" style="132" customWidth="1"/>
    <col min="7681" max="7681" width="5.5" style="132" customWidth="1"/>
    <col min="7682" max="7682" width="40.83203125" style="132" customWidth="1"/>
    <col min="7683" max="7683" width="9.83203125" style="132" customWidth="1"/>
    <col min="7684" max="7684" width="13" style="132" customWidth="1"/>
    <col min="7685" max="7685" width="13.1640625" style="132" customWidth="1"/>
    <col min="7686" max="7686" width="12.33203125" style="132" customWidth="1"/>
    <col min="7687" max="7687" width="11.33203125" style="132" customWidth="1"/>
    <col min="7688" max="7688" width="11.83203125" style="132" customWidth="1"/>
    <col min="7689" max="7689" width="10.83203125" style="132" customWidth="1"/>
    <col min="7690" max="7690" width="13.1640625" style="132" customWidth="1"/>
    <col min="7691" max="7691" width="11.5" style="132" customWidth="1"/>
    <col min="7692" max="7693" width="12.33203125" style="132" customWidth="1"/>
    <col min="7694" max="7694" width="13.1640625" style="132" customWidth="1"/>
    <col min="7695" max="7695" width="18.5" style="132" customWidth="1"/>
    <col min="7696" max="7696" width="7.33203125" style="132" customWidth="1"/>
    <col min="7697" max="7935" width="9.33203125" style="132"/>
    <col min="7936" max="7936" width="5.33203125" style="132" customWidth="1"/>
    <col min="7937" max="7937" width="5.5" style="132" customWidth="1"/>
    <col min="7938" max="7938" width="40.83203125" style="132" customWidth="1"/>
    <col min="7939" max="7939" width="9.83203125" style="132" customWidth="1"/>
    <col min="7940" max="7940" width="13" style="132" customWidth="1"/>
    <col min="7941" max="7941" width="13.1640625" style="132" customWidth="1"/>
    <col min="7942" max="7942" width="12.33203125" style="132" customWidth="1"/>
    <col min="7943" max="7943" width="11.33203125" style="132" customWidth="1"/>
    <col min="7944" max="7944" width="11.83203125" style="132" customWidth="1"/>
    <col min="7945" max="7945" width="10.83203125" style="132" customWidth="1"/>
    <col min="7946" max="7946" width="13.1640625" style="132" customWidth="1"/>
    <col min="7947" max="7947" width="11.5" style="132" customWidth="1"/>
    <col min="7948" max="7949" width="12.33203125" style="132" customWidth="1"/>
    <col min="7950" max="7950" width="13.1640625" style="132" customWidth="1"/>
    <col min="7951" max="7951" width="18.5" style="132" customWidth="1"/>
    <col min="7952" max="7952" width="7.33203125" style="132" customWidth="1"/>
    <col min="7953" max="8191" width="9.33203125" style="132"/>
    <col min="8192" max="8192" width="5.33203125" style="132" customWidth="1"/>
    <col min="8193" max="8193" width="5.5" style="132" customWidth="1"/>
    <col min="8194" max="8194" width="40.83203125" style="132" customWidth="1"/>
    <col min="8195" max="8195" width="9.83203125" style="132" customWidth="1"/>
    <col min="8196" max="8196" width="13" style="132" customWidth="1"/>
    <col min="8197" max="8197" width="13.1640625" style="132" customWidth="1"/>
    <col min="8198" max="8198" width="12.33203125" style="132" customWidth="1"/>
    <col min="8199" max="8199" width="11.33203125" style="132" customWidth="1"/>
    <col min="8200" max="8200" width="11.83203125" style="132" customWidth="1"/>
    <col min="8201" max="8201" width="10.83203125" style="132" customWidth="1"/>
    <col min="8202" max="8202" width="13.1640625" style="132" customWidth="1"/>
    <col min="8203" max="8203" width="11.5" style="132" customWidth="1"/>
    <col min="8204" max="8205" width="12.33203125" style="132" customWidth="1"/>
    <col min="8206" max="8206" width="13.1640625" style="132" customWidth="1"/>
    <col min="8207" max="8207" width="18.5" style="132" customWidth="1"/>
    <col min="8208" max="8208" width="7.33203125" style="132" customWidth="1"/>
    <col min="8209" max="8447" width="9.33203125" style="132"/>
    <col min="8448" max="8448" width="5.33203125" style="132" customWidth="1"/>
    <col min="8449" max="8449" width="5.5" style="132" customWidth="1"/>
    <col min="8450" max="8450" width="40.83203125" style="132" customWidth="1"/>
    <col min="8451" max="8451" width="9.83203125" style="132" customWidth="1"/>
    <col min="8452" max="8452" width="13" style="132" customWidth="1"/>
    <col min="8453" max="8453" width="13.1640625" style="132" customWidth="1"/>
    <col min="8454" max="8454" width="12.33203125" style="132" customWidth="1"/>
    <col min="8455" max="8455" width="11.33203125" style="132" customWidth="1"/>
    <col min="8456" max="8456" width="11.83203125" style="132" customWidth="1"/>
    <col min="8457" max="8457" width="10.83203125" style="132" customWidth="1"/>
    <col min="8458" max="8458" width="13.1640625" style="132" customWidth="1"/>
    <col min="8459" max="8459" width="11.5" style="132" customWidth="1"/>
    <col min="8460" max="8461" width="12.33203125" style="132" customWidth="1"/>
    <col min="8462" max="8462" width="13.1640625" style="132" customWidth="1"/>
    <col min="8463" max="8463" width="18.5" style="132" customWidth="1"/>
    <col min="8464" max="8464" width="7.33203125" style="132" customWidth="1"/>
    <col min="8465" max="8703" width="9.33203125" style="132"/>
    <col min="8704" max="8704" width="5.33203125" style="132" customWidth="1"/>
    <col min="8705" max="8705" width="5.5" style="132" customWidth="1"/>
    <col min="8706" max="8706" width="40.83203125" style="132" customWidth="1"/>
    <col min="8707" max="8707" width="9.83203125" style="132" customWidth="1"/>
    <col min="8708" max="8708" width="13" style="132" customWidth="1"/>
    <col min="8709" max="8709" width="13.1640625" style="132" customWidth="1"/>
    <col min="8710" max="8710" width="12.33203125" style="132" customWidth="1"/>
    <col min="8711" max="8711" width="11.33203125" style="132" customWidth="1"/>
    <col min="8712" max="8712" width="11.83203125" style="132" customWidth="1"/>
    <col min="8713" max="8713" width="10.83203125" style="132" customWidth="1"/>
    <col min="8714" max="8714" width="13.1640625" style="132" customWidth="1"/>
    <col min="8715" max="8715" width="11.5" style="132" customWidth="1"/>
    <col min="8716" max="8717" width="12.33203125" style="132" customWidth="1"/>
    <col min="8718" max="8718" width="13.1640625" style="132" customWidth="1"/>
    <col min="8719" max="8719" width="18.5" style="132" customWidth="1"/>
    <col min="8720" max="8720" width="7.33203125" style="132" customWidth="1"/>
    <col min="8721" max="8959" width="9.33203125" style="132"/>
    <col min="8960" max="8960" width="5.33203125" style="132" customWidth="1"/>
    <col min="8961" max="8961" width="5.5" style="132" customWidth="1"/>
    <col min="8962" max="8962" width="40.83203125" style="132" customWidth="1"/>
    <col min="8963" max="8963" width="9.83203125" style="132" customWidth="1"/>
    <col min="8964" max="8964" width="13" style="132" customWidth="1"/>
    <col min="8965" max="8965" width="13.1640625" style="132" customWidth="1"/>
    <col min="8966" max="8966" width="12.33203125" style="132" customWidth="1"/>
    <col min="8967" max="8967" width="11.33203125" style="132" customWidth="1"/>
    <col min="8968" max="8968" width="11.83203125" style="132" customWidth="1"/>
    <col min="8969" max="8969" width="10.83203125" style="132" customWidth="1"/>
    <col min="8970" max="8970" width="13.1640625" style="132" customWidth="1"/>
    <col min="8971" max="8971" width="11.5" style="132" customWidth="1"/>
    <col min="8972" max="8973" width="12.33203125" style="132" customWidth="1"/>
    <col min="8974" max="8974" width="13.1640625" style="132" customWidth="1"/>
    <col min="8975" max="8975" width="18.5" style="132" customWidth="1"/>
    <col min="8976" max="8976" width="7.33203125" style="132" customWidth="1"/>
    <col min="8977" max="9215" width="9.33203125" style="132"/>
    <col min="9216" max="9216" width="5.33203125" style="132" customWidth="1"/>
    <col min="9217" max="9217" width="5.5" style="132" customWidth="1"/>
    <col min="9218" max="9218" width="40.83203125" style="132" customWidth="1"/>
    <col min="9219" max="9219" width="9.83203125" style="132" customWidth="1"/>
    <col min="9220" max="9220" width="13" style="132" customWidth="1"/>
    <col min="9221" max="9221" width="13.1640625" style="132" customWidth="1"/>
    <col min="9222" max="9222" width="12.33203125" style="132" customWidth="1"/>
    <col min="9223" max="9223" width="11.33203125" style="132" customWidth="1"/>
    <col min="9224" max="9224" width="11.83203125" style="132" customWidth="1"/>
    <col min="9225" max="9225" width="10.83203125" style="132" customWidth="1"/>
    <col min="9226" max="9226" width="13.1640625" style="132" customWidth="1"/>
    <col min="9227" max="9227" width="11.5" style="132" customWidth="1"/>
    <col min="9228" max="9229" width="12.33203125" style="132" customWidth="1"/>
    <col min="9230" max="9230" width="13.1640625" style="132" customWidth="1"/>
    <col min="9231" max="9231" width="18.5" style="132" customWidth="1"/>
    <col min="9232" max="9232" width="7.33203125" style="132" customWidth="1"/>
    <col min="9233" max="9471" width="9.33203125" style="132"/>
    <col min="9472" max="9472" width="5.33203125" style="132" customWidth="1"/>
    <col min="9473" max="9473" width="5.5" style="132" customWidth="1"/>
    <col min="9474" max="9474" width="40.83203125" style="132" customWidth="1"/>
    <col min="9475" max="9475" width="9.83203125" style="132" customWidth="1"/>
    <col min="9476" max="9476" width="13" style="132" customWidth="1"/>
    <col min="9477" max="9477" width="13.1640625" style="132" customWidth="1"/>
    <col min="9478" max="9478" width="12.33203125" style="132" customWidth="1"/>
    <col min="9479" max="9479" width="11.33203125" style="132" customWidth="1"/>
    <col min="9480" max="9480" width="11.83203125" style="132" customWidth="1"/>
    <col min="9481" max="9481" width="10.83203125" style="132" customWidth="1"/>
    <col min="9482" max="9482" width="13.1640625" style="132" customWidth="1"/>
    <col min="9483" max="9483" width="11.5" style="132" customWidth="1"/>
    <col min="9484" max="9485" width="12.33203125" style="132" customWidth="1"/>
    <col min="9486" max="9486" width="13.1640625" style="132" customWidth="1"/>
    <col min="9487" max="9487" width="18.5" style="132" customWidth="1"/>
    <col min="9488" max="9488" width="7.33203125" style="132" customWidth="1"/>
    <col min="9489" max="9727" width="9.33203125" style="132"/>
    <col min="9728" max="9728" width="5.33203125" style="132" customWidth="1"/>
    <col min="9729" max="9729" width="5.5" style="132" customWidth="1"/>
    <col min="9730" max="9730" width="40.83203125" style="132" customWidth="1"/>
    <col min="9731" max="9731" width="9.83203125" style="132" customWidth="1"/>
    <col min="9732" max="9732" width="13" style="132" customWidth="1"/>
    <col min="9733" max="9733" width="13.1640625" style="132" customWidth="1"/>
    <col min="9734" max="9734" width="12.33203125" style="132" customWidth="1"/>
    <col min="9735" max="9735" width="11.33203125" style="132" customWidth="1"/>
    <col min="9736" max="9736" width="11.83203125" style="132" customWidth="1"/>
    <col min="9737" max="9737" width="10.83203125" style="132" customWidth="1"/>
    <col min="9738" max="9738" width="13.1640625" style="132" customWidth="1"/>
    <col min="9739" max="9739" width="11.5" style="132" customWidth="1"/>
    <col min="9740" max="9741" width="12.33203125" style="132" customWidth="1"/>
    <col min="9742" max="9742" width="13.1640625" style="132" customWidth="1"/>
    <col min="9743" max="9743" width="18.5" style="132" customWidth="1"/>
    <col min="9744" max="9744" width="7.33203125" style="132" customWidth="1"/>
    <col min="9745" max="9983" width="9.33203125" style="132"/>
    <col min="9984" max="9984" width="5.33203125" style="132" customWidth="1"/>
    <col min="9985" max="9985" width="5.5" style="132" customWidth="1"/>
    <col min="9986" max="9986" width="40.83203125" style="132" customWidth="1"/>
    <col min="9987" max="9987" width="9.83203125" style="132" customWidth="1"/>
    <col min="9988" max="9988" width="13" style="132" customWidth="1"/>
    <col min="9989" max="9989" width="13.1640625" style="132" customWidth="1"/>
    <col min="9990" max="9990" width="12.33203125" style="132" customWidth="1"/>
    <col min="9991" max="9991" width="11.33203125" style="132" customWidth="1"/>
    <col min="9992" max="9992" width="11.83203125" style="132" customWidth="1"/>
    <col min="9993" max="9993" width="10.83203125" style="132" customWidth="1"/>
    <col min="9994" max="9994" width="13.1640625" style="132" customWidth="1"/>
    <col min="9995" max="9995" width="11.5" style="132" customWidth="1"/>
    <col min="9996" max="9997" width="12.33203125" style="132" customWidth="1"/>
    <col min="9998" max="9998" width="13.1640625" style="132" customWidth="1"/>
    <col min="9999" max="9999" width="18.5" style="132" customWidth="1"/>
    <col min="10000" max="10000" width="7.33203125" style="132" customWidth="1"/>
    <col min="10001" max="10239" width="9.33203125" style="132"/>
    <col min="10240" max="10240" width="5.33203125" style="132" customWidth="1"/>
    <col min="10241" max="10241" width="5.5" style="132" customWidth="1"/>
    <col min="10242" max="10242" width="40.83203125" style="132" customWidth="1"/>
    <col min="10243" max="10243" width="9.83203125" style="132" customWidth="1"/>
    <col min="10244" max="10244" width="13" style="132" customWidth="1"/>
    <col min="10245" max="10245" width="13.1640625" style="132" customWidth="1"/>
    <col min="10246" max="10246" width="12.33203125" style="132" customWidth="1"/>
    <col min="10247" max="10247" width="11.33203125" style="132" customWidth="1"/>
    <col min="10248" max="10248" width="11.83203125" style="132" customWidth="1"/>
    <col min="10249" max="10249" width="10.83203125" style="132" customWidth="1"/>
    <col min="10250" max="10250" width="13.1640625" style="132" customWidth="1"/>
    <col min="10251" max="10251" width="11.5" style="132" customWidth="1"/>
    <col min="10252" max="10253" width="12.33203125" style="132" customWidth="1"/>
    <col min="10254" max="10254" width="13.1640625" style="132" customWidth="1"/>
    <col min="10255" max="10255" width="18.5" style="132" customWidth="1"/>
    <col min="10256" max="10256" width="7.33203125" style="132" customWidth="1"/>
    <col min="10257" max="10495" width="9.33203125" style="132"/>
    <col min="10496" max="10496" width="5.33203125" style="132" customWidth="1"/>
    <col min="10497" max="10497" width="5.5" style="132" customWidth="1"/>
    <col min="10498" max="10498" width="40.83203125" style="132" customWidth="1"/>
    <col min="10499" max="10499" width="9.83203125" style="132" customWidth="1"/>
    <col min="10500" max="10500" width="13" style="132" customWidth="1"/>
    <col min="10501" max="10501" width="13.1640625" style="132" customWidth="1"/>
    <col min="10502" max="10502" width="12.33203125" style="132" customWidth="1"/>
    <col min="10503" max="10503" width="11.33203125" style="132" customWidth="1"/>
    <col min="10504" max="10504" width="11.83203125" style="132" customWidth="1"/>
    <col min="10505" max="10505" width="10.83203125" style="132" customWidth="1"/>
    <col min="10506" max="10506" width="13.1640625" style="132" customWidth="1"/>
    <col min="10507" max="10507" width="11.5" style="132" customWidth="1"/>
    <col min="10508" max="10509" width="12.33203125" style="132" customWidth="1"/>
    <col min="10510" max="10510" width="13.1640625" style="132" customWidth="1"/>
    <col min="10511" max="10511" width="18.5" style="132" customWidth="1"/>
    <col min="10512" max="10512" width="7.33203125" style="132" customWidth="1"/>
    <col min="10513" max="10751" width="9.33203125" style="132"/>
    <col min="10752" max="10752" width="5.33203125" style="132" customWidth="1"/>
    <col min="10753" max="10753" width="5.5" style="132" customWidth="1"/>
    <col min="10754" max="10754" width="40.83203125" style="132" customWidth="1"/>
    <col min="10755" max="10755" width="9.83203125" style="132" customWidth="1"/>
    <col min="10756" max="10756" width="13" style="132" customWidth="1"/>
    <col min="10757" max="10757" width="13.1640625" style="132" customWidth="1"/>
    <col min="10758" max="10758" width="12.33203125" style="132" customWidth="1"/>
    <col min="10759" max="10759" width="11.33203125" style="132" customWidth="1"/>
    <col min="10760" max="10760" width="11.83203125" style="132" customWidth="1"/>
    <col min="10761" max="10761" width="10.83203125" style="132" customWidth="1"/>
    <col min="10762" max="10762" width="13.1640625" style="132" customWidth="1"/>
    <col min="10763" max="10763" width="11.5" style="132" customWidth="1"/>
    <col min="10764" max="10765" width="12.33203125" style="132" customWidth="1"/>
    <col min="10766" max="10766" width="13.1640625" style="132" customWidth="1"/>
    <col min="10767" max="10767" width="18.5" style="132" customWidth="1"/>
    <col min="10768" max="10768" width="7.33203125" style="132" customWidth="1"/>
    <col min="10769" max="11007" width="9.33203125" style="132"/>
    <col min="11008" max="11008" width="5.33203125" style="132" customWidth="1"/>
    <col min="11009" max="11009" width="5.5" style="132" customWidth="1"/>
    <col min="11010" max="11010" width="40.83203125" style="132" customWidth="1"/>
    <col min="11011" max="11011" width="9.83203125" style="132" customWidth="1"/>
    <col min="11012" max="11012" width="13" style="132" customWidth="1"/>
    <col min="11013" max="11013" width="13.1640625" style="132" customWidth="1"/>
    <col min="11014" max="11014" width="12.33203125" style="132" customWidth="1"/>
    <col min="11015" max="11015" width="11.33203125" style="132" customWidth="1"/>
    <col min="11016" max="11016" width="11.83203125" style="132" customWidth="1"/>
    <col min="11017" max="11017" width="10.83203125" style="132" customWidth="1"/>
    <col min="11018" max="11018" width="13.1640625" style="132" customWidth="1"/>
    <col min="11019" max="11019" width="11.5" style="132" customWidth="1"/>
    <col min="11020" max="11021" width="12.33203125" style="132" customWidth="1"/>
    <col min="11022" max="11022" width="13.1640625" style="132" customWidth="1"/>
    <col min="11023" max="11023" width="18.5" style="132" customWidth="1"/>
    <col min="11024" max="11024" width="7.33203125" style="132" customWidth="1"/>
    <col min="11025" max="11263" width="9.33203125" style="132"/>
    <col min="11264" max="11264" width="5.33203125" style="132" customWidth="1"/>
    <col min="11265" max="11265" width="5.5" style="132" customWidth="1"/>
    <col min="11266" max="11266" width="40.83203125" style="132" customWidth="1"/>
    <col min="11267" max="11267" width="9.83203125" style="132" customWidth="1"/>
    <col min="11268" max="11268" width="13" style="132" customWidth="1"/>
    <col min="11269" max="11269" width="13.1640625" style="132" customWidth="1"/>
    <col min="11270" max="11270" width="12.33203125" style="132" customWidth="1"/>
    <col min="11271" max="11271" width="11.33203125" style="132" customWidth="1"/>
    <col min="11272" max="11272" width="11.83203125" style="132" customWidth="1"/>
    <col min="11273" max="11273" width="10.83203125" style="132" customWidth="1"/>
    <col min="11274" max="11274" width="13.1640625" style="132" customWidth="1"/>
    <col min="11275" max="11275" width="11.5" style="132" customWidth="1"/>
    <col min="11276" max="11277" width="12.33203125" style="132" customWidth="1"/>
    <col min="11278" max="11278" width="13.1640625" style="132" customWidth="1"/>
    <col min="11279" max="11279" width="18.5" style="132" customWidth="1"/>
    <col min="11280" max="11280" width="7.33203125" style="132" customWidth="1"/>
    <col min="11281" max="11519" width="9.33203125" style="132"/>
    <col min="11520" max="11520" width="5.33203125" style="132" customWidth="1"/>
    <col min="11521" max="11521" width="5.5" style="132" customWidth="1"/>
    <col min="11522" max="11522" width="40.83203125" style="132" customWidth="1"/>
    <col min="11523" max="11523" width="9.83203125" style="132" customWidth="1"/>
    <col min="11524" max="11524" width="13" style="132" customWidth="1"/>
    <col min="11525" max="11525" width="13.1640625" style="132" customWidth="1"/>
    <col min="11526" max="11526" width="12.33203125" style="132" customWidth="1"/>
    <col min="11527" max="11527" width="11.33203125" style="132" customWidth="1"/>
    <col min="11528" max="11528" width="11.83203125" style="132" customWidth="1"/>
    <col min="11529" max="11529" width="10.83203125" style="132" customWidth="1"/>
    <col min="11530" max="11530" width="13.1640625" style="132" customWidth="1"/>
    <col min="11531" max="11531" width="11.5" style="132" customWidth="1"/>
    <col min="11532" max="11533" width="12.33203125" style="132" customWidth="1"/>
    <col min="11534" max="11534" width="13.1640625" style="132" customWidth="1"/>
    <col min="11535" max="11535" width="18.5" style="132" customWidth="1"/>
    <col min="11536" max="11536" width="7.33203125" style="132" customWidth="1"/>
    <col min="11537" max="11775" width="9.33203125" style="132"/>
    <col min="11776" max="11776" width="5.33203125" style="132" customWidth="1"/>
    <col min="11777" max="11777" width="5.5" style="132" customWidth="1"/>
    <col min="11778" max="11778" width="40.83203125" style="132" customWidth="1"/>
    <col min="11779" max="11779" width="9.83203125" style="132" customWidth="1"/>
    <col min="11780" max="11780" width="13" style="132" customWidth="1"/>
    <col min="11781" max="11781" width="13.1640625" style="132" customWidth="1"/>
    <col min="11782" max="11782" width="12.33203125" style="132" customWidth="1"/>
    <col min="11783" max="11783" width="11.33203125" style="132" customWidth="1"/>
    <col min="11784" max="11784" width="11.83203125" style="132" customWidth="1"/>
    <col min="11785" max="11785" width="10.83203125" style="132" customWidth="1"/>
    <col min="11786" max="11786" width="13.1640625" style="132" customWidth="1"/>
    <col min="11787" max="11787" width="11.5" style="132" customWidth="1"/>
    <col min="11788" max="11789" width="12.33203125" style="132" customWidth="1"/>
    <col min="11790" max="11790" width="13.1640625" style="132" customWidth="1"/>
    <col min="11791" max="11791" width="18.5" style="132" customWidth="1"/>
    <col min="11792" max="11792" width="7.33203125" style="132" customWidth="1"/>
    <col min="11793" max="12031" width="9.33203125" style="132"/>
    <col min="12032" max="12032" width="5.33203125" style="132" customWidth="1"/>
    <col min="12033" max="12033" width="5.5" style="132" customWidth="1"/>
    <col min="12034" max="12034" width="40.83203125" style="132" customWidth="1"/>
    <col min="12035" max="12035" width="9.83203125" style="132" customWidth="1"/>
    <col min="12036" max="12036" width="13" style="132" customWidth="1"/>
    <col min="12037" max="12037" width="13.1640625" style="132" customWidth="1"/>
    <col min="12038" max="12038" width="12.33203125" style="132" customWidth="1"/>
    <col min="12039" max="12039" width="11.33203125" style="132" customWidth="1"/>
    <col min="12040" max="12040" width="11.83203125" style="132" customWidth="1"/>
    <col min="12041" max="12041" width="10.83203125" style="132" customWidth="1"/>
    <col min="12042" max="12042" width="13.1640625" style="132" customWidth="1"/>
    <col min="12043" max="12043" width="11.5" style="132" customWidth="1"/>
    <col min="12044" max="12045" width="12.33203125" style="132" customWidth="1"/>
    <col min="12046" max="12046" width="13.1640625" style="132" customWidth="1"/>
    <col min="12047" max="12047" width="18.5" style="132" customWidth="1"/>
    <col min="12048" max="12048" width="7.33203125" style="132" customWidth="1"/>
    <col min="12049" max="12287" width="9.33203125" style="132"/>
    <col min="12288" max="12288" width="5.33203125" style="132" customWidth="1"/>
    <col min="12289" max="12289" width="5.5" style="132" customWidth="1"/>
    <col min="12290" max="12290" width="40.83203125" style="132" customWidth="1"/>
    <col min="12291" max="12291" width="9.83203125" style="132" customWidth="1"/>
    <col min="12292" max="12292" width="13" style="132" customWidth="1"/>
    <col min="12293" max="12293" width="13.1640625" style="132" customWidth="1"/>
    <col min="12294" max="12294" width="12.33203125" style="132" customWidth="1"/>
    <col min="12295" max="12295" width="11.33203125" style="132" customWidth="1"/>
    <col min="12296" max="12296" width="11.83203125" style="132" customWidth="1"/>
    <col min="12297" max="12297" width="10.83203125" style="132" customWidth="1"/>
    <col min="12298" max="12298" width="13.1640625" style="132" customWidth="1"/>
    <col min="12299" max="12299" width="11.5" style="132" customWidth="1"/>
    <col min="12300" max="12301" width="12.33203125" style="132" customWidth="1"/>
    <col min="12302" max="12302" width="13.1640625" style="132" customWidth="1"/>
    <col min="12303" max="12303" width="18.5" style="132" customWidth="1"/>
    <col min="12304" max="12304" width="7.33203125" style="132" customWidth="1"/>
    <col min="12305" max="12543" width="9.33203125" style="132"/>
    <col min="12544" max="12544" width="5.33203125" style="132" customWidth="1"/>
    <col min="12545" max="12545" width="5.5" style="132" customWidth="1"/>
    <col min="12546" max="12546" width="40.83203125" style="132" customWidth="1"/>
    <col min="12547" max="12547" width="9.83203125" style="132" customWidth="1"/>
    <col min="12548" max="12548" width="13" style="132" customWidth="1"/>
    <col min="12549" max="12549" width="13.1640625" style="132" customWidth="1"/>
    <col min="12550" max="12550" width="12.33203125" style="132" customWidth="1"/>
    <col min="12551" max="12551" width="11.33203125" style="132" customWidth="1"/>
    <col min="12552" max="12552" width="11.83203125" style="132" customWidth="1"/>
    <col min="12553" max="12553" width="10.83203125" style="132" customWidth="1"/>
    <col min="12554" max="12554" width="13.1640625" style="132" customWidth="1"/>
    <col min="12555" max="12555" width="11.5" style="132" customWidth="1"/>
    <col min="12556" max="12557" width="12.33203125" style="132" customWidth="1"/>
    <col min="12558" max="12558" width="13.1640625" style="132" customWidth="1"/>
    <col min="12559" max="12559" width="18.5" style="132" customWidth="1"/>
    <col min="12560" max="12560" width="7.33203125" style="132" customWidth="1"/>
    <col min="12561" max="12799" width="9.33203125" style="132"/>
    <col min="12800" max="12800" width="5.33203125" style="132" customWidth="1"/>
    <col min="12801" max="12801" width="5.5" style="132" customWidth="1"/>
    <col min="12802" max="12802" width="40.83203125" style="132" customWidth="1"/>
    <col min="12803" max="12803" width="9.83203125" style="132" customWidth="1"/>
    <col min="12804" max="12804" width="13" style="132" customWidth="1"/>
    <col min="12805" max="12805" width="13.1640625" style="132" customWidth="1"/>
    <col min="12806" max="12806" width="12.33203125" style="132" customWidth="1"/>
    <col min="12807" max="12807" width="11.33203125" style="132" customWidth="1"/>
    <col min="12808" max="12808" width="11.83203125" style="132" customWidth="1"/>
    <col min="12809" max="12809" width="10.83203125" style="132" customWidth="1"/>
    <col min="12810" max="12810" width="13.1640625" style="132" customWidth="1"/>
    <col min="12811" max="12811" width="11.5" style="132" customWidth="1"/>
    <col min="12812" max="12813" width="12.33203125" style="132" customWidth="1"/>
    <col min="12814" max="12814" width="13.1640625" style="132" customWidth="1"/>
    <col min="12815" max="12815" width="18.5" style="132" customWidth="1"/>
    <col min="12816" max="12816" width="7.33203125" style="132" customWidth="1"/>
    <col min="12817" max="13055" width="9.33203125" style="132"/>
    <col min="13056" max="13056" width="5.33203125" style="132" customWidth="1"/>
    <col min="13057" max="13057" width="5.5" style="132" customWidth="1"/>
    <col min="13058" max="13058" width="40.83203125" style="132" customWidth="1"/>
    <col min="13059" max="13059" width="9.83203125" style="132" customWidth="1"/>
    <col min="13060" max="13060" width="13" style="132" customWidth="1"/>
    <col min="13061" max="13061" width="13.1640625" style="132" customWidth="1"/>
    <col min="13062" max="13062" width="12.33203125" style="132" customWidth="1"/>
    <col min="13063" max="13063" width="11.33203125" style="132" customWidth="1"/>
    <col min="13064" max="13064" width="11.83203125" style="132" customWidth="1"/>
    <col min="13065" max="13065" width="10.83203125" style="132" customWidth="1"/>
    <col min="13066" max="13066" width="13.1640625" style="132" customWidth="1"/>
    <col min="13067" max="13067" width="11.5" style="132" customWidth="1"/>
    <col min="13068" max="13069" width="12.33203125" style="132" customWidth="1"/>
    <col min="13070" max="13070" width="13.1640625" style="132" customWidth="1"/>
    <col min="13071" max="13071" width="18.5" style="132" customWidth="1"/>
    <col min="13072" max="13072" width="7.33203125" style="132" customWidth="1"/>
    <col min="13073" max="13311" width="9.33203125" style="132"/>
    <col min="13312" max="13312" width="5.33203125" style="132" customWidth="1"/>
    <col min="13313" max="13313" width="5.5" style="132" customWidth="1"/>
    <col min="13314" max="13314" width="40.83203125" style="132" customWidth="1"/>
    <col min="13315" max="13315" width="9.83203125" style="132" customWidth="1"/>
    <col min="13316" max="13316" width="13" style="132" customWidth="1"/>
    <col min="13317" max="13317" width="13.1640625" style="132" customWidth="1"/>
    <col min="13318" max="13318" width="12.33203125" style="132" customWidth="1"/>
    <col min="13319" max="13319" width="11.33203125" style="132" customWidth="1"/>
    <col min="13320" max="13320" width="11.83203125" style="132" customWidth="1"/>
    <col min="13321" max="13321" width="10.83203125" style="132" customWidth="1"/>
    <col min="13322" max="13322" width="13.1640625" style="132" customWidth="1"/>
    <col min="13323" max="13323" width="11.5" style="132" customWidth="1"/>
    <col min="13324" max="13325" width="12.33203125" style="132" customWidth="1"/>
    <col min="13326" max="13326" width="13.1640625" style="132" customWidth="1"/>
    <col min="13327" max="13327" width="18.5" style="132" customWidth="1"/>
    <col min="13328" max="13328" width="7.33203125" style="132" customWidth="1"/>
    <col min="13329" max="13567" width="9.33203125" style="132"/>
    <col min="13568" max="13568" width="5.33203125" style="132" customWidth="1"/>
    <col min="13569" max="13569" width="5.5" style="132" customWidth="1"/>
    <col min="13570" max="13570" width="40.83203125" style="132" customWidth="1"/>
    <col min="13571" max="13571" width="9.83203125" style="132" customWidth="1"/>
    <col min="13572" max="13572" width="13" style="132" customWidth="1"/>
    <col min="13573" max="13573" width="13.1640625" style="132" customWidth="1"/>
    <col min="13574" max="13574" width="12.33203125" style="132" customWidth="1"/>
    <col min="13575" max="13575" width="11.33203125" style="132" customWidth="1"/>
    <col min="13576" max="13576" width="11.83203125" style="132" customWidth="1"/>
    <col min="13577" max="13577" width="10.83203125" style="132" customWidth="1"/>
    <col min="13578" max="13578" width="13.1640625" style="132" customWidth="1"/>
    <col min="13579" max="13579" width="11.5" style="132" customWidth="1"/>
    <col min="13580" max="13581" width="12.33203125" style="132" customWidth="1"/>
    <col min="13582" max="13582" width="13.1640625" style="132" customWidth="1"/>
    <col min="13583" max="13583" width="18.5" style="132" customWidth="1"/>
    <col min="13584" max="13584" width="7.33203125" style="132" customWidth="1"/>
    <col min="13585" max="13823" width="9.33203125" style="132"/>
    <col min="13824" max="13824" width="5.33203125" style="132" customWidth="1"/>
    <col min="13825" max="13825" width="5.5" style="132" customWidth="1"/>
    <col min="13826" max="13826" width="40.83203125" style="132" customWidth="1"/>
    <col min="13827" max="13827" width="9.83203125" style="132" customWidth="1"/>
    <col min="13828" max="13828" width="13" style="132" customWidth="1"/>
    <col min="13829" max="13829" width="13.1640625" style="132" customWidth="1"/>
    <col min="13830" max="13830" width="12.33203125" style="132" customWidth="1"/>
    <col min="13831" max="13831" width="11.33203125" style="132" customWidth="1"/>
    <col min="13832" max="13832" width="11.83203125" style="132" customWidth="1"/>
    <col min="13833" max="13833" width="10.83203125" style="132" customWidth="1"/>
    <col min="13834" max="13834" width="13.1640625" style="132" customWidth="1"/>
    <col min="13835" max="13835" width="11.5" style="132" customWidth="1"/>
    <col min="13836" max="13837" width="12.33203125" style="132" customWidth="1"/>
    <col min="13838" max="13838" width="13.1640625" style="132" customWidth="1"/>
    <col min="13839" max="13839" width="18.5" style="132" customWidth="1"/>
    <col min="13840" max="13840" width="7.33203125" style="132" customWidth="1"/>
    <col min="13841" max="14079" width="9.33203125" style="132"/>
    <col min="14080" max="14080" width="5.33203125" style="132" customWidth="1"/>
    <col min="14081" max="14081" width="5.5" style="132" customWidth="1"/>
    <col min="14082" max="14082" width="40.83203125" style="132" customWidth="1"/>
    <col min="14083" max="14083" width="9.83203125" style="132" customWidth="1"/>
    <col min="14084" max="14084" width="13" style="132" customWidth="1"/>
    <col min="14085" max="14085" width="13.1640625" style="132" customWidth="1"/>
    <col min="14086" max="14086" width="12.33203125" style="132" customWidth="1"/>
    <col min="14087" max="14087" width="11.33203125" style="132" customWidth="1"/>
    <col min="14088" max="14088" width="11.83203125" style="132" customWidth="1"/>
    <col min="14089" max="14089" width="10.83203125" style="132" customWidth="1"/>
    <col min="14090" max="14090" width="13.1640625" style="132" customWidth="1"/>
    <col min="14091" max="14091" width="11.5" style="132" customWidth="1"/>
    <col min="14092" max="14093" width="12.33203125" style="132" customWidth="1"/>
    <col min="14094" max="14094" width="13.1640625" style="132" customWidth="1"/>
    <col min="14095" max="14095" width="18.5" style="132" customWidth="1"/>
    <col min="14096" max="14096" width="7.33203125" style="132" customWidth="1"/>
    <col min="14097" max="14335" width="9.33203125" style="132"/>
    <col min="14336" max="14336" width="5.33203125" style="132" customWidth="1"/>
    <col min="14337" max="14337" width="5.5" style="132" customWidth="1"/>
    <col min="14338" max="14338" width="40.83203125" style="132" customWidth="1"/>
    <col min="14339" max="14339" width="9.83203125" style="132" customWidth="1"/>
    <col min="14340" max="14340" width="13" style="132" customWidth="1"/>
    <col min="14341" max="14341" width="13.1640625" style="132" customWidth="1"/>
    <col min="14342" max="14342" width="12.33203125" style="132" customWidth="1"/>
    <col min="14343" max="14343" width="11.33203125" style="132" customWidth="1"/>
    <col min="14344" max="14344" width="11.83203125" style="132" customWidth="1"/>
    <col min="14345" max="14345" width="10.83203125" style="132" customWidth="1"/>
    <col min="14346" max="14346" width="13.1640625" style="132" customWidth="1"/>
    <col min="14347" max="14347" width="11.5" style="132" customWidth="1"/>
    <col min="14348" max="14349" width="12.33203125" style="132" customWidth="1"/>
    <col min="14350" max="14350" width="13.1640625" style="132" customWidth="1"/>
    <col min="14351" max="14351" width="18.5" style="132" customWidth="1"/>
    <col min="14352" max="14352" width="7.33203125" style="132" customWidth="1"/>
    <col min="14353" max="14591" width="9.33203125" style="132"/>
    <col min="14592" max="14592" width="5.33203125" style="132" customWidth="1"/>
    <col min="14593" max="14593" width="5.5" style="132" customWidth="1"/>
    <col min="14594" max="14594" width="40.83203125" style="132" customWidth="1"/>
    <col min="14595" max="14595" width="9.83203125" style="132" customWidth="1"/>
    <col min="14596" max="14596" width="13" style="132" customWidth="1"/>
    <col min="14597" max="14597" width="13.1640625" style="132" customWidth="1"/>
    <col min="14598" max="14598" width="12.33203125" style="132" customWidth="1"/>
    <col min="14599" max="14599" width="11.33203125" style="132" customWidth="1"/>
    <col min="14600" max="14600" width="11.83203125" style="132" customWidth="1"/>
    <col min="14601" max="14601" width="10.83203125" style="132" customWidth="1"/>
    <col min="14602" max="14602" width="13.1640625" style="132" customWidth="1"/>
    <col min="14603" max="14603" width="11.5" style="132" customWidth="1"/>
    <col min="14604" max="14605" width="12.33203125" style="132" customWidth="1"/>
    <col min="14606" max="14606" width="13.1640625" style="132" customWidth="1"/>
    <col min="14607" max="14607" width="18.5" style="132" customWidth="1"/>
    <col min="14608" max="14608" width="7.33203125" style="132" customWidth="1"/>
    <col min="14609" max="14847" width="9.33203125" style="132"/>
    <col min="14848" max="14848" width="5.33203125" style="132" customWidth="1"/>
    <col min="14849" max="14849" width="5.5" style="132" customWidth="1"/>
    <col min="14850" max="14850" width="40.83203125" style="132" customWidth="1"/>
    <col min="14851" max="14851" width="9.83203125" style="132" customWidth="1"/>
    <col min="14852" max="14852" width="13" style="132" customWidth="1"/>
    <col min="14853" max="14853" width="13.1640625" style="132" customWidth="1"/>
    <col min="14854" max="14854" width="12.33203125" style="132" customWidth="1"/>
    <col min="14855" max="14855" width="11.33203125" style="132" customWidth="1"/>
    <col min="14856" max="14856" width="11.83203125" style="132" customWidth="1"/>
    <col min="14857" max="14857" width="10.83203125" style="132" customWidth="1"/>
    <col min="14858" max="14858" width="13.1640625" style="132" customWidth="1"/>
    <col min="14859" max="14859" width="11.5" style="132" customWidth="1"/>
    <col min="14860" max="14861" width="12.33203125" style="132" customWidth="1"/>
    <col min="14862" max="14862" width="13.1640625" style="132" customWidth="1"/>
    <col min="14863" max="14863" width="18.5" style="132" customWidth="1"/>
    <col min="14864" max="14864" width="7.33203125" style="132" customWidth="1"/>
    <col min="14865" max="15103" width="9.33203125" style="132"/>
    <col min="15104" max="15104" width="5.33203125" style="132" customWidth="1"/>
    <col min="15105" max="15105" width="5.5" style="132" customWidth="1"/>
    <col min="15106" max="15106" width="40.83203125" style="132" customWidth="1"/>
    <col min="15107" max="15107" width="9.83203125" style="132" customWidth="1"/>
    <col min="15108" max="15108" width="13" style="132" customWidth="1"/>
    <col min="15109" max="15109" width="13.1640625" style="132" customWidth="1"/>
    <col min="15110" max="15110" width="12.33203125" style="132" customWidth="1"/>
    <col min="15111" max="15111" width="11.33203125" style="132" customWidth="1"/>
    <col min="15112" max="15112" width="11.83203125" style="132" customWidth="1"/>
    <col min="15113" max="15113" width="10.83203125" style="132" customWidth="1"/>
    <col min="15114" max="15114" width="13.1640625" style="132" customWidth="1"/>
    <col min="15115" max="15115" width="11.5" style="132" customWidth="1"/>
    <col min="15116" max="15117" width="12.33203125" style="132" customWidth="1"/>
    <col min="15118" max="15118" width="13.1640625" style="132" customWidth="1"/>
    <col min="15119" max="15119" width="18.5" style="132" customWidth="1"/>
    <col min="15120" max="15120" width="7.33203125" style="132" customWidth="1"/>
    <col min="15121" max="15359" width="9.33203125" style="132"/>
    <col min="15360" max="15360" width="5.33203125" style="132" customWidth="1"/>
    <col min="15361" max="15361" width="5.5" style="132" customWidth="1"/>
    <col min="15362" max="15362" width="40.83203125" style="132" customWidth="1"/>
    <col min="15363" max="15363" width="9.83203125" style="132" customWidth="1"/>
    <col min="15364" max="15364" width="13" style="132" customWidth="1"/>
    <col min="15365" max="15365" width="13.1640625" style="132" customWidth="1"/>
    <col min="15366" max="15366" width="12.33203125" style="132" customWidth="1"/>
    <col min="15367" max="15367" width="11.33203125" style="132" customWidth="1"/>
    <col min="15368" max="15368" width="11.83203125" style="132" customWidth="1"/>
    <col min="15369" max="15369" width="10.83203125" style="132" customWidth="1"/>
    <col min="15370" max="15370" width="13.1640625" style="132" customWidth="1"/>
    <col min="15371" max="15371" width="11.5" style="132" customWidth="1"/>
    <col min="15372" max="15373" width="12.33203125" style="132" customWidth="1"/>
    <col min="15374" max="15374" width="13.1640625" style="132" customWidth="1"/>
    <col min="15375" max="15375" width="18.5" style="132" customWidth="1"/>
    <col min="15376" max="15376" width="7.33203125" style="132" customWidth="1"/>
    <col min="15377" max="15615" width="9.33203125" style="132"/>
    <col min="15616" max="15616" width="5.33203125" style="132" customWidth="1"/>
    <col min="15617" max="15617" width="5.5" style="132" customWidth="1"/>
    <col min="15618" max="15618" width="40.83203125" style="132" customWidth="1"/>
    <col min="15619" max="15619" width="9.83203125" style="132" customWidth="1"/>
    <col min="15620" max="15620" width="13" style="132" customWidth="1"/>
    <col min="15621" max="15621" width="13.1640625" style="132" customWidth="1"/>
    <col min="15622" max="15622" width="12.33203125" style="132" customWidth="1"/>
    <col min="15623" max="15623" width="11.33203125" style="132" customWidth="1"/>
    <col min="15624" max="15624" width="11.83203125" style="132" customWidth="1"/>
    <col min="15625" max="15625" width="10.83203125" style="132" customWidth="1"/>
    <col min="15626" max="15626" width="13.1640625" style="132" customWidth="1"/>
    <col min="15627" max="15627" width="11.5" style="132" customWidth="1"/>
    <col min="15628" max="15629" width="12.33203125" style="132" customWidth="1"/>
    <col min="15630" max="15630" width="13.1640625" style="132" customWidth="1"/>
    <col min="15631" max="15631" width="18.5" style="132" customWidth="1"/>
    <col min="15632" max="15632" width="7.33203125" style="132" customWidth="1"/>
    <col min="15633" max="15871" width="9.33203125" style="132"/>
    <col min="15872" max="15872" width="5.33203125" style="132" customWidth="1"/>
    <col min="15873" max="15873" width="5.5" style="132" customWidth="1"/>
    <col min="15874" max="15874" width="40.83203125" style="132" customWidth="1"/>
    <col min="15875" max="15875" width="9.83203125" style="132" customWidth="1"/>
    <col min="15876" max="15876" width="13" style="132" customWidth="1"/>
    <col min="15877" max="15877" width="13.1640625" style="132" customWidth="1"/>
    <col min="15878" max="15878" width="12.33203125" style="132" customWidth="1"/>
    <col min="15879" max="15879" width="11.33203125" style="132" customWidth="1"/>
    <col min="15880" max="15880" width="11.83203125" style="132" customWidth="1"/>
    <col min="15881" max="15881" width="10.83203125" style="132" customWidth="1"/>
    <col min="15882" max="15882" width="13.1640625" style="132" customWidth="1"/>
    <col min="15883" max="15883" width="11.5" style="132" customWidth="1"/>
    <col min="15884" max="15885" width="12.33203125" style="132" customWidth="1"/>
    <col min="15886" max="15886" width="13.1640625" style="132" customWidth="1"/>
    <col min="15887" max="15887" width="18.5" style="132" customWidth="1"/>
    <col min="15888" max="15888" width="7.33203125" style="132" customWidth="1"/>
    <col min="15889" max="16127" width="9.33203125" style="132"/>
    <col min="16128" max="16128" width="5.33203125" style="132" customWidth="1"/>
    <col min="16129" max="16129" width="5.5" style="132" customWidth="1"/>
    <col min="16130" max="16130" width="40.83203125" style="132" customWidth="1"/>
    <col min="16131" max="16131" width="9.83203125" style="132" customWidth="1"/>
    <col min="16132" max="16132" width="13" style="132" customWidth="1"/>
    <col min="16133" max="16133" width="13.1640625" style="132" customWidth="1"/>
    <col min="16134" max="16134" width="12.33203125" style="132" customWidth="1"/>
    <col min="16135" max="16135" width="11.33203125" style="132" customWidth="1"/>
    <col min="16136" max="16136" width="11.83203125" style="132" customWidth="1"/>
    <col min="16137" max="16137" width="10.83203125" style="132" customWidth="1"/>
    <col min="16138" max="16138" width="13.1640625" style="132" customWidth="1"/>
    <col min="16139" max="16139" width="11.5" style="132" customWidth="1"/>
    <col min="16140" max="16141" width="12.33203125" style="132" customWidth="1"/>
    <col min="16142" max="16142" width="13.1640625" style="132" customWidth="1"/>
    <col min="16143" max="16143" width="18.5" style="132" customWidth="1"/>
    <col min="16144" max="16144" width="7.33203125" style="132" customWidth="1"/>
    <col min="16145" max="16384" width="9.33203125" style="132"/>
  </cols>
  <sheetData>
    <row r="1" spans="1:15" ht="13.5" x14ac:dyDescent="0.25">
      <c r="A1" s="953" t="s">
        <v>97</v>
      </c>
      <c r="B1" s="953" t="s">
        <v>98</v>
      </c>
      <c r="C1" s="951" t="s">
        <v>137</v>
      </c>
      <c r="D1" s="953" t="s">
        <v>228</v>
      </c>
      <c r="E1" s="955" t="s">
        <v>144</v>
      </c>
      <c r="F1" s="955"/>
      <c r="G1" s="955"/>
      <c r="H1" s="955"/>
      <c r="I1" s="955"/>
      <c r="J1" s="955"/>
      <c r="K1" s="955"/>
      <c r="L1" s="956" t="s">
        <v>211</v>
      </c>
      <c r="M1" s="956"/>
      <c r="N1" s="956"/>
      <c r="O1" s="951" t="s">
        <v>14</v>
      </c>
    </row>
    <row r="2" spans="1:15" s="136" customFormat="1" ht="54.95" customHeight="1" x14ac:dyDescent="0.2">
      <c r="A2" s="953"/>
      <c r="B2" s="953"/>
      <c r="C2" s="951"/>
      <c r="D2" s="954"/>
      <c r="E2" s="133" t="s">
        <v>15</v>
      </c>
      <c r="F2" s="133" t="s">
        <v>16</v>
      </c>
      <c r="G2" s="134" t="s">
        <v>17</v>
      </c>
      <c r="H2" s="135" t="s">
        <v>207</v>
      </c>
      <c r="I2" s="134" t="s">
        <v>208</v>
      </c>
      <c r="J2" s="134" t="s">
        <v>209</v>
      </c>
      <c r="K2" s="134" t="s">
        <v>210</v>
      </c>
      <c r="L2" s="134" t="s">
        <v>145</v>
      </c>
      <c r="M2" s="134" t="s">
        <v>146</v>
      </c>
      <c r="N2" s="134" t="s">
        <v>148</v>
      </c>
      <c r="O2" s="951"/>
    </row>
    <row r="3" spans="1:15" s="136" customFormat="1" ht="12.95" customHeight="1" x14ac:dyDescent="0.2">
      <c r="A3" s="137">
        <v>1</v>
      </c>
      <c r="B3" s="137"/>
      <c r="C3" s="390" t="s">
        <v>195</v>
      </c>
      <c r="D3" s="391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</row>
    <row r="4" spans="1:15" s="136" customFormat="1" ht="12.95" customHeight="1" x14ac:dyDescent="0.2">
      <c r="A4" s="138">
        <v>1</v>
      </c>
      <c r="B4" s="138">
        <v>1</v>
      </c>
      <c r="C4" s="393" t="s">
        <v>6</v>
      </c>
      <c r="D4" s="394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</row>
    <row r="5" spans="1:15" s="141" customFormat="1" ht="13.5" customHeight="1" x14ac:dyDescent="0.2">
      <c r="A5" s="140">
        <v>1</v>
      </c>
      <c r="B5" s="140">
        <v>12</v>
      </c>
      <c r="C5" s="396" t="s">
        <v>108</v>
      </c>
      <c r="D5" s="397"/>
      <c r="E5" s="398"/>
      <c r="F5" s="398"/>
      <c r="G5" s="399"/>
      <c r="H5" s="399"/>
      <c r="I5" s="399"/>
      <c r="J5" s="399"/>
      <c r="K5" s="399"/>
      <c r="L5" s="399"/>
      <c r="M5" s="399"/>
      <c r="N5" s="399"/>
      <c r="O5" s="399"/>
    </row>
    <row r="6" spans="1:15" s="141" customFormat="1" ht="24.95" customHeight="1" x14ac:dyDescent="0.2">
      <c r="A6" s="140"/>
      <c r="B6" s="140"/>
      <c r="C6" s="400" t="s">
        <v>229</v>
      </c>
      <c r="D6" s="401"/>
      <c r="E6" s="398"/>
      <c r="F6" s="398"/>
      <c r="G6" s="399"/>
      <c r="H6" s="399"/>
      <c r="I6" s="399"/>
      <c r="J6" s="399"/>
      <c r="K6" s="399"/>
      <c r="L6" s="399"/>
      <c r="M6" s="399"/>
      <c r="N6" s="399"/>
      <c r="O6" s="399"/>
    </row>
    <row r="7" spans="1:15" s="141" customFormat="1" ht="17.100000000000001" customHeight="1" x14ac:dyDescent="0.2">
      <c r="A7" s="138"/>
      <c r="B7" s="138"/>
      <c r="C7" s="402" t="s">
        <v>230</v>
      </c>
      <c r="D7" s="403" t="s">
        <v>231</v>
      </c>
      <c r="E7" s="399">
        <f>0+táj.1!E7</f>
        <v>0</v>
      </c>
      <c r="F7" s="399">
        <f>0+táj.1!F7</f>
        <v>0</v>
      </c>
      <c r="G7" s="399">
        <f>0+táj.1!G7</f>
        <v>0</v>
      </c>
      <c r="H7" s="399">
        <f>9906+táj.1!H7</f>
        <v>9906</v>
      </c>
      <c r="I7" s="399">
        <f>0+táj.1!I7</f>
        <v>0</v>
      </c>
      <c r="J7" s="399">
        <f>0+táj.1!J7</f>
        <v>0</v>
      </c>
      <c r="K7" s="399">
        <f>0+táj.1!K7</f>
        <v>0</v>
      </c>
      <c r="L7" s="399">
        <f>0+táj.1!L7</f>
        <v>0</v>
      </c>
      <c r="M7" s="399">
        <f>0+táj.1!M7</f>
        <v>0</v>
      </c>
      <c r="N7" s="399">
        <f>0+táj.1!N7</f>
        <v>0</v>
      </c>
      <c r="O7" s="399">
        <f>SUM(H7:N7)</f>
        <v>9906</v>
      </c>
    </row>
    <row r="8" spans="1:15" s="141" customFormat="1" ht="17.100000000000001" customHeight="1" x14ac:dyDescent="0.2">
      <c r="A8" s="779"/>
      <c r="B8" s="779"/>
      <c r="C8" s="781" t="s">
        <v>375</v>
      </c>
      <c r="D8" s="782"/>
      <c r="E8" s="399"/>
      <c r="F8" s="780"/>
      <c r="G8" s="780"/>
      <c r="H8" s="780"/>
      <c r="I8" s="780"/>
      <c r="J8" s="780"/>
      <c r="K8" s="780"/>
      <c r="L8" s="780"/>
      <c r="M8" s="780"/>
      <c r="N8" s="780"/>
      <c r="O8" s="399"/>
    </row>
    <row r="9" spans="1:15" s="141" customFormat="1" ht="17.100000000000001" customHeight="1" x14ac:dyDescent="0.2">
      <c r="A9" s="779"/>
      <c r="B9" s="779"/>
      <c r="C9" s="783" t="s">
        <v>376</v>
      </c>
      <c r="D9" s="784">
        <v>121517</v>
      </c>
      <c r="E9" s="399">
        <f>0+táj.1!E9</f>
        <v>0</v>
      </c>
      <c r="F9" s="399">
        <f>0+táj.1!F9</f>
        <v>0</v>
      </c>
      <c r="G9" s="399">
        <f>0+táj.1!G9</f>
        <v>0</v>
      </c>
      <c r="H9" s="399">
        <f>0+táj.1!H9</f>
        <v>0</v>
      </c>
      <c r="I9" s="399">
        <f>0+táj.1!I9</f>
        <v>0</v>
      </c>
      <c r="J9" s="399">
        <f>243+táj.1!J9</f>
        <v>243</v>
      </c>
      <c r="K9" s="399">
        <f>0+táj.1!K9</f>
        <v>0</v>
      </c>
      <c r="L9" s="399">
        <f>0+táj.1!L9</f>
        <v>0</v>
      </c>
      <c r="M9" s="399">
        <f>0+táj.1!M9</f>
        <v>0</v>
      </c>
      <c r="N9" s="399">
        <f>0+táj.1!N9</f>
        <v>0</v>
      </c>
      <c r="O9" s="399">
        <f t="shared" ref="O9" si="0">SUM(H9:N9)</f>
        <v>243</v>
      </c>
    </row>
    <row r="10" spans="1:15" s="141" customFormat="1" ht="13.5" customHeight="1" x14ac:dyDescent="0.2">
      <c r="A10" s="142"/>
      <c r="B10" s="142"/>
      <c r="C10" s="404" t="s">
        <v>232</v>
      </c>
      <c r="D10" s="405"/>
      <c r="E10" s="405">
        <f>SUM(E5:E9)</f>
        <v>0</v>
      </c>
      <c r="F10" s="405">
        <f t="shared" ref="F10:O10" si="1">SUM(F5:F9)</f>
        <v>0</v>
      </c>
      <c r="G10" s="405">
        <f t="shared" si="1"/>
        <v>0</v>
      </c>
      <c r="H10" s="405">
        <f t="shared" si="1"/>
        <v>9906</v>
      </c>
      <c r="I10" s="405">
        <f t="shared" si="1"/>
        <v>0</v>
      </c>
      <c r="J10" s="405">
        <f t="shared" si="1"/>
        <v>243</v>
      </c>
      <c r="K10" s="405">
        <f t="shared" si="1"/>
        <v>0</v>
      </c>
      <c r="L10" s="405">
        <f t="shared" si="1"/>
        <v>0</v>
      </c>
      <c r="M10" s="405">
        <f t="shared" si="1"/>
        <v>0</v>
      </c>
      <c r="N10" s="405">
        <f t="shared" si="1"/>
        <v>0</v>
      </c>
      <c r="O10" s="405">
        <f t="shared" si="1"/>
        <v>10149</v>
      </c>
    </row>
    <row r="11" spans="1:15" s="141" customFormat="1" ht="13.5" customHeight="1" x14ac:dyDescent="0.2">
      <c r="A11" s="139">
        <v>1</v>
      </c>
      <c r="B11" s="139">
        <v>13</v>
      </c>
      <c r="C11" s="396" t="s">
        <v>109</v>
      </c>
      <c r="D11" s="403"/>
      <c r="E11" s="406"/>
      <c r="F11" s="407"/>
      <c r="G11" s="407"/>
      <c r="H11" s="407"/>
      <c r="I11" s="407"/>
      <c r="J11" s="407"/>
      <c r="K11" s="407"/>
      <c r="L11" s="407"/>
      <c r="M11" s="407"/>
      <c r="N11" s="407"/>
      <c r="O11" s="407"/>
    </row>
    <row r="12" spans="1:15" s="141" customFormat="1" ht="13.5" customHeight="1" x14ac:dyDescent="0.2">
      <c r="A12" s="139"/>
      <c r="B12" s="139"/>
      <c r="C12" s="400" t="s">
        <v>233</v>
      </c>
      <c r="D12" s="403"/>
      <c r="E12" s="399"/>
      <c r="F12" s="399"/>
      <c r="G12" s="399"/>
      <c r="H12" s="399"/>
      <c r="I12" s="399"/>
      <c r="J12" s="399"/>
      <c r="K12" s="399"/>
      <c r="L12" s="399"/>
      <c r="M12" s="399"/>
      <c r="N12" s="399"/>
      <c r="O12" s="399"/>
    </row>
    <row r="13" spans="1:15" s="141" customFormat="1" ht="24.95" customHeight="1" x14ac:dyDescent="0.2">
      <c r="A13" s="139"/>
      <c r="B13" s="139"/>
      <c r="C13" s="400" t="s">
        <v>234</v>
      </c>
      <c r="D13" s="538">
        <v>131705</v>
      </c>
      <c r="E13" s="399">
        <f>41101+táj.1!E13</f>
        <v>41101</v>
      </c>
      <c r="F13" s="399">
        <f>0+táj.1!F13</f>
        <v>0</v>
      </c>
      <c r="G13" s="399">
        <f>0+táj.1!G13</f>
        <v>0</v>
      </c>
      <c r="H13" s="399">
        <f>0+táj.1!H13</f>
        <v>0</v>
      </c>
      <c r="I13" s="399">
        <f>0+táj.1!I13</f>
        <v>0</v>
      </c>
      <c r="J13" s="399">
        <f>0+táj.1!J13</f>
        <v>0</v>
      </c>
      <c r="K13" s="399">
        <f>0+táj.1!K13</f>
        <v>0</v>
      </c>
      <c r="L13" s="399">
        <f>0+táj.1!L13</f>
        <v>0</v>
      </c>
      <c r="M13" s="399">
        <f>0+táj.1!M13</f>
        <v>0</v>
      </c>
      <c r="N13" s="399">
        <f>0+táj.1!N13</f>
        <v>0</v>
      </c>
      <c r="O13" s="399">
        <f>SUM(E13:N13)</f>
        <v>41101</v>
      </c>
    </row>
    <row r="14" spans="1:15" s="141" customFormat="1" ht="24.95" customHeight="1" x14ac:dyDescent="0.2">
      <c r="A14" s="646"/>
      <c r="B14" s="646"/>
      <c r="C14" s="648" t="s">
        <v>238</v>
      </c>
      <c r="D14" s="649"/>
      <c r="E14" s="399"/>
      <c r="F14" s="647"/>
      <c r="G14" s="647"/>
      <c r="H14" s="647"/>
      <c r="I14" s="647"/>
      <c r="J14" s="647"/>
      <c r="K14" s="647"/>
      <c r="L14" s="647"/>
      <c r="M14" s="647"/>
      <c r="N14" s="647"/>
      <c r="O14" s="399"/>
    </row>
    <row r="15" spans="1:15" s="141" customFormat="1" ht="20.25" customHeight="1" x14ac:dyDescent="0.2">
      <c r="A15" s="646"/>
      <c r="B15" s="646"/>
      <c r="C15" s="304" t="s">
        <v>1092</v>
      </c>
      <c r="D15" s="649">
        <v>134939</v>
      </c>
      <c r="E15" s="399">
        <f>0+táj.1!E15</f>
        <v>0</v>
      </c>
      <c r="F15" s="399">
        <f>0+táj.1!F15</f>
        <v>0</v>
      </c>
      <c r="G15" s="399">
        <f>0+táj.1!G15</f>
        <v>0</v>
      </c>
      <c r="H15" s="399">
        <f>0+táj.1!H15</f>
        <v>0</v>
      </c>
      <c r="I15" s="399">
        <f>0+táj.1!I15</f>
        <v>0</v>
      </c>
      <c r="J15" s="399">
        <f>0+táj.1!J15</f>
        <v>0</v>
      </c>
      <c r="K15" s="399">
        <f>0+táj.1!K15</f>
        <v>0</v>
      </c>
      <c r="L15" s="399">
        <f>0+táj.1!L15</f>
        <v>0</v>
      </c>
      <c r="M15" s="399">
        <f>19955+táj.1!M15</f>
        <v>19955</v>
      </c>
      <c r="N15" s="399">
        <f>0+táj.1!N15</f>
        <v>0</v>
      </c>
      <c r="O15" s="399">
        <f t="shared" ref="O15:O33" si="2">SUM(E15:N15)</f>
        <v>19955</v>
      </c>
    </row>
    <row r="16" spans="1:15" s="141" customFormat="1" ht="18.75" customHeight="1" x14ac:dyDescent="0.2">
      <c r="A16" s="874"/>
      <c r="B16" s="874"/>
      <c r="C16" s="347" t="s">
        <v>1349</v>
      </c>
      <c r="D16" s="903">
        <v>132913</v>
      </c>
      <c r="E16" s="399">
        <f>0+táj.1!E16</f>
        <v>0</v>
      </c>
      <c r="F16" s="399">
        <f>0+táj.1!F16</f>
        <v>7000</v>
      </c>
      <c r="G16" s="399">
        <f>0+táj.1!G16</f>
        <v>0</v>
      </c>
      <c r="H16" s="399">
        <f>0+táj.1!H16</f>
        <v>0</v>
      </c>
      <c r="I16" s="399">
        <f>0+táj.1!I16</f>
        <v>0</v>
      </c>
      <c r="J16" s="399">
        <f>0+táj.1!J16</f>
        <v>0</v>
      </c>
      <c r="K16" s="399">
        <f>0+táj.1!K16</f>
        <v>0</v>
      </c>
      <c r="L16" s="399">
        <f>0+táj.1!L16</f>
        <v>0</v>
      </c>
      <c r="M16" s="399">
        <f>0+táj.1!M16</f>
        <v>0</v>
      </c>
      <c r="N16" s="399">
        <f>0+táj.1!N16</f>
        <v>0</v>
      </c>
      <c r="O16" s="399">
        <f t="shared" si="2"/>
        <v>7000</v>
      </c>
    </row>
    <row r="17" spans="1:15" s="141" customFormat="1" ht="24.95" customHeight="1" x14ac:dyDescent="0.2">
      <c r="A17" s="646"/>
      <c r="B17" s="646"/>
      <c r="C17" s="408" t="s">
        <v>235</v>
      </c>
      <c r="D17" s="403" t="s">
        <v>96</v>
      </c>
      <c r="E17" s="399"/>
      <c r="F17" s="647"/>
      <c r="G17" s="647"/>
      <c r="H17" s="647"/>
      <c r="I17" s="647"/>
      <c r="J17" s="647"/>
      <c r="K17" s="647"/>
      <c r="L17" s="647"/>
      <c r="M17" s="647"/>
      <c r="N17" s="647"/>
      <c r="O17" s="399"/>
    </row>
    <row r="18" spans="1:15" s="141" customFormat="1" ht="24.95" customHeight="1" x14ac:dyDescent="0.2">
      <c r="A18" s="646"/>
      <c r="B18" s="646"/>
      <c r="C18" s="408" t="s">
        <v>236</v>
      </c>
      <c r="D18" s="538">
        <v>131703</v>
      </c>
      <c r="E18" s="399">
        <f>0+táj.1!E18</f>
        <v>0</v>
      </c>
      <c r="F18" s="399">
        <f>0+táj.1!F18</f>
        <v>0</v>
      </c>
      <c r="G18" s="399">
        <f>0+táj.1!G18</f>
        <v>0</v>
      </c>
      <c r="H18" s="399">
        <f>6007+táj.1!H18</f>
        <v>6007</v>
      </c>
      <c r="I18" s="399">
        <f>0+táj.1!I18</f>
        <v>0</v>
      </c>
      <c r="J18" s="399">
        <f>0+táj.1!J18</f>
        <v>0</v>
      </c>
      <c r="K18" s="399">
        <f>0+táj.1!K18</f>
        <v>0</v>
      </c>
      <c r="L18" s="399">
        <f>0+táj.1!L18</f>
        <v>0</v>
      </c>
      <c r="M18" s="399">
        <f>0+táj.1!M18</f>
        <v>0</v>
      </c>
      <c r="N18" s="399">
        <f>0+táj.1!N18</f>
        <v>0</v>
      </c>
      <c r="O18" s="399">
        <f t="shared" si="2"/>
        <v>6007</v>
      </c>
    </row>
    <row r="19" spans="1:15" s="141" customFormat="1" ht="24.95" customHeight="1" x14ac:dyDescent="0.2">
      <c r="A19" s="789"/>
      <c r="B19" s="789"/>
      <c r="C19" s="798" t="s">
        <v>1271</v>
      </c>
      <c r="D19" s="799">
        <v>121319</v>
      </c>
      <c r="E19" s="399">
        <f>0+táj.1!E19</f>
        <v>0</v>
      </c>
      <c r="F19" s="399">
        <f>0+táj.1!F19</f>
        <v>0</v>
      </c>
      <c r="G19" s="399">
        <f>0+táj.1!G19</f>
        <v>0</v>
      </c>
      <c r="H19" s="399">
        <f>0+táj.1!H19</f>
        <v>0</v>
      </c>
      <c r="I19" s="399">
        <f>0+táj.1!I19</f>
        <v>0</v>
      </c>
      <c r="J19" s="399">
        <f>1318+táj.1!J19</f>
        <v>1318</v>
      </c>
      <c r="K19" s="399">
        <f>0+táj.1!K19</f>
        <v>0</v>
      </c>
      <c r="L19" s="399">
        <f>0+táj.1!L19</f>
        <v>0</v>
      </c>
      <c r="M19" s="399">
        <f>0+táj.1!M19</f>
        <v>0</v>
      </c>
      <c r="N19" s="399">
        <f>0+táj.1!N19</f>
        <v>0</v>
      </c>
      <c r="O19" s="399">
        <f t="shared" si="2"/>
        <v>1318</v>
      </c>
    </row>
    <row r="20" spans="1:15" s="141" customFormat="1" ht="24.95" customHeight="1" x14ac:dyDescent="0.2">
      <c r="A20" s="646"/>
      <c r="B20" s="646"/>
      <c r="C20" s="650" t="s">
        <v>1093</v>
      </c>
      <c r="D20" s="649"/>
      <c r="E20" s="399"/>
      <c r="F20" s="647"/>
      <c r="G20" s="647"/>
      <c r="H20" s="647"/>
      <c r="I20" s="647"/>
      <c r="J20" s="647"/>
      <c r="K20" s="647"/>
      <c r="L20" s="647"/>
      <c r="M20" s="647"/>
      <c r="N20" s="647"/>
      <c r="O20" s="399"/>
    </row>
    <row r="21" spans="1:15" s="141" customFormat="1" ht="24.95" customHeight="1" x14ac:dyDescent="0.2">
      <c r="A21" s="139"/>
      <c r="B21" s="139"/>
      <c r="C21" s="651" t="s">
        <v>1094</v>
      </c>
      <c r="D21" s="649">
        <v>131508</v>
      </c>
      <c r="E21" s="399">
        <f>288500+táj.1!E21</f>
        <v>288500</v>
      </c>
      <c r="F21" s="399">
        <f>0+táj.1!F21</f>
        <v>0</v>
      </c>
      <c r="G21" s="399">
        <f>0+táj.1!G21</f>
        <v>0</v>
      </c>
      <c r="H21" s="399">
        <f>0+táj.1!H21</f>
        <v>0</v>
      </c>
      <c r="I21" s="399">
        <f>0+táj.1!I21</f>
        <v>0</v>
      </c>
      <c r="J21" s="399">
        <f>0+táj.1!J21</f>
        <v>0</v>
      </c>
      <c r="K21" s="399">
        <f>0+táj.1!K21</f>
        <v>0</v>
      </c>
      <c r="L21" s="399">
        <f>0+táj.1!L21</f>
        <v>0</v>
      </c>
      <c r="M21" s="399">
        <f>0+táj.1!M21</f>
        <v>0</v>
      </c>
      <c r="N21" s="399">
        <f>0+táj.1!N21</f>
        <v>0</v>
      </c>
      <c r="O21" s="399">
        <f t="shared" si="2"/>
        <v>288500</v>
      </c>
    </row>
    <row r="22" spans="1:15" s="141" customFormat="1" ht="24.95" customHeight="1" x14ac:dyDescent="0.2">
      <c r="A22" s="139"/>
      <c r="B22" s="139"/>
      <c r="C22" s="651" t="s">
        <v>1095</v>
      </c>
      <c r="D22" s="649">
        <v>131509</v>
      </c>
      <c r="E22" s="399">
        <f>65000+táj.1!E22</f>
        <v>65000</v>
      </c>
      <c r="F22" s="399">
        <f>0+táj.1!F22</f>
        <v>0</v>
      </c>
      <c r="G22" s="399">
        <f>0+táj.1!G22</f>
        <v>0</v>
      </c>
      <c r="H22" s="399">
        <f>0+táj.1!H22</f>
        <v>0</v>
      </c>
      <c r="I22" s="399">
        <f>0+táj.1!I22</f>
        <v>0</v>
      </c>
      <c r="J22" s="399">
        <f>0+táj.1!J22</f>
        <v>0</v>
      </c>
      <c r="K22" s="399">
        <f>0+táj.1!K22</f>
        <v>0</v>
      </c>
      <c r="L22" s="399">
        <f>0+táj.1!L22</f>
        <v>0</v>
      </c>
      <c r="M22" s="399">
        <f>0+táj.1!M22</f>
        <v>0</v>
      </c>
      <c r="N22" s="399">
        <f>0+táj.1!N22</f>
        <v>0</v>
      </c>
      <c r="O22" s="399">
        <f t="shared" si="2"/>
        <v>65000</v>
      </c>
    </row>
    <row r="23" spans="1:15" s="141" customFormat="1" ht="24.95" customHeight="1" x14ac:dyDescent="0.2">
      <c r="A23" s="789"/>
      <c r="B23" s="789"/>
      <c r="C23" s="781" t="s">
        <v>1026</v>
      </c>
      <c r="D23" s="799"/>
      <c r="E23" s="399"/>
      <c r="F23" s="780"/>
      <c r="G23" s="780"/>
      <c r="H23" s="780"/>
      <c r="I23" s="780"/>
      <c r="J23" s="780"/>
      <c r="K23" s="780"/>
      <c r="L23" s="780"/>
      <c r="M23" s="780"/>
      <c r="N23" s="780"/>
      <c r="O23" s="399"/>
    </row>
    <row r="24" spans="1:15" s="141" customFormat="1" ht="18" customHeight="1" x14ac:dyDescent="0.2">
      <c r="A24" s="789"/>
      <c r="B24" s="789"/>
      <c r="C24" s="781" t="s">
        <v>1020</v>
      </c>
      <c r="D24" s="799">
        <v>131716</v>
      </c>
      <c r="E24" s="399">
        <f>0+táj.1!E24</f>
        <v>0</v>
      </c>
      <c r="F24" s="399">
        <f>0+táj.1!F24</f>
        <v>0</v>
      </c>
      <c r="G24" s="399">
        <f>0+táj.1!G24</f>
        <v>0</v>
      </c>
      <c r="H24" s="399">
        <f>0+táj.1!H24</f>
        <v>0</v>
      </c>
      <c r="I24" s="399">
        <f>0+táj.1!I24</f>
        <v>0</v>
      </c>
      <c r="J24" s="399">
        <f>293+táj.1!J24</f>
        <v>293</v>
      </c>
      <c r="K24" s="399">
        <f>0+táj.1!K24</f>
        <v>0</v>
      </c>
      <c r="L24" s="399">
        <f>0+táj.1!L24</f>
        <v>0</v>
      </c>
      <c r="M24" s="399">
        <f>0+táj.1!M24</f>
        <v>0</v>
      </c>
      <c r="N24" s="399">
        <f>0+táj.1!N24</f>
        <v>0</v>
      </c>
      <c r="O24" s="399">
        <f t="shared" si="2"/>
        <v>293</v>
      </c>
    </row>
    <row r="25" spans="1:15" s="141" customFormat="1" ht="24.95" customHeight="1" x14ac:dyDescent="0.2">
      <c r="A25" s="789"/>
      <c r="B25" s="789"/>
      <c r="C25" s="795" t="s">
        <v>365</v>
      </c>
      <c r="D25" s="814"/>
      <c r="E25" s="399"/>
      <c r="F25" s="780"/>
      <c r="G25" s="780"/>
      <c r="H25" s="780"/>
      <c r="I25" s="780"/>
      <c r="J25" s="780"/>
      <c r="K25" s="780"/>
      <c r="L25" s="780"/>
      <c r="M25" s="780"/>
      <c r="N25" s="780"/>
      <c r="O25" s="399"/>
    </row>
    <row r="26" spans="1:15" s="141" customFormat="1" ht="16.5" customHeight="1" x14ac:dyDescent="0.2">
      <c r="A26" s="789"/>
      <c r="B26" s="789"/>
      <c r="C26" s="815" t="s">
        <v>1275</v>
      </c>
      <c r="D26" s="816">
        <v>131845</v>
      </c>
      <c r="E26" s="399">
        <f>0+táj.1!E26</f>
        <v>0</v>
      </c>
      <c r="F26" s="399">
        <f>0+táj.1!F26</f>
        <v>0</v>
      </c>
      <c r="G26" s="399">
        <f>0+táj.1!G26</f>
        <v>0</v>
      </c>
      <c r="H26" s="399">
        <f>0+táj.1!H26</f>
        <v>0</v>
      </c>
      <c r="I26" s="399">
        <f>0+táj.1!I26</f>
        <v>0</v>
      </c>
      <c r="J26" s="399">
        <f>2000+táj.1!J26</f>
        <v>2000</v>
      </c>
      <c r="K26" s="399">
        <f>0+táj.1!K26</f>
        <v>0</v>
      </c>
      <c r="L26" s="399">
        <f>0+táj.1!L26</f>
        <v>0</v>
      </c>
      <c r="M26" s="399">
        <f>0+táj.1!M26</f>
        <v>0</v>
      </c>
      <c r="N26" s="399">
        <f>0+táj.1!N26</f>
        <v>0</v>
      </c>
      <c r="O26" s="399">
        <f t="shared" si="2"/>
        <v>2000</v>
      </c>
    </row>
    <row r="27" spans="1:15" s="141" customFormat="1" ht="16.5" customHeight="1" x14ac:dyDescent="0.2">
      <c r="A27" s="874"/>
      <c r="B27" s="874"/>
      <c r="C27" s="904" t="s">
        <v>1350</v>
      </c>
      <c r="D27" s="903"/>
      <c r="E27" s="399"/>
      <c r="F27" s="873"/>
      <c r="G27" s="873"/>
      <c r="H27" s="873"/>
      <c r="I27" s="873"/>
      <c r="J27" s="873"/>
      <c r="K27" s="873"/>
      <c r="L27" s="873"/>
      <c r="M27" s="873"/>
      <c r="N27" s="873"/>
      <c r="O27" s="399"/>
    </row>
    <row r="28" spans="1:15" s="141" customFormat="1" ht="22.5" customHeight="1" x14ac:dyDescent="0.2">
      <c r="A28" s="874"/>
      <c r="B28" s="874"/>
      <c r="C28" s="904" t="s">
        <v>1351</v>
      </c>
      <c r="D28" s="903">
        <v>131304</v>
      </c>
      <c r="E28" s="399">
        <f>0+táj.1!E28</f>
        <v>7500</v>
      </c>
      <c r="F28" s="399">
        <f>0+táj.1!F28</f>
        <v>0</v>
      </c>
      <c r="G28" s="399">
        <f>0+táj.1!G28</f>
        <v>0</v>
      </c>
      <c r="H28" s="399">
        <f>0+táj.1!H28</f>
        <v>0</v>
      </c>
      <c r="I28" s="399">
        <f>0+táj.1!I28</f>
        <v>0</v>
      </c>
      <c r="J28" s="399">
        <f>0+táj.1!J28</f>
        <v>0</v>
      </c>
      <c r="K28" s="399">
        <f>0+táj.1!K28</f>
        <v>0</v>
      </c>
      <c r="L28" s="399">
        <f>0+táj.1!L28</f>
        <v>0</v>
      </c>
      <c r="M28" s="399">
        <f>0+táj.1!M28</f>
        <v>0</v>
      </c>
      <c r="N28" s="399">
        <f>0+táj.1!N28</f>
        <v>0</v>
      </c>
      <c r="O28" s="399">
        <f t="shared" si="2"/>
        <v>7500</v>
      </c>
    </row>
    <row r="29" spans="1:15" s="141" customFormat="1" ht="23.25" customHeight="1" x14ac:dyDescent="0.2">
      <c r="A29" s="874"/>
      <c r="B29" s="874"/>
      <c r="C29" s="904" t="s">
        <v>1352</v>
      </c>
      <c r="D29" s="903"/>
      <c r="E29" s="399"/>
      <c r="F29" s="873"/>
      <c r="G29" s="873"/>
      <c r="H29" s="873"/>
      <c r="I29" s="873"/>
      <c r="J29" s="873"/>
      <c r="K29" s="873"/>
      <c r="L29" s="873"/>
      <c r="M29" s="873"/>
      <c r="N29" s="873"/>
      <c r="O29" s="399"/>
    </row>
    <row r="30" spans="1:15" s="141" customFormat="1" ht="16.5" customHeight="1" x14ac:dyDescent="0.2">
      <c r="A30" s="874"/>
      <c r="B30" s="874"/>
      <c r="C30" s="347" t="s">
        <v>1353</v>
      </c>
      <c r="D30" s="903">
        <v>132917</v>
      </c>
      <c r="E30" s="399">
        <f>0+táj.1!E30</f>
        <v>0</v>
      </c>
      <c r="F30" s="399">
        <f>0+táj.1!F30</f>
        <v>2000</v>
      </c>
      <c r="G30" s="399">
        <f>0+táj.1!G30</f>
        <v>0</v>
      </c>
      <c r="H30" s="399">
        <f>0+táj.1!H30</f>
        <v>0</v>
      </c>
      <c r="I30" s="399">
        <f>0+táj.1!I30</f>
        <v>0</v>
      </c>
      <c r="J30" s="399">
        <f>0+táj.1!J30</f>
        <v>0</v>
      </c>
      <c r="K30" s="399">
        <f>0+táj.1!K30</f>
        <v>0</v>
      </c>
      <c r="L30" s="399">
        <f>0+táj.1!L30</f>
        <v>0</v>
      </c>
      <c r="M30" s="399">
        <f>0+táj.1!M30</f>
        <v>0</v>
      </c>
      <c r="N30" s="399">
        <f>0+táj.1!N30</f>
        <v>0</v>
      </c>
      <c r="O30" s="399">
        <f t="shared" si="2"/>
        <v>2000</v>
      </c>
    </row>
    <row r="31" spans="1:15" s="141" customFormat="1" ht="21.75" customHeight="1" x14ac:dyDescent="0.2">
      <c r="A31" s="874"/>
      <c r="B31" s="874"/>
      <c r="C31" s="904" t="s">
        <v>406</v>
      </c>
      <c r="D31" s="903"/>
      <c r="E31" s="399"/>
      <c r="F31" s="873"/>
      <c r="G31" s="873"/>
      <c r="H31" s="873"/>
      <c r="I31" s="873"/>
      <c r="J31" s="873"/>
      <c r="K31" s="873"/>
      <c r="L31" s="873"/>
      <c r="M31" s="873"/>
      <c r="N31" s="873"/>
      <c r="O31" s="399"/>
    </row>
    <row r="32" spans="1:15" s="141" customFormat="1" ht="24" customHeight="1" x14ac:dyDescent="0.2">
      <c r="A32" s="874"/>
      <c r="B32" s="874"/>
      <c r="C32" s="905" t="s">
        <v>1354</v>
      </c>
      <c r="D32" s="903">
        <v>131510</v>
      </c>
      <c r="E32" s="551">
        <f>0+táj.1!E32</f>
        <v>83625</v>
      </c>
      <c r="F32" s="399">
        <f>0+táj.1!F32</f>
        <v>0</v>
      </c>
      <c r="G32" s="399">
        <f>0+táj.1!G32</f>
        <v>0</v>
      </c>
      <c r="H32" s="399">
        <f>0+táj.1!H32</f>
        <v>0</v>
      </c>
      <c r="I32" s="399">
        <f>0+táj.1!I32</f>
        <v>0</v>
      </c>
      <c r="J32" s="399">
        <f>0+táj.1!J32</f>
        <v>0</v>
      </c>
      <c r="K32" s="399">
        <f>0+táj.1!K32</f>
        <v>0</v>
      </c>
      <c r="L32" s="399">
        <f>0+táj.1!L32</f>
        <v>0</v>
      </c>
      <c r="M32" s="399">
        <f>0+táj.1!M32</f>
        <v>0</v>
      </c>
      <c r="N32" s="399">
        <f>0+táj.1!N32</f>
        <v>0</v>
      </c>
      <c r="O32" s="399">
        <f t="shared" si="2"/>
        <v>83625</v>
      </c>
    </row>
    <row r="33" spans="1:15" s="141" customFormat="1" ht="27" customHeight="1" x14ac:dyDescent="0.2">
      <c r="A33" s="874"/>
      <c r="B33" s="874"/>
      <c r="C33" s="905" t="s">
        <v>1355</v>
      </c>
      <c r="D33" s="903">
        <v>131511</v>
      </c>
      <c r="E33" s="399">
        <f>0+táj.1!E33</f>
        <v>60000</v>
      </c>
      <c r="F33" s="399">
        <f>0+táj.1!F33</f>
        <v>0</v>
      </c>
      <c r="G33" s="399">
        <f>0+táj.1!G33</f>
        <v>0</v>
      </c>
      <c r="H33" s="399">
        <f>0+táj.1!H33</f>
        <v>0</v>
      </c>
      <c r="I33" s="399">
        <f>0+táj.1!I33</f>
        <v>0</v>
      </c>
      <c r="J33" s="399">
        <f>0+táj.1!J33</f>
        <v>0</v>
      </c>
      <c r="K33" s="399">
        <f>0+táj.1!K33</f>
        <v>0</v>
      </c>
      <c r="L33" s="399">
        <f>0+táj.1!L33</f>
        <v>0</v>
      </c>
      <c r="M33" s="399">
        <f>0+táj.1!M33</f>
        <v>0</v>
      </c>
      <c r="N33" s="399">
        <f>0+táj.1!N33</f>
        <v>0</v>
      </c>
      <c r="O33" s="399">
        <f t="shared" si="2"/>
        <v>60000</v>
      </c>
    </row>
    <row r="34" spans="1:15" s="141" customFormat="1" ht="13.5" customHeight="1" x14ac:dyDescent="0.2">
      <c r="A34" s="142"/>
      <c r="B34" s="142"/>
      <c r="C34" s="404" t="s">
        <v>237</v>
      </c>
      <c r="D34" s="409"/>
      <c r="E34" s="405">
        <f>SUM(E13:E33)</f>
        <v>545726</v>
      </c>
      <c r="F34" s="405">
        <f t="shared" ref="F34:O34" si="3">SUM(F13:F33)</f>
        <v>9000</v>
      </c>
      <c r="G34" s="405">
        <f t="shared" si="3"/>
        <v>0</v>
      </c>
      <c r="H34" s="405">
        <f t="shared" si="3"/>
        <v>6007</v>
      </c>
      <c r="I34" s="405">
        <f t="shared" si="3"/>
        <v>0</v>
      </c>
      <c r="J34" s="405">
        <f t="shared" si="3"/>
        <v>3611</v>
      </c>
      <c r="K34" s="405">
        <f t="shared" si="3"/>
        <v>0</v>
      </c>
      <c r="L34" s="405">
        <f t="shared" si="3"/>
        <v>0</v>
      </c>
      <c r="M34" s="405">
        <f t="shared" si="3"/>
        <v>19955</v>
      </c>
      <c r="N34" s="405">
        <f t="shared" si="3"/>
        <v>0</v>
      </c>
      <c r="O34" s="405">
        <f t="shared" si="3"/>
        <v>584299</v>
      </c>
    </row>
    <row r="35" spans="1:15" s="141" customFormat="1" ht="13.5" customHeight="1" x14ac:dyDescent="0.2">
      <c r="A35" s="144">
        <v>1</v>
      </c>
      <c r="B35" s="144">
        <v>14</v>
      </c>
      <c r="C35" s="410" t="s">
        <v>197</v>
      </c>
      <c r="D35" s="411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</row>
    <row r="36" spans="1:15" s="141" customFormat="1" ht="26.25" customHeight="1" x14ac:dyDescent="0.2">
      <c r="A36" s="139"/>
      <c r="B36" s="139"/>
      <c r="C36" s="412" t="s">
        <v>238</v>
      </c>
      <c r="D36" s="413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</row>
    <row r="37" spans="1:15" s="141" customFormat="1" ht="27" customHeight="1" x14ac:dyDescent="0.2">
      <c r="A37" s="139"/>
      <c r="B37" s="139"/>
      <c r="C37" s="414" t="s">
        <v>239</v>
      </c>
      <c r="D37" s="415">
        <v>171967</v>
      </c>
      <c r="E37" s="547">
        <f>0+táj.1!E37</f>
        <v>0</v>
      </c>
      <c r="F37" s="547">
        <f>0+táj.1!F37</f>
        <v>0</v>
      </c>
      <c r="G37" s="547">
        <f>0+táj.1!G37</f>
        <v>0</v>
      </c>
      <c r="H37" s="547">
        <f>5535+táj.1!H37</f>
        <v>5645</v>
      </c>
      <c r="I37" s="547">
        <f>0+táj.1!I37</f>
        <v>0</v>
      </c>
      <c r="J37" s="547">
        <f>0+táj.1!J37</f>
        <v>0</v>
      </c>
      <c r="K37" s="547">
        <f>0+táj.1!K37</f>
        <v>0</v>
      </c>
      <c r="L37" s="547">
        <f>0+táj.1!L37</f>
        <v>0</v>
      </c>
      <c r="M37" s="547">
        <f>0+táj.1!M37</f>
        <v>0</v>
      </c>
      <c r="N37" s="547">
        <f>0+táj.1!N37</f>
        <v>0</v>
      </c>
      <c r="O37" s="399">
        <f>SUM(E37:N37)</f>
        <v>5645</v>
      </c>
    </row>
    <row r="38" spans="1:15" s="141" customFormat="1" ht="27" customHeight="1" x14ac:dyDescent="0.2">
      <c r="A38" s="646"/>
      <c r="B38" s="646"/>
      <c r="C38" s="653" t="s">
        <v>1096</v>
      </c>
      <c r="D38" s="654">
        <v>164903</v>
      </c>
      <c r="E38" s="547">
        <f>0+táj.1!E38</f>
        <v>0</v>
      </c>
      <c r="F38" s="547">
        <f>0+táj.1!F38</f>
        <v>0</v>
      </c>
      <c r="G38" s="547">
        <f>0+táj.1!G38</f>
        <v>0</v>
      </c>
      <c r="H38" s="547">
        <f>0+táj.1!H38</f>
        <v>0</v>
      </c>
      <c r="I38" s="547">
        <f>0+táj.1!I38</f>
        <v>0</v>
      </c>
      <c r="J38" s="547">
        <f>0+táj.1!J38</f>
        <v>0</v>
      </c>
      <c r="K38" s="547">
        <f>0+táj.1!K38</f>
        <v>0</v>
      </c>
      <c r="L38" s="547">
        <f>0+táj.1!L38</f>
        <v>0</v>
      </c>
      <c r="M38" s="547">
        <f>6513+táj.1!M38</f>
        <v>6513</v>
      </c>
      <c r="N38" s="547">
        <f>0+táj.1!N38</f>
        <v>0</v>
      </c>
      <c r="O38" s="399">
        <f>SUM(E38:N38)</f>
        <v>6513</v>
      </c>
    </row>
    <row r="39" spans="1:15" s="141" customFormat="1" ht="13.5" customHeight="1" x14ac:dyDescent="0.2">
      <c r="A39" s="142"/>
      <c r="B39" s="142"/>
      <c r="C39" s="404" t="s">
        <v>240</v>
      </c>
      <c r="D39" s="409"/>
      <c r="E39" s="405"/>
      <c r="F39" s="405"/>
      <c r="G39" s="405"/>
      <c r="H39" s="405">
        <f>SUM(H37:H38)</f>
        <v>5645</v>
      </c>
      <c r="I39" s="405">
        <f t="shared" ref="I39:M39" si="4">SUM(I37:I38)</f>
        <v>0</v>
      </c>
      <c r="J39" s="405">
        <f t="shared" si="4"/>
        <v>0</v>
      </c>
      <c r="K39" s="405">
        <f t="shared" si="4"/>
        <v>0</v>
      </c>
      <c r="L39" s="405">
        <f t="shared" si="4"/>
        <v>0</v>
      </c>
      <c r="M39" s="405">
        <f t="shared" si="4"/>
        <v>6513</v>
      </c>
      <c r="N39" s="405">
        <f t="shared" ref="N39" si="5">SUM(N37:N38)</f>
        <v>0</v>
      </c>
      <c r="O39" s="405">
        <f t="shared" ref="O39" si="6">SUM(O37:O38)</f>
        <v>12158</v>
      </c>
    </row>
    <row r="40" spans="1:15" s="136" customFormat="1" ht="13.5" customHeight="1" x14ac:dyDescent="0.2">
      <c r="A40" s="138">
        <v>1</v>
      </c>
      <c r="B40" s="138">
        <v>15</v>
      </c>
      <c r="C40" s="393" t="s">
        <v>140</v>
      </c>
      <c r="D40" s="416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</row>
    <row r="41" spans="1:15" s="136" customFormat="1" ht="24.95" customHeight="1" x14ac:dyDescent="0.2">
      <c r="A41" s="138"/>
      <c r="B41" s="138"/>
      <c r="C41" s="417" t="s">
        <v>241</v>
      </c>
      <c r="D41" s="418"/>
      <c r="E41" s="406"/>
      <c r="F41" s="399"/>
      <c r="G41" s="399"/>
      <c r="H41" s="399"/>
      <c r="I41" s="399"/>
      <c r="J41" s="399"/>
      <c r="K41" s="399"/>
      <c r="L41" s="399"/>
      <c r="M41" s="399"/>
      <c r="N41" s="399"/>
      <c r="O41" s="399"/>
    </row>
    <row r="42" spans="1:15" s="552" customFormat="1" ht="24.95" customHeight="1" x14ac:dyDescent="0.2">
      <c r="A42" s="548"/>
      <c r="B42" s="548"/>
      <c r="C42" s="549" t="s">
        <v>242</v>
      </c>
      <c r="D42" s="550">
        <v>151906</v>
      </c>
      <c r="E42" s="551">
        <f>0+táj.1!E42</f>
        <v>0</v>
      </c>
      <c r="F42" s="551">
        <f>0+táj.1!F42</f>
        <v>0</v>
      </c>
      <c r="G42" s="551">
        <f>0+táj.1!G42</f>
        <v>0</v>
      </c>
      <c r="H42" s="551">
        <f>37391+táj.1!H42</f>
        <v>37391</v>
      </c>
      <c r="I42" s="551">
        <f>0+táj.1!I42</f>
        <v>0</v>
      </c>
      <c r="J42" s="551">
        <f>0+táj.1!J42</f>
        <v>0</v>
      </c>
      <c r="K42" s="551">
        <f>0+táj.1!K42</f>
        <v>0</v>
      </c>
      <c r="L42" s="551">
        <f>0+táj.1!L42</f>
        <v>0</v>
      </c>
      <c r="M42" s="551">
        <f>0+táj.1!M42</f>
        <v>0</v>
      </c>
      <c r="N42" s="551">
        <f>0+táj.1!N42</f>
        <v>0</v>
      </c>
      <c r="O42" s="551">
        <f>SUM(E42:N42)</f>
        <v>37391</v>
      </c>
    </row>
    <row r="43" spans="1:15" s="136" customFormat="1" ht="15" customHeight="1" x14ac:dyDescent="0.2">
      <c r="A43" s="138"/>
      <c r="B43" s="138"/>
      <c r="C43" s="402" t="s">
        <v>243</v>
      </c>
      <c r="D43" s="419" t="s">
        <v>244</v>
      </c>
      <c r="E43" s="551">
        <f>0+táj.1!E43</f>
        <v>0</v>
      </c>
      <c r="F43" s="551">
        <f>0+táj.1!F43</f>
        <v>0</v>
      </c>
      <c r="G43" s="551">
        <f>0+táj.1!G43</f>
        <v>0</v>
      </c>
      <c r="H43" s="551">
        <f>175260+táj.1!H43</f>
        <v>175260</v>
      </c>
      <c r="I43" s="551">
        <f>0+táj.1!I43</f>
        <v>0</v>
      </c>
      <c r="J43" s="551">
        <f>0+táj.1!J43</f>
        <v>0</v>
      </c>
      <c r="K43" s="551">
        <f>0+táj.1!K43</f>
        <v>0</v>
      </c>
      <c r="L43" s="551">
        <f>0+táj.1!L43</f>
        <v>0</v>
      </c>
      <c r="M43" s="551">
        <f>0+táj.1!M43</f>
        <v>0</v>
      </c>
      <c r="N43" s="551">
        <f>0+táj.1!N43</f>
        <v>0</v>
      </c>
      <c r="O43" s="399">
        <f>SUM(E43:N43)</f>
        <v>175260</v>
      </c>
    </row>
    <row r="44" spans="1:15" s="136" customFormat="1" ht="15" customHeight="1" x14ac:dyDescent="0.2">
      <c r="A44" s="138"/>
      <c r="B44" s="138"/>
      <c r="C44" s="402" t="s">
        <v>245</v>
      </c>
      <c r="D44" s="419" t="s">
        <v>246</v>
      </c>
      <c r="E44" s="551">
        <f>0+táj.1!E44</f>
        <v>0</v>
      </c>
      <c r="F44" s="551">
        <f>0+táj.1!F44</f>
        <v>0</v>
      </c>
      <c r="G44" s="551">
        <f>0+táj.1!G44</f>
        <v>0</v>
      </c>
      <c r="H44" s="551">
        <f>2667+táj.1!H44</f>
        <v>2667</v>
      </c>
      <c r="I44" s="551">
        <f>0+táj.1!I44</f>
        <v>0</v>
      </c>
      <c r="J44" s="551">
        <f>0+táj.1!J44</f>
        <v>0</v>
      </c>
      <c r="K44" s="551">
        <f>0+táj.1!K44</f>
        <v>0</v>
      </c>
      <c r="L44" s="551">
        <f>0+táj.1!L44</f>
        <v>0</v>
      </c>
      <c r="M44" s="551">
        <f>0+táj.1!M44</f>
        <v>0</v>
      </c>
      <c r="N44" s="551">
        <f>0+táj.1!N44</f>
        <v>0</v>
      </c>
      <c r="O44" s="399">
        <f>SUM(E44:N44)</f>
        <v>2667</v>
      </c>
    </row>
    <row r="45" spans="1:15" s="136" customFormat="1" ht="23.25" customHeight="1" x14ac:dyDescent="0.2">
      <c r="A45" s="869"/>
      <c r="B45" s="869"/>
      <c r="C45" s="906" t="s">
        <v>1356</v>
      </c>
      <c r="D45" s="907" t="s">
        <v>1357</v>
      </c>
      <c r="E45" s="551">
        <f>0+táj.1!E45</f>
        <v>0</v>
      </c>
      <c r="F45" s="551">
        <f>0+táj.1!F45</f>
        <v>0</v>
      </c>
      <c r="G45" s="551">
        <f>0+táj.1!G45</f>
        <v>0</v>
      </c>
      <c r="H45" s="551">
        <f>0+táj.1!H45</f>
        <v>2668</v>
      </c>
      <c r="I45" s="551">
        <f>0+táj.1!I45</f>
        <v>0</v>
      </c>
      <c r="J45" s="551">
        <f>0+táj.1!J45</f>
        <v>0</v>
      </c>
      <c r="K45" s="551">
        <f>0+táj.1!K45</f>
        <v>0</v>
      </c>
      <c r="L45" s="551">
        <f>0+táj.1!L45</f>
        <v>0</v>
      </c>
      <c r="M45" s="551">
        <f>0+táj.1!M45</f>
        <v>0</v>
      </c>
      <c r="N45" s="551">
        <f>0+táj.1!N45</f>
        <v>0</v>
      </c>
      <c r="O45" s="399">
        <f>SUM(E45:N45)</f>
        <v>2668</v>
      </c>
    </row>
    <row r="46" spans="1:15" s="136" customFormat="1" ht="15" customHeight="1" x14ac:dyDescent="0.2">
      <c r="A46" s="138"/>
      <c r="B46" s="138"/>
      <c r="C46" s="420" t="s">
        <v>247</v>
      </c>
      <c r="D46" s="421"/>
      <c r="E46" s="551"/>
      <c r="F46" s="551"/>
      <c r="G46" s="551"/>
      <c r="H46" s="551"/>
      <c r="I46" s="551"/>
      <c r="J46" s="551"/>
      <c r="K46" s="551"/>
      <c r="L46" s="551"/>
      <c r="M46" s="551"/>
      <c r="N46" s="551"/>
      <c r="O46" s="399"/>
    </row>
    <row r="47" spans="1:15" s="136" customFormat="1" ht="15" customHeight="1" x14ac:dyDescent="0.2">
      <c r="A47" s="138"/>
      <c r="B47" s="138"/>
      <c r="C47" s="402" t="s">
        <v>248</v>
      </c>
      <c r="D47" s="419" t="s">
        <v>249</v>
      </c>
      <c r="E47" s="551">
        <f>0+táj.1!E47</f>
        <v>0</v>
      </c>
      <c r="F47" s="551">
        <f>0+táj.1!F47</f>
        <v>0</v>
      </c>
      <c r="G47" s="551">
        <f>0+táj.1!G47</f>
        <v>0</v>
      </c>
      <c r="H47" s="551">
        <f>3810+táj.1!H47</f>
        <v>3810</v>
      </c>
      <c r="I47" s="551">
        <f>0+táj.1!I47</f>
        <v>0</v>
      </c>
      <c r="J47" s="551">
        <f>0+táj.1!J47</f>
        <v>0</v>
      </c>
      <c r="K47" s="551">
        <f>0+táj.1!K47</f>
        <v>0</v>
      </c>
      <c r="L47" s="551">
        <f>0+táj.1!L47</f>
        <v>0</v>
      </c>
      <c r="M47" s="551">
        <f>0+táj.1!M47</f>
        <v>0</v>
      </c>
      <c r="N47" s="551">
        <f>0+táj.1!N47</f>
        <v>0</v>
      </c>
      <c r="O47" s="399">
        <f>SUM(E47:N47)</f>
        <v>3810</v>
      </c>
    </row>
    <row r="48" spans="1:15" s="136" customFormat="1" ht="15" customHeight="1" x14ac:dyDescent="0.2">
      <c r="A48" s="138"/>
      <c r="B48" s="138"/>
      <c r="C48" s="422" t="s">
        <v>250</v>
      </c>
      <c r="D48" s="419" t="s">
        <v>251</v>
      </c>
      <c r="E48" s="551">
        <f>0+táj.1!E48</f>
        <v>0</v>
      </c>
      <c r="F48" s="551">
        <f>0+táj.1!F48</f>
        <v>0</v>
      </c>
      <c r="G48" s="551">
        <f>0+táj.1!G48</f>
        <v>0</v>
      </c>
      <c r="H48" s="551">
        <f>1905+táj.1!H48</f>
        <v>1905</v>
      </c>
      <c r="I48" s="551">
        <f>0+táj.1!I48</f>
        <v>0</v>
      </c>
      <c r="J48" s="551">
        <f>0+táj.1!J48</f>
        <v>0</v>
      </c>
      <c r="K48" s="551">
        <f>0+táj.1!K48</f>
        <v>0</v>
      </c>
      <c r="L48" s="551">
        <f>0+táj.1!L48</f>
        <v>0</v>
      </c>
      <c r="M48" s="551">
        <f>0+táj.1!M48</f>
        <v>0</v>
      </c>
      <c r="N48" s="551">
        <f>0+táj.1!N48</f>
        <v>0</v>
      </c>
      <c r="O48" s="399">
        <f>SUM(E48:N48)</f>
        <v>1905</v>
      </c>
    </row>
    <row r="49" spans="1:15" s="136" customFormat="1" ht="24.95" customHeight="1" x14ac:dyDescent="0.2">
      <c r="A49" s="138"/>
      <c r="B49" s="138"/>
      <c r="C49" s="417" t="s">
        <v>252</v>
      </c>
      <c r="D49" s="423"/>
      <c r="E49" s="551"/>
      <c r="F49" s="551"/>
      <c r="G49" s="551"/>
      <c r="H49" s="551"/>
      <c r="I49" s="551"/>
      <c r="J49" s="551"/>
      <c r="K49" s="551"/>
      <c r="L49" s="551"/>
      <c r="M49" s="551"/>
      <c r="N49" s="551"/>
      <c r="O49" s="399"/>
    </row>
    <row r="50" spans="1:15" s="136" customFormat="1" ht="27" customHeight="1" x14ac:dyDescent="0.2">
      <c r="A50" s="138"/>
      <c r="B50" s="138"/>
      <c r="C50" s="414" t="s">
        <v>253</v>
      </c>
      <c r="D50" s="424">
        <v>151701</v>
      </c>
      <c r="E50" s="551">
        <f>0+táj.1!E50</f>
        <v>0</v>
      </c>
      <c r="F50" s="551">
        <f>0+táj.1!F50</f>
        <v>0</v>
      </c>
      <c r="G50" s="551">
        <f>0+táj.1!G50</f>
        <v>0</v>
      </c>
      <c r="H50" s="551">
        <f>4318+táj.1!H50</f>
        <v>4318</v>
      </c>
      <c r="I50" s="551">
        <f>0+táj.1!I50</f>
        <v>0</v>
      </c>
      <c r="J50" s="551">
        <f>0+táj.1!J50</f>
        <v>0</v>
      </c>
      <c r="K50" s="551">
        <f>0+táj.1!K50</f>
        <v>0</v>
      </c>
      <c r="L50" s="551">
        <f>0+táj.1!L50</f>
        <v>0</v>
      </c>
      <c r="M50" s="551">
        <f>0+táj.1!M50</f>
        <v>0</v>
      </c>
      <c r="N50" s="551">
        <f>0+táj.1!N50</f>
        <v>0</v>
      </c>
      <c r="O50" s="399">
        <f>SUM(E50:N50)</f>
        <v>4318</v>
      </c>
    </row>
    <row r="51" spans="1:15" s="136" customFormat="1" ht="19.5" customHeight="1" x14ac:dyDescent="0.2">
      <c r="A51" s="138"/>
      <c r="B51" s="138"/>
      <c r="C51" s="613" t="s">
        <v>603</v>
      </c>
      <c r="D51" s="657" t="s">
        <v>1097</v>
      </c>
      <c r="E51" s="551">
        <f>0+táj.1!E51</f>
        <v>0</v>
      </c>
      <c r="F51" s="551">
        <f>0+táj.1!F51</f>
        <v>0</v>
      </c>
      <c r="G51" s="551">
        <f>0+táj.1!G51</f>
        <v>0</v>
      </c>
      <c r="H51" s="551">
        <f>0+táj.1!H51</f>
        <v>0</v>
      </c>
      <c r="I51" s="551">
        <f>0+táj.1!I51</f>
        <v>0</v>
      </c>
      <c r="J51" s="551">
        <f>0+táj.1!J51</f>
        <v>0</v>
      </c>
      <c r="K51" s="551">
        <f>0+táj.1!K51</f>
        <v>0</v>
      </c>
      <c r="L51" s="551">
        <f>0+táj.1!L51</f>
        <v>0</v>
      </c>
      <c r="M51" s="551">
        <f>23867+táj.1!M51</f>
        <v>23867</v>
      </c>
      <c r="N51" s="551">
        <f>0+táj.1!N51</f>
        <v>0</v>
      </c>
      <c r="O51" s="399">
        <f>SUM(E51:N51)</f>
        <v>23867</v>
      </c>
    </row>
    <row r="52" spans="1:15" s="136" customFormat="1" ht="19.5" customHeight="1" x14ac:dyDescent="0.2">
      <c r="A52" s="869"/>
      <c r="B52" s="869"/>
      <c r="C52" s="886" t="s">
        <v>1358</v>
      </c>
      <c r="D52" s="887" t="s">
        <v>1359</v>
      </c>
      <c r="E52" s="551">
        <f>0+táj.1!E52</f>
        <v>0</v>
      </c>
      <c r="F52" s="551">
        <f>0+táj.1!F52</f>
        <v>0</v>
      </c>
      <c r="G52" s="551">
        <f>0+táj.1!G52</f>
        <v>0</v>
      </c>
      <c r="H52" s="551">
        <f>0+táj.1!H52</f>
        <v>12700</v>
      </c>
      <c r="I52" s="551">
        <f>0+táj.1!I52</f>
        <v>0</v>
      </c>
      <c r="J52" s="551">
        <f>0+táj.1!J52</f>
        <v>0</v>
      </c>
      <c r="K52" s="551">
        <f>0+táj.1!K52</f>
        <v>0</v>
      </c>
      <c r="L52" s="551">
        <f>0+táj.1!L52</f>
        <v>0</v>
      </c>
      <c r="M52" s="551">
        <f>0+táj.1!M52</f>
        <v>0</v>
      </c>
      <c r="N52" s="551">
        <f>0+táj.1!N52</f>
        <v>0</v>
      </c>
      <c r="O52" s="399">
        <f>SUM(E52:N52)</f>
        <v>12700</v>
      </c>
    </row>
    <row r="53" spans="1:15" s="136" customFormat="1" ht="19.5" customHeight="1" x14ac:dyDescent="0.2">
      <c r="A53" s="779"/>
      <c r="B53" s="779"/>
      <c r="C53" s="818" t="s">
        <v>1276</v>
      </c>
      <c r="D53" s="819" t="s">
        <v>1277</v>
      </c>
      <c r="E53" s="551">
        <f>0+táj.1!E53</f>
        <v>0</v>
      </c>
      <c r="F53" s="551">
        <f>2499+táj.1!F53</f>
        <v>2499</v>
      </c>
      <c r="G53" s="551">
        <f>0+táj.1!G53</f>
        <v>0</v>
      </c>
      <c r="H53" s="551">
        <f>0+táj.1!H53</f>
        <v>0</v>
      </c>
      <c r="I53" s="551">
        <f>0+táj.1!I53</f>
        <v>0</v>
      </c>
      <c r="J53" s="551">
        <f>0+táj.1!J53</f>
        <v>0</v>
      </c>
      <c r="K53" s="551">
        <f>0+táj.1!K53</f>
        <v>0</v>
      </c>
      <c r="L53" s="551">
        <f>0+táj.1!L53</f>
        <v>0</v>
      </c>
      <c r="M53" s="551">
        <f>0+táj.1!M53</f>
        <v>0</v>
      </c>
      <c r="N53" s="551">
        <f>0+táj.1!N53</f>
        <v>0</v>
      </c>
      <c r="O53" s="399">
        <f>SUM(E53:N53)</f>
        <v>2499</v>
      </c>
    </row>
    <row r="54" spans="1:15" s="136" customFormat="1" ht="19.5" customHeight="1" x14ac:dyDescent="0.2">
      <c r="A54" s="869"/>
      <c r="B54" s="869"/>
      <c r="C54" s="886" t="s">
        <v>1337</v>
      </c>
      <c r="D54" s="887" t="s">
        <v>1338</v>
      </c>
      <c r="E54" s="551">
        <f>0+táj.1!E54</f>
        <v>0</v>
      </c>
      <c r="F54" s="551">
        <f>0+táj.1!F54</f>
        <v>0</v>
      </c>
      <c r="G54" s="551">
        <f>0+táj.1!G54</f>
        <v>0</v>
      </c>
      <c r="H54" s="551">
        <f>0+táj.1!H54</f>
        <v>0</v>
      </c>
      <c r="I54" s="551">
        <f>0+táj.1!I54</f>
        <v>0</v>
      </c>
      <c r="J54" s="551">
        <f>0+táj.1!J54</f>
        <v>0</v>
      </c>
      <c r="K54" s="551">
        <f>2000+táj.1!K54</f>
        <v>2000</v>
      </c>
      <c r="L54" s="551">
        <f>0+táj.1!L54</f>
        <v>0</v>
      </c>
      <c r="M54" s="551">
        <f>0+táj.1!M54</f>
        <v>0</v>
      </c>
      <c r="N54" s="551">
        <f>0+táj.1!N54</f>
        <v>0</v>
      </c>
      <c r="O54" s="399">
        <f>SUM(E54:N54)</f>
        <v>2000</v>
      </c>
    </row>
    <row r="55" spans="1:15" s="136" customFormat="1" ht="26.25" customHeight="1" x14ac:dyDescent="0.2">
      <c r="A55" s="138"/>
      <c r="B55" s="138"/>
      <c r="C55" s="414" t="s">
        <v>254</v>
      </c>
      <c r="D55" s="424"/>
      <c r="E55" s="551"/>
      <c r="F55" s="551"/>
      <c r="G55" s="551"/>
      <c r="H55" s="551"/>
      <c r="I55" s="551"/>
      <c r="J55" s="551"/>
      <c r="K55" s="551"/>
      <c r="L55" s="551"/>
      <c r="M55" s="551"/>
      <c r="N55" s="551"/>
      <c r="O55" s="399"/>
    </row>
    <row r="56" spans="1:15" s="136" customFormat="1" ht="24.95" customHeight="1" x14ac:dyDescent="0.2">
      <c r="A56" s="138"/>
      <c r="B56" s="138"/>
      <c r="C56" s="400" t="s">
        <v>255</v>
      </c>
      <c r="D56" s="423" t="s">
        <v>256</v>
      </c>
      <c r="E56" s="551">
        <f>0+táj.1!E56</f>
        <v>0</v>
      </c>
      <c r="F56" s="551">
        <f>0+táj.1!F56</f>
        <v>0</v>
      </c>
      <c r="G56" s="551">
        <f>0+táj.1!G56</f>
        <v>0</v>
      </c>
      <c r="H56" s="551">
        <f>152400+táj.1!H56</f>
        <v>152400</v>
      </c>
      <c r="I56" s="551">
        <f>0+táj.1!I56</f>
        <v>0</v>
      </c>
      <c r="J56" s="551">
        <f>0+táj.1!J56</f>
        <v>0</v>
      </c>
      <c r="K56" s="399"/>
      <c r="L56" s="551">
        <f>0+táj.1!L56</f>
        <v>0</v>
      </c>
      <c r="M56" s="551">
        <f>0+táj.1!M56</f>
        <v>0</v>
      </c>
      <c r="N56" s="551">
        <f>0+táj.1!N56</f>
        <v>0</v>
      </c>
      <c r="O56" s="399">
        <f>SUM(E56:N56)</f>
        <v>152400</v>
      </c>
    </row>
    <row r="57" spans="1:15" s="136" customFormat="1" ht="12.95" customHeight="1" x14ac:dyDescent="0.2">
      <c r="A57" s="142"/>
      <c r="B57" s="142"/>
      <c r="C57" s="426" t="s">
        <v>257</v>
      </c>
      <c r="D57" s="427"/>
      <c r="E57" s="405">
        <f t="shared" ref="E57:O57" si="7">SUM(E41:E56)</f>
        <v>0</v>
      </c>
      <c r="F57" s="405">
        <f t="shared" si="7"/>
        <v>2499</v>
      </c>
      <c r="G57" s="405">
        <f t="shared" si="7"/>
        <v>0</v>
      </c>
      <c r="H57" s="405">
        <f t="shared" si="7"/>
        <v>393119</v>
      </c>
      <c r="I57" s="405">
        <f t="shared" si="7"/>
        <v>0</v>
      </c>
      <c r="J57" s="405">
        <f t="shared" si="7"/>
        <v>0</v>
      </c>
      <c r="K57" s="405">
        <f t="shared" si="7"/>
        <v>2000</v>
      </c>
      <c r="L57" s="405">
        <f t="shared" si="7"/>
        <v>0</v>
      </c>
      <c r="M57" s="405">
        <f t="shared" si="7"/>
        <v>23867</v>
      </c>
      <c r="N57" s="405">
        <f t="shared" si="7"/>
        <v>0</v>
      </c>
      <c r="O57" s="405">
        <f t="shared" si="7"/>
        <v>421485</v>
      </c>
    </row>
    <row r="58" spans="1:15" s="136" customFormat="1" ht="12.95" customHeight="1" x14ac:dyDescent="0.2">
      <c r="A58" s="138">
        <v>1</v>
      </c>
      <c r="B58" s="138" t="s">
        <v>94</v>
      </c>
      <c r="C58" s="393" t="s">
        <v>128</v>
      </c>
      <c r="D58" s="394"/>
      <c r="E58" s="399"/>
      <c r="F58" s="399"/>
      <c r="G58" s="399"/>
      <c r="H58" s="399"/>
      <c r="I58" s="399"/>
      <c r="J58" s="399"/>
      <c r="K58" s="399"/>
      <c r="L58" s="399"/>
      <c r="M58" s="399"/>
      <c r="N58" s="399"/>
      <c r="O58" s="399"/>
    </row>
    <row r="59" spans="1:15" s="136" customFormat="1" ht="27" customHeight="1" x14ac:dyDescent="0.2">
      <c r="A59" s="138"/>
      <c r="B59" s="138"/>
      <c r="C59" s="414" t="s">
        <v>258</v>
      </c>
      <c r="D59" s="428"/>
      <c r="E59" s="429"/>
      <c r="F59" s="399"/>
      <c r="G59" s="399"/>
      <c r="H59" s="399"/>
      <c r="I59" s="399"/>
      <c r="J59" s="399"/>
      <c r="K59" s="399"/>
      <c r="L59" s="399"/>
      <c r="M59" s="399"/>
      <c r="N59" s="399"/>
      <c r="O59" s="399"/>
    </row>
    <row r="60" spans="1:15" s="136" customFormat="1" ht="26.25" customHeight="1" x14ac:dyDescent="0.2">
      <c r="A60" s="138"/>
      <c r="B60" s="138"/>
      <c r="C60" s="400" t="s">
        <v>1011</v>
      </c>
      <c r="D60" s="430">
        <v>161909</v>
      </c>
      <c r="E60" s="425">
        <f>0+táj.1!E60</f>
        <v>0</v>
      </c>
      <c r="F60" s="425">
        <f>0+táj.1!F60</f>
        <v>0</v>
      </c>
      <c r="G60" s="425">
        <f>0+táj.1!G60</f>
        <v>0</v>
      </c>
      <c r="H60" s="425">
        <f>35742+táj.1!H60</f>
        <v>35742</v>
      </c>
      <c r="I60" s="425">
        <f>0+táj.1!I60</f>
        <v>0</v>
      </c>
      <c r="J60" s="425">
        <f>0+táj.1!J60</f>
        <v>0</v>
      </c>
      <c r="K60" s="425">
        <f>0+táj.1!K60</f>
        <v>0</v>
      </c>
      <c r="L60" s="425">
        <f>0+táj.1!L60</f>
        <v>0</v>
      </c>
      <c r="M60" s="425">
        <f>0+táj.1!M60</f>
        <v>0</v>
      </c>
      <c r="N60" s="425">
        <f>0+táj.1!N60</f>
        <v>0</v>
      </c>
      <c r="O60" s="399">
        <f>SUM(E60:N60)</f>
        <v>35742</v>
      </c>
    </row>
    <row r="61" spans="1:15" s="136" customFormat="1" ht="23.25" customHeight="1" x14ac:dyDescent="0.2">
      <c r="A61" s="138"/>
      <c r="B61" s="138"/>
      <c r="C61" s="400" t="s">
        <v>996</v>
      </c>
      <c r="D61" s="430">
        <v>164106</v>
      </c>
      <c r="E61" s="425">
        <f>0+táj.1!E61</f>
        <v>0</v>
      </c>
      <c r="F61" s="425">
        <f>0+táj.1!F61</f>
        <v>0</v>
      </c>
      <c r="G61" s="425">
        <f>0+táj.1!G61</f>
        <v>0</v>
      </c>
      <c r="H61" s="425">
        <f>532503+táj.1!H61</f>
        <v>532503</v>
      </c>
      <c r="I61" s="425">
        <f>0+táj.1!I61</f>
        <v>0</v>
      </c>
      <c r="J61" s="425">
        <f>0+táj.1!J61</f>
        <v>0</v>
      </c>
      <c r="K61" s="425">
        <f>0+táj.1!K61</f>
        <v>0</v>
      </c>
      <c r="L61" s="425">
        <f>0+táj.1!L61</f>
        <v>0</v>
      </c>
      <c r="M61" s="425">
        <f>65820+táj.1!M61</f>
        <v>65820</v>
      </c>
      <c r="N61" s="425">
        <f>0+táj.1!N61</f>
        <v>0</v>
      </c>
      <c r="O61" s="399">
        <f>SUM(E61:N61)</f>
        <v>598323</v>
      </c>
    </row>
    <row r="62" spans="1:15" s="136" customFormat="1" ht="24" customHeight="1" x14ac:dyDescent="0.2">
      <c r="A62" s="138"/>
      <c r="B62" s="138"/>
      <c r="C62" s="400" t="s">
        <v>997</v>
      </c>
      <c r="D62" s="430">
        <v>164204</v>
      </c>
      <c r="E62" s="425">
        <f>0+táj.1!E62</f>
        <v>0</v>
      </c>
      <c r="F62" s="425">
        <f>0+táj.1!F62</f>
        <v>0</v>
      </c>
      <c r="G62" s="425">
        <f>0+táj.1!G62</f>
        <v>0</v>
      </c>
      <c r="H62" s="425">
        <f>199813+táj.1!H62</f>
        <v>199813</v>
      </c>
      <c r="I62" s="425">
        <f>0+táj.1!I62</f>
        <v>0</v>
      </c>
      <c r="J62" s="425">
        <f>0+táj.1!J62</f>
        <v>0</v>
      </c>
      <c r="K62" s="425">
        <f>0+táj.1!K62</f>
        <v>0</v>
      </c>
      <c r="L62" s="425">
        <f>0+táj.1!L62</f>
        <v>0</v>
      </c>
      <c r="M62" s="425">
        <f>30794+táj.1!M62</f>
        <v>30794</v>
      </c>
      <c r="N62" s="425">
        <f>0+táj.1!N62</f>
        <v>0</v>
      </c>
      <c r="O62" s="399">
        <f>SUM(E62:N62)</f>
        <v>230607</v>
      </c>
    </row>
    <row r="63" spans="1:15" s="136" customFormat="1" ht="35.25" customHeight="1" x14ac:dyDescent="0.2">
      <c r="A63" s="138"/>
      <c r="B63" s="138"/>
      <c r="C63" s="431" t="s">
        <v>259</v>
      </c>
      <c r="D63" s="430">
        <v>164205</v>
      </c>
      <c r="E63" s="425">
        <f>4455+táj.1!E63</f>
        <v>4455</v>
      </c>
      <c r="F63" s="425">
        <f>158267+táj.1!F63</f>
        <v>158267</v>
      </c>
      <c r="G63" s="425">
        <f>0+táj.1!G63</f>
        <v>0</v>
      </c>
      <c r="H63" s="425">
        <f>89083+táj.1!H63</f>
        <v>89083</v>
      </c>
      <c r="I63" s="425">
        <f>0+táj.1!I63</f>
        <v>0</v>
      </c>
      <c r="J63" s="425">
        <f>0+táj.1!J63</f>
        <v>0</v>
      </c>
      <c r="K63" s="425">
        <f>0+táj.1!K63</f>
        <v>0</v>
      </c>
      <c r="L63" s="425">
        <f>0+táj.1!L63</f>
        <v>0</v>
      </c>
      <c r="M63" s="425">
        <f>167215+táj.1!M63</f>
        <v>167215</v>
      </c>
      <c r="N63" s="425">
        <f>0+táj.1!N63</f>
        <v>0</v>
      </c>
      <c r="O63" s="399">
        <f>SUM(E63:N63)</f>
        <v>419020</v>
      </c>
    </row>
    <row r="64" spans="1:15" s="136" customFormat="1" ht="35.25" customHeight="1" x14ac:dyDescent="0.2">
      <c r="A64" s="138"/>
      <c r="B64" s="138"/>
      <c r="C64" s="431" t="s">
        <v>260</v>
      </c>
      <c r="D64" s="430">
        <v>164206</v>
      </c>
      <c r="E64" s="425">
        <f>500+táj.1!E64</f>
        <v>500</v>
      </c>
      <c r="F64" s="425">
        <f>153316+táj.1!F64</f>
        <v>2316</v>
      </c>
      <c r="G64" s="425">
        <f>0+táj.1!G64</f>
        <v>0</v>
      </c>
      <c r="H64" s="425">
        <f>41530+táj.1!H64</f>
        <v>760</v>
      </c>
      <c r="I64" s="425">
        <f>0+táj.1!I64</f>
        <v>0</v>
      </c>
      <c r="J64" s="425">
        <f>0+táj.1!J64</f>
        <v>0</v>
      </c>
      <c r="K64" s="425">
        <f>0+táj.1!K64</f>
        <v>0</v>
      </c>
      <c r="L64" s="425">
        <f>0+táj.1!L64</f>
        <v>0</v>
      </c>
      <c r="M64" s="425">
        <f>0+táj.1!M64</f>
        <v>0</v>
      </c>
      <c r="N64" s="425">
        <f>0+táj.1!N64</f>
        <v>0</v>
      </c>
      <c r="O64" s="399">
        <f>SUM(E64:N64)</f>
        <v>3576</v>
      </c>
    </row>
    <row r="65" spans="1:15" s="136" customFormat="1" ht="30" customHeight="1" x14ac:dyDescent="0.2">
      <c r="A65" s="138"/>
      <c r="B65" s="138"/>
      <c r="C65" s="414" t="s">
        <v>261</v>
      </c>
      <c r="D65" s="554"/>
      <c r="E65" s="425"/>
      <c r="F65" s="425"/>
      <c r="G65" s="425"/>
      <c r="H65" s="425"/>
      <c r="I65" s="425"/>
      <c r="J65" s="425"/>
      <c r="K65" s="425"/>
      <c r="L65" s="425"/>
      <c r="M65" s="425"/>
      <c r="N65" s="425"/>
      <c r="O65" s="399"/>
    </row>
    <row r="66" spans="1:15" s="136" customFormat="1" ht="25.5" customHeight="1" x14ac:dyDescent="0.2">
      <c r="A66" s="138"/>
      <c r="B66" s="138"/>
      <c r="C66" s="420" t="s">
        <v>262</v>
      </c>
      <c r="D66" s="553">
        <v>162695</v>
      </c>
      <c r="E66" s="425">
        <f>4800+táj.1!E66</f>
        <v>4800</v>
      </c>
      <c r="F66" s="425">
        <f>0+táj.1!F66</f>
        <v>0</v>
      </c>
      <c r="G66" s="425">
        <f>0+táj.1!G66</f>
        <v>0</v>
      </c>
      <c r="H66" s="425">
        <f>0+táj.1!H66</f>
        <v>0</v>
      </c>
      <c r="I66" s="425">
        <f>0+táj.1!I66</f>
        <v>0</v>
      </c>
      <c r="J66" s="425">
        <f>0+táj.1!J66</f>
        <v>0</v>
      </c>
      <c r="K66" s="425">
        <f>0+táj.1!K66</f>
        <v>0</v>
      </c>
      <c r="L66" s="425">
        <f>0+táj.1!L66</f>
        <v>0</v>
      </c>
      <c r="M66" s="425">
        <f>0+táj.1!M66</f>
        <v>0</v>
      </c>
      <c r="N66" s="425">
        <f>0+táj.1!N66</f>
        <v>0</v>
      </c>
      <c r="O66" s="399">
        <f>SUM(E66:N66)</f>
        <v>4800</v>
      </c>
    </row>
    <row r="67" spans="1:15" s="136" customFormat="1" ht="19.5" customHeight="1" x14ac:dyDescent="0.2">
      <c r="A67" s="138"/>
      <c r="B67" s="138"/>
      <c r="C67" s="434" t="s">
        <v>263</v>
      </c>
      <c r="D67" s="555">
        <v>162607</v>
      </c>
      <c r="E67" s="425">
        <f>0+táj.1!E67</f>
        <v>0</v>
      </c>
      <c r="F67" s="425">
        <f>0+táj.1!F67</f>
        <v>0</v>
      </c>
      <c r="G67" s="425">
        <f>0+táj.1!G67</f>
        <v>0</v>
      </c>
      <c r="H67" s="425">
        <f>0+táj.1!H67</f>
        <v>0</v>
      </c>
      <c r="I67" s="425">
        <f>0+táj.1!I67</f>
        <v>0</v>
      </c>
      <c r="J67" s="425">
        <f>0+táj.1!J67</f>
        <v>0</v>
      </c>
      <c r="K67" s="425">
        <f>0+táj.1!K67</f>
        <v>0</v>
      </c>
      <c r="L67" s="425">
        <f>0+táj.1!L67</f>
        <v>0</v>
      </c>
      <c r="M67" s="425">
        <f>5058+táj.1!M67</f>
        <v>5058</v>
      </c>
      <c r="N67" s="425">
        <f>0+táj.1!N67</f>
        <v>0</v>
      </c>
      <c r="O67" s="437">
        <f t="shared" ref="O67:O68" si="8">SUM(E67:N67)</f>
        <v>5058</v>
      </c>
    </row>
    <row r="68" spans="1:15" s="136" customFormat="1" ht="25.5" customHeight="1" x14ac:dyDescent="0.2">
      <c r="A68" s="146"/>
      <c r="B68" s="146"/>
      <c r="C68" s="438" t="s">
        <v>264</v>
      </c>
      <c r="D68" s="555">
        <v>162640</v>
      </c>
      <c r="E68" s="425">
        <f>0+táj.1!E68</f>
        <v>0</v>
      </c>
      <c r="F68" s="425">
        <f>0+táj.1!F68</f>
        <v>0</v>
      </c>
      <c r="G68" s="425">
        <f>0+táj.1!G68</f>
        <v>0</v>
      </c>
      <c r="H68" s="425">
        <f>0+táj.1!H68</f>
        <v>0</v>
      </c>
      <c r="I68" s="425">
        <f>0+táj.1!I68</f>
        <v>0</v>
      </c>
      <c r="J68" s="425">
        <f>0+táj.1!J68</f>
        <v>0</v>
      </c>
      <c r="K68" s="425">
        <f>0+táj.1!K68</f>
        <v>0</v>
      </c>
      <c r="L68" s="425">
        <f>0+táj.1!L68</f>
        <v>0</v>
      </c>
      <c r="M68" s="425">
        <f>137601+táj.1!M68</f>
        <v>137601</v>
      </c>
      <c r="N68" s="425">
        <f>0+táj.1!N68</f>
        <v>0</v>
      </c>
      <c r="O68" s="437">
        <f t="shared" si="8"/>
        <v>137601</v>
      </c>
    </row>
    <row r="69" spans="1:15" s="136" customFormat="1" ht="37.5" customHeight="1" x14ac:dyDescent="0.2">
      <c r="A69" s="146"/>
      <c r="B69" s="146"/>
      <c r="C69" s="439" t="s">
        <v>265</v>
      </c>
      <c r="D69" s="353">
        <v>163603</v>
      </c>
      <c r="E69" s="425">
        <f>0+táj.1!E69</f>
        <v>0</v>
      </c>
      <c r="F69" s="425">
        <f>0+táj.1!F69</f>
        <v>0</v>
      </c>
      <c r="G69" s="425">
        <f>0+táj.1!G69</f>
        <v>0</v>
      </c>
      <c r="H69" s="425">
        <f>0+táj.1!H69</f>
        <v>0</v>
      </c>
      <c r="I69" s="425">
        <f>0+táj.1!I69</f>
        <v>0</v>
      </c>
      <c r="J69" s="425">
        <f>0+táj.1!J69</f>
        <v>0</v>
      </c>
      <c r="K69" s="425">
        <f>0+táj.1!K69</f>
        <v>0</v>
      </c>
      <c r="L69" s="425">
        <f>0+táj.1!L69</f>
        <v>0</v>
      </c>
      <c r="M69" s="425">
        <f>10113+táj.1!M69</f>
        <v>10113</v>
      </c>
      <c r="N69" s="425">
        <f>0+táj.1!N69</f>
        <v>0</v>
      </c>
      <c r="O69" s="437">
        <f t="shared" ref="O69:O111" si="9">SUM(E69:N69)</f>
        <v>10113</v>
      </c>
    </row>
    <row r="70" spans="1:15" s="136" customFormat="1" ht="37.5" customHeight="1" x14ac:dyDescent="0.2">
      <c r="A70" s="146"/>
      <c r="B70" s="146"/>
      <c r="C70" s="440" t="s">
        <v>266</v>
      </c>
      <c r="D70" s="353">
        <v>163604</v>
      </c>
      <c r="E70" s="425">
        <f>0+táj.1!E70</f>
        <v>0</v>
      </c>
      <c r="F70" s="425">
        <f>0+táj.1!F70</f>
        <v>0</v>
      </c>
      <c r="G70" s="425">
        <f>0+táj.1!G70</f>
        <v>0</v>
      </c>
      <c r="H70" s="425">
        <f>0+táj.1!H70</f>
        <v>0</v>
      </c>
      <c r="I70" s="425">
        <f>0+táj.1!I70</f>
        <v>0</v>
      </c>
      <c r="J70" s="425">
        <f>0+táj.1!J70</f>
        <v>0</v>
      </c>
      <c r="K70" s="425">
        <f>0+táj.1!K70</f>
        <v>0</v>
      </c>
      <c r="L70" s="425">
        <f>0+táj.1!L70</f>
        <v>0</v>
      </c>
      <c r="M70" s="425">
        <f>4106+táj.1!M70</f>
        <v>4106</v>
      </c>
      <c r="N70" s="425">
        <f>0+táj.1!N70</f>
        <v>0</v>
      </c>
      <c r="O70" s="437">
        <f t="shared" si="9"/>
        <v>4106</v>
      </c>
    </row>
    <row r="71" spans="1:15" s="136" customFormat="1" ht="37.5" customHeight="1" x14ac:dyDescent="0.2">
      <c r="A71" s="146"/>
      <c r="B71" s="146"/>
      <c r="C71" s="440" t="s">
        <v>267</v>
      </c>
      <c r="D71" s="353">
        <v>163606</v>
      </c>
      <c r="E71" s="425">
        <f>0+táj.1!E71</f>
        <v>0</v>
      </c>
      <c r="F71" s="425">
        <f>47786+táj.1!F71</f>
        <v>47786</v>
      </c>
      <c r="G71" s="425">
        <f>0+táj.1!G71</f>
        <v>0</v>
      </c>
      <c r="H71" s="425">
        <f>0+táj.1!H71</f>
        <v>0</v>
      </c>
      <c r="I71" s="425">
        <f>0+táj.1!I71</f>
        <v>0</v>
      </c>
      <c r="J71" s="425">
        <f>0+táj.1!J71</f>
        <v>0</v>
      </c>
      <c r="K71" s="425">
        <f>0+táj.1!K71</f>
        <v>0</v>
      </c>
      <c r="L71" s="425">
        <f>0+táj.1!L71</f>
        <v>0</v>
      </c>
      <c r="M71" s="425">
        <f>10778+táj.1!M71</f>
        <v>10778</v>
      </c>
      <c r="N71" s="425">
        <f>0+táj.1!N71</f>
        <v>0</v>
      </c>
      <c r="O71" s="437">
        <f t="shared" si="9"/>
        <v>58564</v>
      </c>
    </row>
    <row r="72" spans="1:15" s="136" customFormat="1" ht="77.25" customHeight="1" x14ac:dyDescent="0.2">
      <c r="A72" s="146"/>
      <c r="B72" s="146"/>
      <c r="C72" s="439" t="s">
        <v>268</v>
      </c>
      <c r="D72" s="353">
        <v>163607</v>
      </c>
      <c r="E72" s="425">
        <f>0+táj.1!E72</f>
        <v>0</v>
      </c>
      <c r="F72" s="425">
        <f>0+táj.1!F72</f>
        <v>0</v>
      </c>
      <c r="G72" s="425">
        <f>0+táj.1!G72</f>
        <v>0</v>
      </c>
      <c r="H72" s="425">
        <f>0+táj.1!H72</f>
        <v>0</v>
      </c>
      <c r="I72" s="425">
        <f>0+táj.1!I72</f>
        <v>0</v>
      </c>
      <c r="J72" s="425">
        <f>0+táj.1!J72</f>
        <v>0</v>
      </c>
      <c r="K72" s="425">
        <f>0+táj.1!K72</f>
        <v>0</v>
      </c>
      <c r="L72" s="425">
        <f>0+táj.1!L72</f>
        <v>0</v>
      </c>
      <c r="M72" s="425">
        <f>944966+táj.1!M72</f>
        <v>944966</v>
      </c>
      <c r="N72" s="425">
        <f>0+táj.1!N72</f>
        <v>0</v>
      </c>
      <c r="O72" s="437">
        <f t="shared" si="9"/>
        <v>944966</v>
      </c>
    </row>
    <row r="73" spans="1:15" s="136" customFormat="1" ht="37.5" customHeight="1" x14ac:dyDescent="0.2">
      <c r="A73" s="146"/>
      <c r="B73" s="146"/>
      <c r="C73" s="439" t="s">
        <v>269</v>
      </c>
      <c r="D73" s="353">
        <v>163608</v>
      </c>
      <c r="E73" s="425">
        <f>0+táj.1!E73</f>
        <v>0</v>
      </c>
      <c r="F73" s="425">
        <f>0+táj.1!F73</f>
        <v>0</v>
      </c>
      <c r="G73" s="425">
        <f>0+táj.1!G73</f>
        <v>0</v>
      </c>
      <c r="H73" s="425">
        <f>0+táj.1!H73</f>
        <v>0</v>
      </c>
      <c r="I73" s="425">
        <f>0+táj.1!I73</f>
        <v>0</v>
      </c>
      <c r="J73" s="425">
        <f>0+táj.1!J73</f>
        <v>0</v>
      </c>
      <c r="K73" s="425">
        <f>0+táj.1!K73</f>
        <v>0</v>
      </c>
      <c r="L73" s="425">
        <f>0+táj.1!L73</f>
        <v>0</v>
      </c>
      <c r="M73" s="425">
        <f>471834+táj.1!M73</f>
        <v>471834</v>
      </c>
      <c r="N73" s="425">
        <f>0+táj.1!N73</f>
        <v>0</v>
      </c>
      <c r="O73" s="437">
        <f t="shared" si="9"/>
        <v>471834</v>
      </c>
    </row>
    <row r="74" spans="1:15" s="136" customFormat="1" ht="37.5" customHeight="1" x14ac:dyDescent="0.2">
      <c r="A74" s="146"/>
      <c r="B74" s="146"/>
      <c r="C74" s="439" t="s">
        <v>270</v>
      </c>
      <c r="D74" s="353">
        <v>163609</v>
      </c>
      <c r="E74" s="425">
        <f>0+táj.1!E74</f>
        <v>0</v>
      </c>
      <c r="F74" s="425">
        <f>0+táj.1!F74</f>
        <v>0</v>
      </c>
      <c r="G74" s="425">
        <f>0+táj.1!G74</f>
        <v>0</v>
      </c>
      <c r="H74" s="425">
        <f>0+táj.1!H74</f>
        <v>0</v>
      </c>
      <c r="I74" s="425">
        <f>0+táj.1!I74</f>
        <v>0</v>
      </c>
      <c r="J74" s="425">
        <f>0+táj.1!J74</f>
        <v>0</v>
      </c>
      <c r="K74" s="425">
        <f>0+táj.1!K74</f>
        <v>0</v>
      </c>
      <c r="L74" s="425">
        <f>0+táj.1!L74</f>
        <v>0</v>
      </c>
      <c r="M74" s="425">
        <f>159568+táj.1!M74</f>
        <v>159568</v>
      </c>
      <c r="N74" s="425">
        <f>0+táj.1!N74</f>
        <v>0</v>
      </c>
      <c r="O74" s="437">
        <f t="shared" si="9"/>
        <v>159568</v>
      </c>
    </row>
    <row r="75" spans="1:15" s="136" customFormat="1" ht="37.5" customHeight="1" x14ac:dyDescent="0.2">
      <c r="A75" s="146"/>
      <c r="B75" s="146"/>
      <c r="C75" s="441" t="s">
        <v>271</v>
      </c>
      <c r="D75" s="353">
        <v>163611</v>
      </c>
      <c r="E75" s="425">
        <f>0+táj.1!E75</f>
        <v>0</v>
      </c>
      <c r="F75" s="425">
        <f>0+táj.1!F75</f>
        <v>0</v>
      </c>
      <c r="G75" s="425">
        <f>0+táj.1!G75</f>
        <v>0</v>
      </c>
      <c r="H75" s="425">
        <f>0+táj.1!H75</f>
        <v>0</v>
      </c>
      <c r="I75" s="425">
        <f>0+táj.1!I75</f>
        <v>0</v>
      </c>
      <c r="J75" s="425">
        <f>0+táj.1!J75</f>
        <v>0</v>
      </c>
      <c r="K75" s="425">
        <f>0+táj.1!K75</f>
        <v>0</v>
      </c>
      <c r="L75" s="425">
        <f>0+táj.1!L75</f>
        <v>0</v>
      </c>
      <c r="M75" s="425">
        <f>159938+táj.1!M75</f>
        <v>159938</v>
      </c>
      <c r="N75" s="425">
        <f>0+táj.1!N75</f>
        <v>0</v>
      </c>
      <c r="O75" s="437">
        <f t="shared" si="9"/>
        <v>159938</v>
      </c>
    </row>
    <row r="76" spans="1:15" s="136" customFormat="1" ht="37.5" customHeight="1" x14ac:dyDescent="0.2">
      <c r="A76" s="146"/>
      <c r="B76" s="146"/>
      <c r="C76" s="442" t="s">
        <v>272</v>
      </c>
      <c r="D76" s="353">
        <v>163612</v>
      </c>
      <c r="E76" s="425">
        <f>0+táj.1!E76</f>
        <v>0</v>
      </c>
      <c r="F76" s="425">
        <f>0+táj.1!F76</f>
        <v>0</v>
      </c>
      <c r="G76" s="425">
        <f>0+táj.1!G76</f>
        <v>0</v>
      </c>
      <c r="H76" s="425">
        <f>32004+táj.1!H76</f>
        <v>32004</v>
      </c>
      <c r="I76" s="425">
        <f>0+táj.1!I76</f>
        <v>0</v>
      </c>
      <c r="J76" s="425">
        <f>0+táj.1!J76</f>
        <v>0</v>
      </c>
      <c r="K76" s="425">
        <f>0+táj.1!K76</f>
        <v>0</v>
      </c>
      <c r="L76" s="425">
        <f>0+táj.1!L76</f>
        <v>0</v>
      </c>
      <c r="M76" s="425">
        <f>57989+táj.1!M76</f>
        <v>57989</v>
      </c>
      <c r="N76" s="425">
        <f>0+táj.1!N76</f>
        <v>0</v>
      </c>
      <c r="O76" s="437">
        <f t="shared" si="9"/>
        <v>89993</v>
      </c>
    </row>
    <row r="77" spans="1:15" s="136" customFormat="1" ht="37.5" customHeight="1" x14ac:dyDescent="0.2">
      <c r="A77" s="146"/>
      <c r="B77" s="146"/>
      <c r="C77" s="442" t="s">
        <v>273</v>
      </c>
      <c r="D77" s="353">
        <v>163613</v>
      </c>
      <c r="E77" s="425">
        <f>0+táj.1!E77</f>
        <v>0</v>
      </c>
      <c r="F77" s="425">
        <f>89974+táj.1!F77</f>
        <v>89974</v>
      </c>
      <c r="G77" s="425">
        <f>0+táj.1!G77</f>
        <v>0</v>
      </c>
      <c r="H77" s="425">
        <f>72317+táj.1!H77</f>
        <v>72317</v>
      </c>
      <c r="I77" s="425">
        <f>0+táj.1!I77</f>
        <v>0</v>
      </c>
      <c r="J77" s="425">
        <f>0+táj.1!J77</f>
        <v>0</v>
      </c>
      <c r="K77" s="425">
        <f>0+táj.1!K77</f>
        <v>0</v>
      </c>
      <c r="L77" s="425">
        <f>0+táj.1!L77</f>
        <v>0</v>
      </c>
      <c r="M77" s="425">
        <f>113871+táj.1!M77</f>
        <v>113871</v>
      </c>
      <c r="N77" s="425">
        <f>0+táj.1!N77</f>
        <v>0</v>
      </c>
      <c r="O77" s="437">
        <f t="shared" si="9"/>
        <v>276162</v>
      </c>
    </row>
    <row r="78" spans="1:15" s="136" customFormat="1" ht="37.5" customHeight="1" x14ac:dyDescent="0.2">
      <c r="A78" s="146"/>
      <c r="B78" s="146"/>
      <c r="C78" s="442" t="s">
        <v>274</v>
      </c>
      <c r="D78" s="353">
        <v>163614</v>
      </c>
      <c r="E78" s="425">
        <f>0+táj.1!E78</f>
        <v>0</v>
      </c>
      <c r="F78" s="425">
        <f>0+táj.1!F78</f>
        <v>0</v>
      </c>
      <c r="G78" s="425">
        <f>0+táj.1!G78</f>
        <v>0</v>
      </c>
      <c r="H78" s="425">
        <f>0+táj.1!H78</f>
        <v>0</v>
      </c>
      <c r="I78" s="425">
        <f>0+táj.1!I78</f>
        <v>0</v>
      </c>
      <c r="J78" s="425">
        <f>0+táj.1!J78</f>
        <v>0</v>
      </c>
      <c r="K78" s="425">
        <f>0+táj.1!K78</f>
        <v>0</v>
      </c>
      <c r="L78" s="425">
        <f>0+táj.1!L78</f>
        <v>0</v>
      </c>
      <c r="M78" s="425">
        <f>88448+táj.1!M78</f>
        <v>88448</v>
      </c>
      <c r="N78" s="425">
        <f>0+táj.1!N78</f>
        <v>0</v>
      </c>
      <c r="O78" s="437">
        <f t="shared" si="9"/>
        <v>88448</v>
      </c>
    </row>
    <row r="79" spans="1:15" s="136" customFormat="1" ht="37.5" customHeight="1" x14ac:dyDescent="0.2">
      <c r="A79" s="146"/>
      <c r="B79" s="146"/>
      <c r="C79" s="442" t="s">
        <v>275</v>
      </c>
      <c r="D79" s="353">
        <v>163615</v>
      </c>
      <c r="E79" s="425">
        <f>0+táj.1!E79</f>
        <v>0</v>
      </c>
      <c r="F79" s="425">
        <f>0+táj.1!F79</f>
        <v>0</v>
      </c>
      <c r="G79" s="425">
        <f>0+táj.1!G79</f>
        <v>0</v>
      </c>
      <c r="H79" s="425">
        <f>0+táj.1!H79</f>
        <v>0</v>
      </c>
      <c r="I79" s="425">
        <f>0+táj.1!I79</f>
        <v>0</v>
      </c>
      <c r="J79" s="425">
        <f>0+táj.1!J79</f>
        <v>0</v>
      </c>
      <c r="K79" s="425">
        <f>0+táj.1!K79</f>
        <v>0</v>
      </c>
      <c r="L79" s="425">
        <f>0+táj.1!L79</f>
        <v>0</v>
      </c>
      <c r="M79" s="425">
        <f>8687+táj.1!M79</f>
        <v>8687</v>
      </c>
      <c r="N79" s="425">
        <f>0+táj.1!N79</f>
        <v>0</v>
      </c>
      <c r="O79" s="437">
        <f t="shared" si="9"/>
        <v>8687</v>
      </c>
    </row>
    <row r="80" spans="1:15" s="136" customFormat="1" ht="37.5" customHeight="1" x14ac:dyDescent="0.2">
      <c r="A80" s="146"/>
      <c r="B80" s="146"/>
      <c r="C80" s="442" t="s">
        <v>276</v>
      </c>
      <c r="D80" s="353">
        <v>163616</v>
      </c>
      <c r="E80" s="425">
        <f>0+táj.1!E80</f>
        <v>0</v>
      </c>
      <c r="F80" s="425">
        <f>0+táj.1!F80</f>
        <v>0</v>
      </c>
      <c r="G80" s="425">
        <f>0+táj.1!G80</f>
        <v>0</v>
      </c>
      <c r="H80" s="425">
        <f>0+táj.1!H80</f>
        <v>0</v>
      </c>
      <c r="I80" s="425">
        <f>0+táj.1!I80</f>
        <v>0</v>
      </c>
      <c r="J80" s="425">
        <f>0+táj.1!J80</f>
        <v>0</v>
      </c>
      <c r="K80" s="425">
        <f>0+táj.1!K80</f>
        <v>0</v>
      </c>
      <c r="L80" s="425">
        <f>0+táj.1!L80</f>
        <v>0</v>
      </c>
      <c r="M80" s="425">
        <f>31299+táj.1!M80</f>
        <v>31299</v>
      </c>
      <c r="N80" s="425">
        <f>0+táj.1!N80</f>
        <v>0</v>
      </c>
      <c r="O80" s="437">
        <f t="shared" si="9"/>
        <v>31299</v>
      </c>
    </row>
    <row r="81" spans="1:15" s="136" customFormat="1" ht="37.5" customHeight="1" x14ac:dyDescent="0.2">
      <c r="A81" s="146"/>
      <c r="B81" s="146"/>
      <c r="C81" s="442" t="s">
        <v>277</v>
      </c>
      <c r="D81" s="353">
        <v>163617</v>
      </c>
      <c r="E81" s="425">
        <f>0+táj.1!E81</f>
        <v>0</v>
      </c>
      <c r="F81" s="425">
        <f>0+táj.1!F81</f>
        <v>0</v>
      </c>
      <c r="G81" s="425">
        <f>0+táj.1!G81</f>
        <v>0</v>
      </c>
      <c r="H81" s="425">
        <f>0+táj.1!H81</f>
        <v>0</v>
      </c>
      <c r="I81" s="425">
        <f>0+táj.1!I81</f>
        <v>0</v>
      </c>
      <c r="J81" s="425">
        <f>0+táj.1!J81</f>
        <v>0</v>
      </c>
      <c r="K81" s="425">
        <f>0+táj.1!K81</f>
        <v>0</v>
      </c>
      <c r="L81" s="425">
        <f>0+táj.1!L81</f>
        <v>0</v>
      </c>
      <c r="M81" s="425">
        <f>1099+táj.1!M81</f>
        <v>1099</v>
      </c>
      <c r="N81" s="425">
        <f>0+táj.1!N81</f>
        <v>0</v>
      </c>
      <c r="O81" s="437">
        <f t="shared" si="9"/>
        <v>1099</v>
      </c>
    </row>
    <row r="82" spans="1:15" s="136" customFormat="1" ht="37.5" customHeight="1" x14ac:dyDescent="0.2">
      <c r="A82" s="146"/>
      <c r="B82" s="146"/>
      <c r="C82" s="442" t="s">
        <v>278</v>
      </c>
      <c r="D82" s="555">
        <v>163623</v>
      </c>
      <c r="E82" s="425">
        <f>2908+táj.1!E82</f>
        <v>2908</v>
      </c>
      <c r="F82" s="425">
        <f>0+táj.1!F82</f>
        <v>0</v>
      </c>
      <c r="G82" s="425">
        <f>0+táj.1!G82</f>
        <v>0</v>
      </c>
      <c r="H82" s="425">
        <f>0+táj.1!H82</f>
        <v>0</v>
      </c>
      <c r="I82" s="425">
        <f>0+táj.1!I82</f>
        <v>0</v>
      </c>
      <c r="J82" s="425">
        <f>0+táj.1!J82</f>
        <v>0</v>
      </c>
      <c r="K82" s="425">
        <f>0+táj.1!K82</f>
        <v>0</v>
      </c>
      <c r="L82" s="425">
        <f>0+táj.1!L82</f>
        <v>0</v>
      </c>
      <c r="M82" s="425">
        <f>0+táj.1!M82</f>
        <v>0</v>
      </c>
      <c r="N82" s="425">
        <f>0+táj.1!N82</f>
        <v>0</v>
      </c>
      <c r="O82" s="437">
        <f t="shared" si="9"/>
        <v>2908</v>
      </c>
    </row>
    <row r="83" spans="1:15" s="136" customFormat="1" ht="22.5" customHeight="1" x14ac:dyDescent="0.2">
      <c r="A83" s="146"/>
      <c r="B83" s="146"/>
      <c r="C83" s="443" t="s">
        <v>279</v>
      </c>
      <c r="D83" s="555">
        <v>163625</v>
      </c>
      <c r="E83" s="425">
        <f>0+táj.1!E83</f>
        <v>0</v>
      </c>
      <c r="F83" s="425">
        <f>1088000+táj.1!F83</f>
        <v>1088000</v>
      </c>
      <c r="G83" s="425">
        <f>0+táj.1!G83</f>
        <v>0</v>
      </c>
      <c r="H83" s="425">
        <f>0+táj.1!H83</f>
        <v>0</v>
      </c>
      <c r="I83" s="425">
        <f>0+táj.1!I83</f>
        <v>0</v>
      </c>
      <c r="J83" s="425">
        <f>0+táj.1!J83</f>
        <v>0</v>
      </c>
      <c r="K83" s="425">
        <f>0+táj.1!K83</f>
        <v>0</v>
      </c>
      <c r="L83" s="425">
        <f>0+táj.1!L83</f>
        <v>0</v>
      </c>
      <c r="M83" s="425">
        <f>0+táj.1!M83</f>
        <v>0</v>
      </c>
      <c r="N83" s="425">
        <f>0+táj.1!N83</f>
        <v>0</v>
      </c>
      <c r="O83" s="437">
        <f t="shared" si="9"/>
        <v>1088000</v>
      </c>
    </row>
    <row r="84" spans="1:15" s="136" customFormat="1" ht="22.5" customHeight="1" x14ac:dyDescent="0.2">
      <c r="A84" s="146"/>
      <c r="B84" s="146"/>
      <c r="C84" s="438" t="s">
        <v>280</v>
      </c>
      <c r="D84" s="555">
        <v>163626</v>
      </c>
      <c r="E84" s="425">
        <f>0+táj.1!E84</f>
        <v>0</v>
      </c>
      <c r="F84" s="425">
        <f>0+táj.1!F84</f>
        <v>0</v>
      </c>
      <c r="G84" s="425">
        <f>0+táj.1!G84</f>
        <v>0</v>
      </c>
      <c r="H84" s="425">
        <f>338+táj.1!H84</f>
        <v>338</v>
      </c>
      <c r="I84" s="425">
        <f>0+táj.1!I84</f>
        <v>0</v>
      </c>
      <c r="J84" s="425">
        <f>0+táj.1!J84</f>
        <v>0</v>
      </c>
      <c r="K84" s="425">
        <f>0+táj.1!K84</f>
        <v>0</v>
      </c>
      <c r="L84" s="425">
        <f>0+táj.1!L84</f>
        <v>0</v>
      </c>
      <c r="M84" s="425">
        <f>16176+táj.1!M84</f>
        <v>16176</v>
      </c>
      <c r="N84" s="425">
        <f>0+táj.1!N84</f>
        <v>0</v>
      </c>
      <c r="O84" s="437">
        <f t="shared" si="9"/>
        <v>16514</v>
      </c>
    </row>
    <row r="85" spans="1:15" s="136" customFormat="1" ht="37.5" customHeight="1" x14ac:dyDescent="0.2">
      <c r="A85" s="146"/>
      <c r="B85" s="146"/>
      <c r="C85" s="444" t="s">
        <v>281</v>
      </c>
      <c r="D85" s="555">
        <v>163627</v>
      </c>
      <c r="E85" s="425">
        <f>165110+táj.1!E85</f>
        <v>165110</v>
      </c>
      <c r="F85" s="425">
        <f>511120+táj.1!F85</f>
        <v>511120</v>
      </c>
      <c r="G85" s="425">
        <f>0+táj.1!G85</f>
        <v>0</v>
      </c>
      <c r="H85" s="425">
        <f>0+táj.1!H85</f>
        <v>0</v>
      </c>
      <c r="I85" s="425">
        <f>0+táj.1!I85</f>
        <v>0</v>
      </c>
      <c r="J85" s="425">
        <f>0+táj.1!J85</f>
        <v>0</v>
      </c>
      <c r="K85" s="425">
        <f>0+táj.1!K85</f>
        <v>0</v>
      </c>
      <c r="L85" s="425">
        <f>0+táj.1!L85</f>
        <v>0</v>
      </c>
      <c r="M85" s="425">
        <f>109745+táj.1!M85</f>
        <v>109745</v>
      </c>
      <c r="N85" s="425">
        <f>0+táj.1!N85</f>
        <v>0</v>
      </c>
      <c r="O85" s="437">
        <f t="shared" si="9"/>
        <v>785975</v>
      </c>
    </row>
    <row r="86" spans="1:15" s="136" customFormat="1" ht="41.25" customHeight="1" x14ac:dyDescent="0.2">
      <c r="A86" s="146"/>
      <c r="B86" s="146"/>
      <c r="C86" s="445" t="s">
        <v>283</v>
      </c>
      <c r="D86" s="555">
        <v>163628</v>
      </c>
      <c r="E86" s="425">
        <f>0+táj.1!E86</f>
        <v>0</v>
      </c>
      <c r="F86" s="425">
        <f>0+táj.1!F86</f>
        <v>7997</v>
      </c>
      <c r="G86" s="425">
        <f>0+táj.1!G86</f>
        <v>0</v>
      </c>
      <c r="H86" s="425">
        <f>7051+táj.1!H86</f>
        <v>9210</v>
      </c>
      <c r="I86" s="425">
        <f>0+táj.1!I87</f>
        <v>0</v>
      </c>
      <c r="J86" s="425">
        <f>0+táj.1!J87</f>
        <v>0</v>
      </c>
      <c r="K86" s="425">
        <f>0+táj.1!K87</f>
        <v>0</v>
      </c>
      <c r="L86" s="425">
        <f>0+táj.1!L87</f>
        <v>0</v>
      </c>
      <c r="M86" s="425">
        <f>26115+táj.1!M86</f>
        <v>26115</v>
      </c>
      <c r="N86" s="425">
        <f>0+táj.1!N87</f>
        <v>0</v>
      </c>
      <c r="O86" s="437">
        <f t="shared" si="9"/>
        <v>43322</v>
      </c>
    </row>
    <row r="87" spans="1:15" s="136" customFormat="1" ht="26.25" customHeight="1" x14ac:dyDescent="0.2">
      <c r="A87" s="658"/>
      <c r="B87" s="658"/>
      <c r="C87" s="444" t="s">
        <v>282</v>
      </c>
      <c r="D87" s="555">
        <v>163629</v>
      </c>
      <c r="E87" s="425">
        <f>0+táj.1!E87</f>
        <v>0</v>
      </c>
      <c r="F87" s="425">
        <f>0+táj.1!F87</f>
        <v>0</v>
      </c>
      <c r="G87" s="425">
        <f>0+táj.1!G87</f>
        <v>0</v>
      </c>
      <c r="H87" s="425">
        <f>239922+táj.1!H87</f>
        <v>239922</v>
      </c>
      <c r="I87" s="425">
        <f>0+táj.1!I87</f>
        <v>0</v>
      </c>
      <c r="J87" s="425">
        <f>0+táj.1!J87</f>
        <v>0</v>
      </c>
      <c r="K87" s="425">
        <f>0+táj.1!K87</f>
        <v>0</v>
      </c>
      <c r="L87" s="425">
        <f>0+táj.1!L87</f>
        <v>0</v>
      </c>
      <c r="M87" s="425">
        <f>892656+táj.1!M87</f>
        <v>892656</v>
      </c>
      <c r="N87" s="425">
        <f>0+táj.1!N88</f>
        <v>0</v>
      </c>
      <c r="O87" s="437">
        <f t="shared" si="9"/>
        <v>1132578</v>
      </c>
    </row>
    <row r="88" spans="1:15" s="136" customFormat="1" ht="41.25" customHeight="1" x14ac:dyDescent="0.2">
      <c r="A88" s="146"/>
      <c r="B88" s="146"/>
      <c r="C88" s="446" t="s">
        <v>284</v>
      </c>
      <c r="D88" s="555">
        <v>163633</v>
      </c>
      <c r="E88" s="425">
        <f>0+táj.1!E88</f>
        <v>0</v>
      </c>
      <c r="F88" s="425">
        <f>0+táj.1!F88</f>
        <v>0</v>
      </c>
      <c r="G88" s="425">
        <f>0+táj.1!G88</f>
        <v>0</v>
      </c>
      <c r="H88" s="425">
        <f>0+táj.1!H88</f>
        <v>0</v>
      </c>
      <c r="I88" s="425">
        <f>0+táj.1!I88</f>
        <v>0</v>
      </c>
      <c r="J88" s="425">
        <f>0+táj.1!J88</f>
        <v>0</v>
      </c>
      <c r="K88" s="425">
        <f>0+táj.1!K88</f>
        <v>0</v>
      </c>
      <c r="L88" s="425">
        <f>0+táj.1!L88</f>
        <v>0</v>
      </c>
      <c r="M88" s="425">
        <f>128636+táj.1!M88</f>
        <v>128636</v>
      </c>
      <c r="N88" s="425">
        <f>0+táj.1!N88</f>
        <v>0</v>
      </c>
      <c r="O88" s="437">
        <f t="shared" si="9"/>
        <v>128636</v>
      </c>
    </row>
    <row r="89" spans="1:15" s="136" customFormat="1" ht="33" customHeight="1" x14ac:dyDescent="0.2">
      <c r="A89" s="146"/>
      <c r="B89" s="146"/>
      <c r="C89" s="447" t="s">
        <v>285</v>
      </c>
      <c r="D89" s="555">
        <v>163646</v>
      </c>
      <c r="E89" s="425">
        <f>0+táj.1!E89</f>
        <v>0</v>
      </c>
      <c r="F89" s="425">
        <f>0+táj.1!F89</f>
        <v>0</v>
      </c>
      <c r="G89" s="425">
        <f>0+táj.1!G89</f>
        <v>0</v>
      </c>
      <c r="H89" s="425">
        <f>0+táj.1!H89</f>
        <v>0</v>
      </c>
      <c r="I89" s="425">
        <f>0+táj.1!I89</f>
        <v>0</v>
      </c>
      <c r="J89" s="425">
        <f>0+táj.1!J89</f>
        <v>0</v>
      </c>
      <c r="K89" s="425">
        <f>0+táj.1!K89</f>
        <v>0</v>
      </c>
      <c r="L89" s="425">
        <f>0+táj.1!L89</f>
        <v>0</v>
      </c>
      <c r="M89" s="425">
        <f>13+táj.1!M89</f>
        <v>13</v>
      </c>
      <c r="N89" s="425">
        <f>0+táj.1!N89</f>
        <v>0</v>
      </c>
      <c r="O89" s="437">
        <f t="shared" si="9"/>
        <v>13</v>
      </c>
    </row>
    <row r="90" spans="1:15" s="136" customFormat="1" ht="50.25" customHeight="1" x14ac:dyDescent="0.2">
      <c r="A90" s="146"/>
      <c r="B90" s="146"/>
      <c r="C90" s="438" t="s">
        <v>286</v>
      </c>
      <c r="D90" s="555">
        <v>163637</v>
      </c>
      <c r="E90" s="425">
        <f>0+táj.1!E90</f>
        <v>0</v>
      </c>
      <c r="F90" s="425">
        <f>145748+táj.1!F90</f>
        <v>145748</v>
      </c>
      <c r="G90" s="425">
        <f>0+táj.1!G90</f>
        <v>0</v>
      </c>
      <c r="H90" s="425">
        <f>110165+táj.1!H90</f>
        <v>110165</v>
      </c>
      <c r="I90" s="425">
        <f>0+táj.1!I90</f>
        <v>0</v>
      </c>
      <c r="J90" s="425">
        <f>0+táj.1!J90</f>
        <v>0</v>
      </c>
      <c r="K90" s="425">
        <f>0+táj.1!K90</f>
        <v>0</v>
      </c>
      <c r="L90" s="425">
        <f>0+táj.1!L90</f>
        <v>0</v>
      </c>
      <c r="M90" s="425">
        <f>177969+táj.1!M90</f>
        <v>177969</v>
      </c>
      <c r="N90" s="425">
        <f>0+táj.1!N90</f>
        <v>0</v>
      </c>
      <c r="O90" s="437">
        <f t="shared" si="9"/>
        <v>433882</v>
      </c>
    </row>
    <row r="91" spans="1:15" s="136" customFormat="1" ht="30" customHeight="1" x14ac:dyDescent="0.2">
      <c r="A91" s="146"/>
      <c r="B91" s="146"/>
      <c r="C91" s="446" t="s">
        <v>287</v>
      </c>
      <c r="D91" s="555">
        <v>163638</v>
      </c>
      <c r="E91" s="425">
        <f>0+táj.1!E91</f>
        <v>0</v>
      </c>
      <c r="F91" s="425">
        <f>0+táj.1!F91</f>
        <v>0</v>
      </c>
      <c r="G91" s="425">
        <f>0+táj.1!G91</f>
        <v>0</v>
      </c>
      <c r="H91" s="425">
        <f>0+táj.1!H91</f>
        <v>0</v>
      </c>
      <c r="I91" s="425">
        <f>0+táj.1!I91</f>
        <v>0</v>
      </c>
      <c r="J91" s="425">
        <f>0+táj.1!J91</f>
        <v>0</v>
      </c>
      <c r="K91" s="425">
        <f>0+táj.1!K91</f>
        <v>0</v>
      </c>
      <c r="L91" s="425">
        <f>0+táj.1!L91</f>
        <v>0</v>
      </c>
      <c r="M91" s="425">
        <f>4493+táj.1!M91</f>
        <v>4493</v>
      </c>
      <c r="N91" s="425">
        <f>0+táj.1!N91</f>
        <v>0</v>
      </c>
      <c r="O91" s="437">
        <f t="shared" si="9"/>
        <v>4493</v>
      </c>
    </row>
    <row r="92" spans="1:15" s="136" customFormat="1" ht="28.5" customHeight="1" x14ac:dyDescent="0.2">
      <c r="A92" s="146"/>
      <c r="B92" s="146"/>
      <c r="C92" s="446" t="s">
        <v>288</v>
      </c>
      <c r="D92" s="555">
        <v>163639</v>
      </c>
      <c r="E92" s="425">
        <f>0+táj.1!E92</f>
        <v>0</v>
      </c>
      <c r="F92" s="425">
        <f>0+táj.1!F92</f>
        <v>0</v>
      </c>
      <c r="G92" s="425">
        <f>0+táj.1!G92</f>
        <v>0</v>
      </c>
      <c r="H92" s="425">
        <f>0+táj.1!H92</f>
        <v>0</v>
      </c>
      <c r="I92" s="425">
        <f>0+táj.1!I92</f>
        <v>0</v>
      </c>
      <c r="J92" s="425">
        <f>0+táj.1!J92</f>
        <v>0</v>
      </c>
      <c r="K92" s="425">
        <f>0+táj.1!K92</f>
        <v>0</v>
      </c>
      <c r="L92" s="425">
        <f>34841+táj.1!L92</f>
        <v>34841</v>
      </c>
      <c r="M92" s="425">
        <f>52665+táj.1!M92</f>
        <v>52665</v>
      </c>
      <c r="N92" s="425">
        <f>0+táj.1!N92</f>
        <v>0</v>
      </c>
      <c r="O92" s="437">
        <f t="shared" si="9"/>
        <v>87506</v>
      </c>
    </row>
    <row r="93" spans="1:15" s="136" customFormat="1" ht="28.5" customHeight="1" x14ac:dyDescent="0.2">
      <c r="A93" s="146"/>
      <c r="B93" s="146"/>
      <c r="C93" s="446" t="s">
        <v>289</v>
      </c>
      <c r="D93" s="555">
        <v>163640</v>
      </c>
      <c r="E93" s="425">
        <f>0+táj.1!E93</f>
        <v>0</v>
      </c>
      <c r="F93" s="425">
        <f>0+táj.1!F93</f>
        <v>0</v>
      </c>
      <c r="G93" s="425">
        <f>0+táj.1!G93</f>
        <v>0</v>
      </c>
      <c r="H93" s="425">
        <f>0+táj.1!H93</f>
        <v>0</v>
      </c>
      <c r="I93" s="425">
        <f>0+táj.1!I93</f>
        <v>0</v>
      </c>
      <c r="J93" s="425">
        <f>0+táj.1!J93</f>
        <v>0</v>
      </c>
      <c r="K93" s="425">
        <f>0+táj.1!K93</f>
        <v>0</v>
      </c>
      <c r="L93" s="425">
        <f>0+táj.1!L93</f>
        <v>0</v>
      </c>
      <c r="M93" s="425">
        <f>1661+táj.1!M93</f>
        <v>1661</v>
      </c>
      <c r="N93" s="425">
        <f>0+táj.1!N93</f>
        <v>0</v>
      </c>
      <c r="O93" s="437">
        <f t="shared" si="9"/>
        <v>1661</v>
      </c>
    </row>
    <row r="94" spans="1:15" s="136" customFormat="1" ht="28.5" customHeight="1" x14ac:dyDescent="0.2">
      <c r="A94" s="658"/>
      <c r="B94" s="658"/>
      <c r="C94" s="576" t="s">
        <v>1098</v>
      </c>
      <c r="D94" s="663">
        <v>163648</v>
      </c>
      <c r="E94" s="425">
        <f>0+táj.1!E94</f>
        <v>0</v>
      </c>
      <c r="F94" s="425">
        <f>0+táj.1!F94</f>
        <v>0</v>
      </c>
      <c r="G94" s="425">
        <f>0+táj.1!G94</f>
        <v>0</v>
      </c>
      <c r="H94" s="425">
        <f>0+táj.1!H94</f>
        <v>0</v>
      </c>
      <c r="I94" s="425">
        <f>0+táj.1!I94</f>
        <v>0</v>
      </c>
      <c r="J94" s="425">
        <f>0+táj.1!J94</f>
        <v>0</v>
      </c>
      <c r="K94" s="425">
        <f>0+táj.1!K94</f>
        <v>0</v>
      </c>
      <c r="L94" s="425">
        <f>0+táj.1!L94</f>
        <v>0</v>
      </c>
      <c r="M94" s="425">
        <f>5000+táj.1!M94</f>
        <v>5000</v>
      </c>
      <c r="N94" s="425">
        <f>0+táj.1!N94</f>
        <v>0</v>
      </c>
      <c r="O94" s="437">
        <f t="shared" si="9"/>
        <v>5000</v>
      </c>
    </row>
    <row r="95" spans="1:15" s="136" customFormat="1" ht="50.25" customHeight="1" x14ac:dyDescent="0.2">
      <c r="A95" s="658"/>
      <c r="B95" s="658"/>
      <c r="C95" s="661" t="s">
        <v>1099</v>
      </c>
      <c r="D95" s="663">
        <v>163652</v>
      </c>
      <c r="E95" s="425">
        <f>26519+táj.1!E95</f>
        <v>26519</v>
      </c>
      <c r="F95" s="425">
        <f>242520+táj.1!F95</f>
        <v>242520</v>
      </c>
      <c r="G95" s="425">
        <f>0+táj.1!G95</f>
        <v>0</v>
      </c>
      <c r="H95" s="425">
        <f>0+táj.1!H95</f>
        <v>0</v>
      </c>
      <c r="I95" s="425">
        <f>0+táj.1!I95</f>
        <v>0</v>
      </c>
      <c r="J95" s="425">
        <f>0+táj.1!J95</f>
        <v>0</v>
      </c>
      <c r="K95" s="425">
        <f>0+táj.1!K95</f>
        <v>0</v>
      </c>
      <c r="L95" s="425">
        <f>0+táj.1!L95</f>
        <v>0</v>
      </c>
      <c r="M95" s="425">
        <f>0+táj.1!M95</f>
        <v>0</v>
      </c>
      <c r="N95" s="425">
        <f>0+táj.1!N95</f>
        <v>0</v>
      </c>
      <c r="O95" s="437">
        <f t="shared" si="9"/>
        <v>269039</v>
      </c>
    </row>
    <row r="96" spans="1:15" s="136" customFormat="1" ht="46.5" customHeight="1" x14ac:dyDescent="0.2">
      <c r="A96" s="658"/>
      <c r="B96" s="658"/>
      <c r="C96" s="662" t="s">
        <v>1100</v>
      </c>
      <c r="D96" s="663">
        <v>163653</v>
      </c>
      <c r="E96" s="425">
        <f>31579+táj.1!E96</f>
        <v>31579</v>
      </c>
      <c r="F96" s="425">
        <f>736710+táj.1!F96</f>
        <v>736710</v>
      </c>
      <c r="G96" s="425">
        <f>0+táj.1!G96</f>
        <v>0</v>
      </c>
      <c r="H96" s="425">
        <f>0+táj.1!H96</f>
        <v>0</v>
      </c>
      <c r="I96" s="425">
        <f>0+táj.1!I96</f>
        <v>0</v>
      </c>
      <c r="J96" s="425">
        <f>0+táj.1!J96</f>
        <v>0</v>
      </c>
      <c r="K96" s="425">
        <f>0+táj.1!K96</f>
        <v>0</v>
      </c>
      <c r="L96" s="425">
        <f>0+táj.1!L96</f>
        <v>0</v>
      </c>
      <c r="M96" s="425">
        <f>0+táj.1!M96</f>
        <v>0</v>
      </c>
      <c r="N96" s="425">
        <f>0+táj.1!N96</f>
        <v>0</v>
      </c>
      <c r="O96" s="437">
        <f t="shared" si="9"/>
        <v>768289</v>
      </c>
    </row>
    <row r="97" spans="1:15" s="136" customFormat="1" ht="46.5" customHeight="1" x14ac:dyDescent="0.2">
      <c r="A97" s="869"/>
      <c r="B97" s="869"/>
      <c r="C97" s="908" t="s">
        <v>1360</v>
      </c>
      <c r="D97" s="663">
        <v>163636</v>
      </c>
      <c r="E97" s="425">
        <f>0+táj.1!E97</f>
        <v>0</v>
      </c>
      <c r="F97" s="425">
        <f>0+táj.1!F97</f>
        <v>492</v>
      </c>
      <c r="G97" s="425">
        <f>0+táj.1!G97</f>
        <v>0</v>
      </c>
      <c r="H97" s="425">
        <f>0+táj.1!H97</f>
        <v>0</v>
      </c>
      <c r="I97" s="425">
        <f>0+táj.1!I97</f>
        <v>0</v>
      </c>
      <c r="J97" s="425">
        <f>0+táj.1!J97</f>
        <v>0</v>
      </c>
      <c r="K97" s="425">
        <f>0+táj.1!K97</f>
        <v>0</v>
      </c>
      <c r="L97" s="425">
        <f>0+táj.1!L97</f>
        <v>0</v>
      </c>
      <c r="M97" s="425">
        <f>0+táj.1!M97</f>
        <v>0</v>
      </c>
      <c r="N97" s="425">
        <f>0+táj.1!N97</f>
        <v>0</v>
      </c>
      <c r="O97" s="437">
        <f t="shared" si="9"/>
        <v>492</v>
      </c>
    </row>
    <row r="98" spans="1:15" s="136" customFormat="1" ht="38.25" x14ac:dyDescent="0.2">
      <c r="A98" s="146"/>
      <c r="B98" s="146"/>
      <c r="C98" s="660" t="s">
        <v>290</v>
      </c>
      <c r="D98" s="555">
        <v>163621</v>
      </c>
      <c r="E98" s="425">
        <f>241818+táj.1!E98</f>
        <v>241818</v>
      </c>
      <c r="F98" s="425">
        <f>307860+táj.1!F98</f>
        <v>307860</v>
      </c>
      <c r="G98" s="425">
        <f>0+táj.1!G98</f>
        <v>0</v>
      </c>
      <c r="H98" s="425">
        <f>68168+táj.1!H98</f>
        <v>70519</v>
      </c>
      <c r="I98" s="425">
        <f>0+táj.1!I98</f>
        <v>0</v>
      </c>
      <c r="J98" s="425">
        <f>0+táj.1!J98</f>
        <v>0</v>
      </c>
      <c r="K98" s="425">
        <f>0+táj.1!K98</f>
        <v>0</v>
      </c>
      <c r="L98" s="425">
        <f>0+táj.1!L98</f>
        <v>0</v>
      </c>
      <c r="M98" s="425">
        <f>1240197+táj.1!M98</f>
        <v>1240197</v>
      </c>
      <c r="N98" s="425">
        <f>8289000+táj.1!N98</f>
        <v>8289000</v>
      </c>
      <c r="O98" s="437">
        <f t="shared" si="9"/>
        <v>10149394</v>
      </c>
    </row>
    <row r="99" spans="1:15" s="136" customFormat="1" ht="28.5" customHeight="1" x14ac:dyDescent="0.2">
      <c r="A99" s="146"/>
      <c r="B99" s="146"/>
      <c r="C99" s="448" t="s">
        <v>291</v>
      </c>
      <c r="D99" s="555">
        <v>162687</v>
      </c>
      <c r="E99" s="425">
        <f>0+táj.1!E99</f>
        <v>0</v>
      </c>
      <c r="F99" s="425">
        <f>0+táj.1!F99</f>
        <v>0</v>
      </c>
      <c r="G99" s="425">
        <f>0+táj.1!G99</f>
        <v>0</v>
      </c>
      <c r="H99" s="425">
        <f>1421549+táj.1!H99</f>
        <v>1426354</v>
      </c>
      <c r="I99" s="425">
        <f>0+táj.1!I99</f>
        <v>0</v>
      </c>
      <c r="J99" s="425">
        <f>0+táj.1!J99</f>
        <v>0</v>
      </c>
      <c r="K99" s="425">
        <f>0+táj.1!K99</f>
        <v>0</v>
      </c>
      <c r="L99" s="425">
        <f>0+táj.1!L99</f>
        <v>0</v>
      </c>
      <c r="M99" s="425">
        <f>38346+táj.1!M99</f>
        <v>38346</v>
      </c>
      <c r="N99" s="425">
        <f>5130850+táj.1!N99</f>
        <v>5130850</v>
      </c>
      <c r="O99" s="437">
        <f t="shared" si="9"/>
        <v>6595550</v>
      </c>
    </row>
    <row r="100" spans="1:15" s="136" customFormat="1" ht="29.25" customHeight="1" x14ac:dyDescent="0.2">
      <c r="A100" s="146"/>
      <c r="B100" s="146"/>
      <c r="C100" s="438" t="s">
        <v>292</v>
      </c>
      <c r="D100" s="555">
        <v>163702</v>
      </c>
      <c r="E100" s="425">
        <f>0+táj.1!E100</f>
        <v>0</v>
      </c>
      <c r="F100" s="425">
        <f>1500000+táj.1!F100</f>
        <v>1500000</v>
      </c>
      <c r="G100" s="425">
        <f>0+táj.1!G100</f>
        <v>0</v>
      </c>
      <c r="H100" s="425">
        <f>566676+táj.1!H100</f>
        <v>567795</v>
      </c>
      <c r="I100" s="425">
        <f>0+táj.1!I100</f>
        <v>0</v>
      </c>
      <c r="J100" s="425">
        <f>0+táj.1!J100</f>
        <v>0</v>
      </c>
      <c r="K100" s="425">
        <f>0+táj.1!K100</f>
        <v>0</v>
      </c>
      <c r="L100" s="425">
        <f>0+táj.1!L100</f>
        <v>0</v>
      </c>
      <c r="M100" s="425">
        <f>112812+táj.1!M100</f>
        <v>112812</v>
      </c>
      <c r="N100" s="425">
        <f>600000+táj.1!N100</f>
        <v>600000</v>
      </c>
      <c r="O100" s="437">
        <f t="shared" si="9"/>
        <v>2780607</v>
      </c>
    </row>
    <row r="101" spans="1:15" s="136" customFormat="1" ht="29.25" customHeight="1" x14ac:dyDescent="0.2">
      <c r="A101" s="146"/>
      <c r="B101" s="146"/>
      <c r="C101" s="438" t="s">
        <v>293</v>
      </c>
      <c r="D101" s="555">
        <v>163641</v>
      </c>
      <c r="E101" s="425">
        <f>0+táj.1!E101</f>
        <v>0</v>
      </c>
      <c r="F101" s="425">
        <f>0+táj.1!F101</f>
        <v>0</v>
      </c>
      <c r="G101" s="425">
        <f>0+táj.1!G101</f>
        <v>0</v>
      </c>
      <c r="H101" s="425">
        <f>0+táj.1!H101</f>
        <v>0</v>
      </c>
      <c r="I101" s="425">
        <f>0+táj.1!I101</f>
        <v>0</v>
      </c>
      <c r="J101" s="425">
        <f>0+táj.1!J101</f>
        <v>0</v>
      </c>
      <c r="K101" s="425">
        <f>0+táj.1!K101</f>
        <v>0</v>
      </c>
      <c r="L101" s="425">
        <f>0+táj.1!L101</f>
        <v>0</v>
      </c>
      <c r="M101" s="425">
        <f>165700+táj.1!M101</f>
        <v>165700</v>
      </c>
      <c r="N101" s="425">
        <f>0+táj.1!N101</f>
        <v>0</v>
      </c>
      <c r="O101" s="437">
        <f t="shared" si="9"/>
        <v>165700</v>
      </c>
    </row>
    <row r="102" spans="1:15" s="136" customFormat="1" ht="29.25" customHeight="1" x14ac:dyDescent="0.2">
      <c r="A102" s="146"/>
      <c r="B102" s="146"/>
      <c r="C102" s="449" t="s">
        <v>294</v>
      </c>
      <c r="D102" s="555">
        <v>163644</v>
      </c>
      <c r="E102" s="425">
        <f>0+táj.1!E102</f>
        <v>0</v>
      </c>
      <c r="F102" s="425">
        <f>0+táj.1!F102</f>
        <v>0</v>
      </c>
      <c r="G102" s="425">
        <f>0+táj.1!G102</f>
        <v>0</v>
      </c>
      <c r="H102" s="425">
        <f>0+táj.1!H102</f>
        <v>0</v>
      </c>
      <c r="I102" s="425">
        <f>0+táj.1!I102</f>
        <v>0</v>
      </c>
      <c r="J102" s="425">
        <f>0+táj.1!J102</f>
        <v>0</v>
      </c>
      <c r="K102" s="425">
        <f>0+táj.1!K102</f>
        <v>0</v>
      </c>
      <c r="L102" s="425">
        <f>0+táj.1!L102</f>
        <v>0</v>
      </c>
      <c r="M102" s="425">
        <f>665184+táj.1!M102</f>
        <v>665184</v>
      </c>
      <c r="N102" s="425">
        <f>0+táj.1!N102</f>
        <v>0</v>
      </c>
      <c r="O102" s="437">
        <f t="shared" si="9"/>
        <v>665184</v>
      </c>
    </row>
    <row r="103" spans="1:15" s="136" customFormat="1" ht="40.5" customHeight="1" x14ac:dyDescent="0.2">
      <c r="A103" s="658"/>
      <c r="B103" s="658"/>
      <c r="C103" s="664" t="s">
        <v>1101</v>
      </c>
      <c r="D103" s="665">
        <v>163650</v>
      </c>
      <c r="E103" s="425">
        <f>618775+táj.1!E103</f>
        <v>618775</v>
      </c>
      <c r="F103" s="425">
        <f>5181225+táj.1!F103</f>
        <v>5181225</v>
      </c>
      <c r="G103" s="425">
        <f>0+táj.1!G103</f>
        <v>0</v>
      </c>
      <c r="H103" s="425">
        <f>14031+táj.1!H103</f>
        <v>14031</v>
      </c>
      <c r="I103" s="425">
        <f>0+táj.1!I103</f>
        <v>0</v>
      </c>
      <c r="J103" s="425">
        <f>0+táj.1!J103</f>
        <v>0</v>
      </c>
      <c r="K103" s="425">
        <f>0+táj.1!K103</f>
        <v>0</v>
      </c>
      <c r="L103" s="425">
        <f>0+táj.1!L103</f>
        <v>0</v>
      </c>
      <c r="M103" s="425">
        <f>1125000+táj.1!M103</f>
        <v>1125000</v>
      </c>
      <c r="N103" s="425">
        <f>0+táj.1!N103</f>
        <v>0</v>
      </c>
      <c r="O103" s="437">
        <f t="shared" si="9"/>
        <v>6939031</v>
      </c>
    </row>
    <row r="104" spans="1:15" s="136" customFormat="1" ht="29.25" customHeight="1" x14ac:dyDescent="0.2">
      <c r="A104" s="146"/>
      <c r="B104" s="146"/>
      <c r="C104" s="438" t="s">
        <v>295</v>
      </c>
      <c r="D104" s="555">
        <v>163643</v>
      </c>
      <c r="E104" s="425">
        <f>0+táj.1!E104</f>
        <v>0</v>
      </c>
      <c r="F104" s="425">
        <f>0+táj.1!F104</f>
        <v>0</v>
      </c>
      <c r="G104" s="425">
        <f>0+táj.1!G104</f>
        <v>0</v>
      </c>
      <c r="H104" s="425">
        <f>0+táj.1!H104</f>
        <v>0</v>
      </c>
      <c r="I104" s="425">
        <f>0+táj.1!I104</f>
        <v>0</v>
      </c>
      <c r="J104" s="425">
        <f>0+táj.1!J104</f>
        <v>0</v>
      </c>
      <c r="K104" s="425">
        <f>0+táj.1!K104</f>
        <v>0</v>
      </c>
      <c r="L104" s="425">
        <f>0+táj.1!L104</f>
        <v>0</v>
      </c>
      <c r="M104" s="425">
        <f>4471+táj.1!M104</f>
        <v>4471</v>
      </c>
      <c r="N104" s="425">
        <f>0+táj.1!N104</f>
        <v>0</v>
      </c>
      <c r="O104" s="437">
        <f t="shared" si="9"/>
        <v>4471</v>
      </c>
    </row>
    <row r="105" spans="1:15" s="136" customFormat="1" ht="48" customHeight="1" x14ac:dyDescent="0.2">
      <c r="A105" s="146"/>
      <c r="B105" s="146"/>
      <c r="C105" s="438" t="s">
        <v>296</v>
      </c>
      <c r="D105" s="555">
        <v>163645</v>
      </c>
      <c r="E105" s="425">
        <f>0+táj.1!E105</f>
        <v>0</v>
      </c>
      <c r="F105" s="425">
        <f>0+táj.1!F105</f>
        <v>0</v>
      </c>
      <c r="G105" s="425">
        <f>0+táj.1!G105</f>
        <v>0</v>
      </c>
      <c r="H105" s="425">
        <f>0+táj.1!H105</f>
        <v>0</v>
      </c>
      <c r="I105" s="425">
        <f>0+táj.1!I105</f>
        <v>0</v>
      </c>
      <c r="J105" s="425">
        <f>0+táj.1!J105</f>
        <v>0</v>
      </c>
      <c r="K105" s="425">
        <f>0+táj.1!K105</f>
        <v>0</v>
      </c>
      <c r="L105" s="425">
        <f>0+táj.1!L105</f>
        <v>0</v>
      </c>
      <c r="M105" s="425">
        <f>17047+táj.1!M105</f>
        <v>17047</v>
      </c>
      <c r="N105" s="425">
        <f>0+táj.1!N105</f>
        <v>0</v>
      </c>
      <c r="O105" s="437">
        <f t="shared" si="9"/>
        <v>17047</v>
      </c>
    </row>
    <row r="106" spans="1:15" s="136" customFormat="1" ht="36.75" customHeight="1" x14ac:dyDescent="0.2">
      <c r="A106" s="146"/>
      <c r="B106" s="146"/>
      <c r="C106" s="450" t="s">
        <v>297</v>
      </c>
      <c r="D106" s="555">
        <v>182906</v>
      </c>
      <c r="E106" s="425">
        <f>0+táj.1!E106</f>
        <v>0</v>
      </c>
      <c r="F106" s="425">
        <f>0+táj.1!F106</f>
        <v>0</v>
      </c>
      <c r="G106" s="425">
        <f>0+táj.1!G106</f>
        <v>0</v>
      </c>
      <c r="H106" s="425">
        <f>0+táj.1!H106</f>
        <v>0</v>
      </c>
      <c r="I106" s="425">
        <f>0+táj.1!I106</f>
        <v>0</v>
      </c>
      <c r="J106" s="425">
        <f>0+táj.1!J106</f>
        <v>0</v>
      </c>
      <c r="K106" s="425">
        <f>0+táj.1!K106</f>
        <v>0</v>
      </c>
      <c r="L106" s="425">
        <f>0+táj.1!L106</f>
        <v>0</v>
      </c>
      <c r="M106" s="425">
        <f>837+táj.1!M106</f>
        <v>837</v>
      </c>
      <c r="N106" s="425">
        <f>0+táj.1!N106</f>
        <v>0</v>
      </c>
      <c r="O106" s="437">
        <f t="shared" si="9"/>
        <v>837</v>
      </c>
    </row>
    <row r="107" spans="1:15" s="136" customFormat="1" ht="25.5" customHeight="1" x14ac:dyDescent="0.2">
      <c r="A107" s="146"/>
      <c r="B107" s="146"/>
      <c r="C107" s="451" t="s">
        <v>298</v>
      </c>
      <c r="D107" s="555">
        <v>162630</v>
      </c>
      <c r="E107" s="425">
        <f>0+táj.1!E107</f>
        <v>0</v>
      </c>
      <c r="F107" s="425">
        <f>0+táj.1!F107</f>
        <v>0</v>
      </c>
      <c r="G107" s="425">
        <f>0+táj.1!G107</f>
        <v>0</v>
      </c>
      <c r="H107" s="425">
        <f>0+táj.1!H107</f>
        <v>0</v>
      </c>
      <c r="I107" s="425">
        <f>0+táj.1!I107</f>
        <v>0</v>
      </c>
      <c r="J107" s="425">
        <f>0+táj.1!J107</f>
        <v>0</v>
      </c>
      <c r="K107" s="425">
        <f>0+táj.1!K107</f>
        <v>0</v>
      </c>
      <c r="L107" s="425">
        <f>0+táj.1!L107</f>
        <v>0</v>
      </c>
      <c r="M107" s="425">
        <f>79115+táj.1!M107</f>
        <v>79115</v>
      </c>
      <c r="N107" s="425">
        <f>0+táj.1!N107</f>
        <v>0</v>
      </c>
      <c r="O107" s="437">
        <f t="shared" si="9"/>
        <v>79115</v>
      </c>
    </row>
    <row r="108" spans="1:15" s="136" customFormat="1" ht="21" customHeight="1" x14ac:dyDescent="0.2">
      <c r="A108" s="658"/>
      <c r="B108" s="658"/>
      <c r="C108" s="576" t="s">
        <v>1102</v>
      </c>
      <c r="D108" s="665">
        <v>163651</v>
      </c>
      <c r="E108" s="425">
        <f>0+táj.1!E108</f>
        <v>0</v>
      </c>
      <c r="F108" s="425">
        <f>0+táj.1!F108</f>
        <v>0</v>
      </c>
      <c r="G108" s="425">
        <f>0+táj.1!G108</f>
        <v>0</v>
      </c>
      <c r="H108" s="425">
        <f>0+táj.1!H108</f>
        <v>0</v>
      </c>
      <c r="I108" s="425">
        <f>0+táj.1!I108</f>
        <v>0</v>
      </c>
      <c r="J108" s="425">
        <f>0+táj.1!J108</f>
        <v>0</v>
      </c>
      <c r="K108" s="425">
        <f>0+táj.1!K108</f>
        <v>0</v>
      </c>
      <c r="L108" s="425">
        <f>0+táj.1!L108</f>
        <v>0</v>
      </c>
      <c r="M108" s="425">
        <f>56000+táj.1!M108</f>
        <v>56000</v>
      </c>
      <c r="N108" s="425">
        <f>0+táj.1!N108</f>
        <v>0</v>
      </c>
      <c r="O108" s="437">
        <f t="shared" si="9"/>
        <v>56000</v>
      </c>
    </row>
    <row r="109" spans="1:15" s="136" customFormat="1" ht="61.5" customHeight="1" x14ac:dyDescent="0.2">
      <c r="A109" s="658"/>
      <c r="B109" s="658"/>
      <c r="C109" s="576" t="s">
        <v>1103</v>
      </c>
      <c r="D109" s="665">
        <v>163649</v>
      </c>
      <c r="E109" s="425">
        <f>0+táj.1!E109</f>
        <v>0</v>
      </c>
      <c r="F109" s="425">
        <f>0+táj.1!F109</f>
        <v>0</v>
      </c>
      <c r="G109" s="425">
        <f>0+táj.1!G109</f>
        <v>0</v>
      </c>
      <c r="H109" s="425">
        <f>0+táj.1!H109</f>
        <v>0</v>
      </c>
      <c r="I109" s="425">
        <f>0+táj.1!I109</f>
        <v>0</v>
      </c>
      <c r="J109" s="425">
        <f>0+táj.1!J109</f>
        <v>0</v>
      </c>
      <c r="K109" s="425">
        <f>131863+táj.1!K109</f>
        <v>131863</v>
      </c>
      <c r="L109" s="425">
        <f>0+táj.1!L109</f>
        <v>0</v>
      </c>
      <c r="M109" s="425">
        <f>0+táj.1!M109</f>
        <v>0</v>
      </c>
      <c r="N109" s="425">
        <f>0+táj.1!N109</f>
        <v>0</v>
      </c>
      <c r="O109" s="437">
        <f t="shared" si="9"/>
        <v>131863</v>
      </c>
    </row>
    <row r="110" spans="1:15" s="136" customFormat="1" ht="18" customHeight="1" x14ac:dyDescent="0.2">
      <c r="A110" s="869"/>
      <c r="B110" s="869"/>
      <c r="C110" s="870" t="s">
        <v>1332</v>
      </c>
      <c r="D110" s="871">
        <v>162603</v>
      </c>
      <c r="E110" s="425">
        <f>0+táj.1!E110</f>
        <v>0</v>
      </c>
      <c r="F110" s="425">
        <f>0+táj.1!F110</f>
        <v>0</v>
      </c>
      <c r="G110" s="425">
        <f>0+táj.1!G110</f>
        <v>0</v>
      </c>
      <c r="H110" s="425">
        <f>0+táj.1!H110</f>
        <v>0</v>
      </c>
      <c r="I110" s="425">
        <f>8794+táj.1!I110</f>
        <v>8794</v>
      </c>
      <c r="J110" s="425">
        <f>0+táj.1!J110</f>
        <v>0</v>
      </c>
      <c r="K110" s="425">
        <f>0+táj.1!K110</f>
        <v>0</v>
      </c>
      <c r="L110" s="425">
        <f>0+táj.1!L110</f>
        <v>0</v>
      </c>
      <c r="M110" s="425">
        <f>0+táj.1!M110</f>
        <v>0</v>
      </c>
      <c r="N110" s="425">
        <f>0+táj.1!N110</f>
        <v>0</v>
      </c>
      <c r="O110" s="437">
        <f t="shared" si="9"/>
        <v>8794</v>
      </c>
    </row>
    <row r="111" spans="1:15" s="136" customFormat="1" ht="37.5" customHeight="1" x14ac:dyDescent="0.2">
      <c r="A111" s="869"/>
      <c r="B111" s="869"/>
      <c r="C111" s="909" t="s">
        <v>1361</v>
      </c>
      <c r="D111" s="938">
        <v>163654</v>
      </c>
      <c r="E111" s="425">
        <f>0+táj.1!E111</f>
        <v>433000</v>
      </c>
      <c r="F111" s="425">
        <f>0+táj.1!F111</f>
        <v>7917000</v>
      </c>
      <c r="G111" s="425">
        <f>0+táj.1!G111</f>
        <v>0</v>
      </c>
      <c r="H111" s="425">
        <f>0+táj.1!H111</f>
        <v>342165</v>
      </c>
      <c r="I111" s="425">
        <f>0+táj.1!I111</f>
        <v>0</v>
      </c>
      <c r="J111" s="425">
        <f>0+táj.1!J111</f>
        <v>0</v>
      </c>
      <c r="K111" s="425">
        <f>0+táj.1!K111</f>
        <v>0</v>
      </c>
      <c r="L111" s="425">
        <f>0+táj.1!L111</f>
        <v>0</v>
      </c>
      <c r="M111" s="425">
        <f>0+táj.1!M111</f>
        <v>0</v>
      </c>
      <c r="N111" s="425">
        <f>0+táj.1!N111</f>
        <v>0</v>
      </c>
      <c r="O111" s="437">
        <f t="shared" si="9"/>
        <v>8692165</v>
      </c>
    </row>
    <row r="112" spans="1:15" s="136" customFormat="1" ht="12.95" customHeight="1" x14ac:dyDescent="0.2">
      <c r="A112" s="151"/>
      <c r="B112" s="151"/>
      <c r="C112" s="452" t="s">
        <v>299</v>
      </c>
      <c r="D112" s="453"/>
      <c r="E112" s="454">
        <f>SUM(E59:E111)</f>
        <v>1529464</v>
      </c>
      <c r="F112" s="454">
        <f t="shared" ref="F112:O112" si="10">SUM(F59:F111)</f>
        <v>17937015</v>
      </c>
      <c r="G112" s="454">
        <f t="shared" si="10"/>
        <v>0</v>
      </c>
      <c r="H112" s="454">
        <f t="shared" si="10"/>
        <v>3742721</v>
      </c>
      <c r="I112" s="454">
        <f t="shared" si="10"/>
        <v>8794</v>
      </c>
      <c r="J112" s="454">
        <f t="shared" si="10"/>
        <v>0</v>
      </c>
      <c r="K112" s="454">
        <f t="shared" si="10"/>
        <v>131863</v>
      </c>
      <c r="L112" s="454">
        <f t="shared" si="10"/>
        <v>34841</v>
      </c>
      <c r="M112" s="454">
        <f t="shared" si="10"/>
        <v>7389022</v>
      </c>
      <c r="N112" s="454">
        <f t="shared" si="10"/>
        <v>14019850</v>
      </c>
      <c r="O112" s="454">
        <f t="shared" si="10"/>
        <v>44793570</v>
      </c>
    </row>
    <row r="113" spans="1:15" s="136" customFormat="1" ht="12.95" customHeight="1" x14ac:dyDescent="0.2">
      <c r="A113" s="146">
        <v>1</v>
      </c>
      <c r="B113" s="146">
        <v>17</v>
      </c>
      <c r="C113" s="455" t="s">
        <v>141</v>
      </c>
      <c r="D113" s="456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</row>
    <row r="114" spans="1:15" s="136" customFormat="1" ht="24" customHeight="1" x14ac:dyDescent="0.2">
      <c r="A114" s="146"/>
      <c r="B114" s="146"/>
      <c r="C114" s="450" t="s">
        <v>261</v>
      </c>
      <c r="D114" s="457"/>
      <c r="E114" s="458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</row>
    <row r="115" spans="1:15" s="136" customFormat="1" ht="14.1" customHeight="1" x14ac:dyDescent="0.2">
      <c r="A115" s="146"/>
      <c r="B115" s="146"/>
      <c r="C115" s="459" t="s">
        <v>300</v>
      </c>
      <c r="D115" s="460">
        <v>171907</v>
      </c>
      <c r="E115" s="437">
        <f>0+táj.1!E115</f>
        <v>0</v>
      </c>
      <c r="F115" s="437">
        <f>0+táj.1!F115</f>
        <v>0</v>
      </c>
      <c r="G115" s="437">
        <f>0+táj.1!G115</f>
        <v>0</v>
      </c>
      <c r="H115" s="437">
        <f>34064+táj.1!H115</f>
        <v>34064</v>
      </c>
      <c r="I115" s="437">
        <f>179937+táj.1!I115</f>
        <v>179937</v>
      </c>
      <c r="J115" s="437">
        <f>0+táj.1!J115</f>
        <v>0</v>
      </c>
      <c r="K115" s="437">
        <f>0+táj.1!K115</f>
        <v>0</v>
      </c>
      <c r="L115" s="437">
        <f>0+táj.1!L115</f>
        <v>0</v>
      </c>
      <c r="M115" s="437">
        <f>0+táj.1!M115</f>
        <v>0</v>
      </c>
      <c r="N115" s="437">
        <f>0+táj.1!N115</f>
        <v>0</v>
      </c>
      <c r="O115" s="437">
        <f>SUM(E115:N115)</f>
        <v>214001</v>
      </c>
    </row>
    <row r="116" spans="1:15" s="136" customFormat="1" ht="25.5" customHeight="1" x14ac:dyDescent="0.2">
      <c r="A116" s="658"/>
      <c r="B116" s="658"/>
      <c r="C116" s="666" t="s">
        <v>1104</v>
      </c>
      <c r="D116" s="667">
        <v>171972</v>
      </c>
      <c r="E116" s="437">
        <f>0+táj.1!E116</f>
        <v>0</v>
      </c>
      <c r="F116" s="437">
        <f>0+táj.1!F116</f>
        <v>0</v>
      </c>
      <c r="G116" s="437">
        <f>0+táj.1!G116</f>
        <v>0</v>
      </c>
      <c r="H116" s="437">
        <f>8641+táj.1!H116</f>
        <v>8641</v>
      </c>
      <c r="I116" s="437">
        <f>32004+táj.1!I116</f>
        <v>32004</v>
      </c>
      <c r="J116" s="437">
        <f>0+táj.1!J116</f>
        <v>0</v>
      </c>
      <c r="K116" s="437">
        <f>0+táj.1!K116</f>
        <v>0</v>
      </c>
      <c r="L116" s="437">
        <f>0+táj.1!L116</f>
        <v>0</v>
      </c>
      <c r="M116" s="437">
        <f>0+táj.1!M116</f>
        <v>0</v>
      </c>
      <c r="N116" s="437">
        <f>0+táj.1!N116</f>
        <v>0</v>
      </c>
      <c r="O116" s="437">
        <f>SUM(E116:N116)</f>
        <v>40645</v>
      </c>
    </row>
    <row r="117" spans="1:15" s="136" customFormat="1" ht="15" customHeight="1" x14ac:dyDescent="0.2">
      <c r="A117" s="869"/>
      <c r="B117" s="869"/>
      <c r="C117" s="911" t="s">
        <v>1362</v>
      </c>
      <c r="D117" s="912">
        <v>171911</v>
      </c>
      <c r="E117" s="437">
        <f>0+táj.1!E117</f>
        <v>0</v>
      </c>
      <c r="F117" s="437">
        <f>0+táj.1!F117</f>
        <v>0</v>
      </c>
      <c r="G117" s="437">
        <f>0+táj.1!G117</f>
        <v>0</v>
      </c>
      <c r="H117" s="437">
        <f>0+táj.1!H117</f>
        <v>18735</v>
      </c>
      <c r="I117" s="437">
        <f>0+táj.1!I117</f>
        <v>83288</v>
      </c>
      <c r="J117" s="437">
        <f>0+táj.1!J117</f>
        <v>0</v>
      </c>
      <c r="K117" s="437">
        <f>0+táj.1!K117</f>
        <v>0</v>
      </c>
      <c r="L117" s="437">
        <f>0+táj.1!L117</f>
        <v>0</v>
      </c>
      <c r="M117" s="437">
        <f>0+táj.1!M117</f>
        <v>0</v>
      </c>
      <c r="N117" s="437">
        <f>0+táj.1!N117</f>
        <v>0</v>
      </c>
      <c r="O117" s="437">
        <f>SUM(E117:N117)</f>
        <v>102023</v>
      </c>
    </row>
    <row r="118" spans="1:15" s="136" customFormat="1" ht="25.5" customHeight="1" x14ac:dyDescent="0.2">
      <c r="A118" s="146"/>
      <c r="B118" s="146"/>
      <c r="C118" s="461" t="s">
        <v>301</v>
      </c>
      <c r="D118" s="462"/>
      <c r="E118" s="437"/>
      <c r="F118" s="437"/>
      <c r="G118" s="437"/>
      <c r="H118" s="437"/>
      <c r="I118" s="437"/>
      <c r="J118" s="437"/>
      <c r="K118" s="437"/>
      <c r="L118" s="437"/>
      <c r="M118" s="437"/>
      <c r="N118" s="437"/>
      <c r="O118" s="437"/>
    </row>
    <row r="119" spans="1:15" s="136" customFormat="1" ht="14.1" customHeight="1" x14ac:dyDescent="0.2">
      <c r="A119" s="146"/>
      <c r="B119" s="146"/>
      <c r="C119" s="463" t="s">
        <v>302</v>
      </c>
      <c r="D119" s="464">
        <v>171980</v>
      </c>
      <c r="E119" s="437">
        <f>0+táj.1!E119</f>
        <v>0</v>
      </c>
      <c r="F119" s="437">
        <f>0+táj.1!F119</f>
        <v>0</v>
      </c>
      <c r="G119" s="437">
        <f>0+táj.1!G119</f>
        <v>0</v>
      </c>
      <c r="H119" s="437">
        <f>44450+táj.1!H119</f>
        <v>44450</v>
      </c>
      <c r="I119" s="437">
        <f>0+táj.1!I119</f>
        <v>0</v>
      </c>
      <c r="J119" s="437">
        <f>0+táj.1!J119</f>
        <v>0</v>
      </c>
      <c r="K119" s="437">
        <f>0+táj.1!K119</f>
        <v>0</v>
      </c>
      <c r="L119" s="437">
        <f>0+táj.1!L119</f>
        <v>0</v>
      </c>
      <c r="M119" s="437">
        <f>0+táj.1!M119</f>
        <v>0</v>
      </c>
      <c r="N119" s="437">
        <f>0+táj.1!N119</f>
        <v>0</v>
      </c>
      <c r="O119" s="437">
        <f>SUM(E119:N119)</f>
        <v>44450</v>
      </c>
    </row>
    <row r="120" spans="1:15" s="136" customFormat="1" ht="26.25" customHeight="1" x14ac:dyDescent="0.2">
      <c r="A120" s="155"/>
      <c r="B120" s="155"/>
      <c r="C120" s="450" t="s">
        <v>261</v>
      </c>
      <c r="D120" s="457"/>
      <c r="E120" s="437"/>
      <c r="F120" s="437"/>
      <c r="G120" s="437"/>
      <c r="H120" s="437"/>
      <c r="I120" s="437"/>
      <c r="J120" s="437"/>
      <c r="K120" s="437"/>
      <c r="L120" s="437"/>
      <c r="M120" s="437"/>
      <c r="N120" s="437"/>
      <c r="O120" s="437"/>
    </row>
    <row r="121" spans="1:15" s="136" customFormat="1" ht="29.25" customHeight="1" x14ac:dyDescent="0.2">
      <c r="A121" s="146"/>
      <c r="B121" s="146"/>
      <c r="C121" s="465" t="s">
        <v>303</v>
      </c>
      <c r="D121" s="460">
        <v>171905</v>
      </c>
      <c r="E121" s="437">
        <f>0+táj.1!E121</f>
        <v>0</v>
      </c>
      <c r="F121" s="437">
        <f>0+táj.1!F121</f>
        <v>0</v>
      </c>
      <c r="G121" s="437">
        <f>0+táj.1!G121</f>
        <v>0</v>
      </c>
      <c r="H121" s="437">
        <f>71755+táj.1!H121</f>
        <v>71755</v>
      </c>
      <c r="I121" s="437">
        <f>0+táj.1!I121</f>
        <v>0</v>
      </c>
      <c r="J121" s="437">
        <f>0+táj.1!J121</f>
        <v>0</v>
      </c>
      <c r="K121" s="437">
        <f>0+táj.1!K121</f>
        <v>0</v>
      </c>
      <c r="L121" s="437">
        <f>0+táj.1!L121</f>
        <v>0</v>
      </c>
      <c r="M121" s="437">
        <f>0+táj.1!M121</f>
        <v>0</v>
      </c>
      <c r="N121" s="437">
        <f>0+táj.1!N121</f>
        <v>0</v>
      </c>
      <c r="O121" s="437">
        <f t="shared" ref="O121:O130" si="11">SUM(E121:N121)</f>
        <v>71755</v>
      </c>
    </row>
    <row r="122" spans="1:15" s="136" customFormat="1" ht="14.1" customHeight="1" x14ac:dyDescent="0.2">
      <c r="A122" s="137"/>
      <c r="B122" s="137"/>
      <c r="C122" s="466" t="s">
        <v>304</v>
      </c>
      <c r="D122" s="460">
        <v>171909</v>
      </c>
      <c r="E122" s="437">
        <f>0+táj.1!E122</f>
        <v>0</v>
      </c>
      <c r="F122" s="437">
        <f>0+táj.1!F122</f>
        <v>0</v>
      </c>
      <c r="G122" s="437">
        <f>0+táj.1!G122</f>
        <v>0</v>
      </c>
      <c r="H122" s="437">
        <f>3429+táj.1!H122</f>
        <v>3429</v>
      </c>
      <c r="I122" s="437">
        <f>0+táj.1!I122</f>
        <v>0</v>
      </c>
      <c r="J122" s="437">
        <f>0+táj.1!J122</f>
        <v>0</v>
      </c>
      <c r="K122" s="437">
        <f>0+táj.1!K122</f>
        <v>0</v>
      </c>
      <c r="L122" s="437">
        <f>0+táj.1!L122</f>
        <v>0</v>
      </c>
      <c r="M122" s="437">
        <f>0+táj.1!M122</f>
        <v>0</v>
      </c>
      <c r="N122" s="437">
        <f>0+táj.1!N122</f>
        <v>0</v>
      </c>
      <c r="O122" s="437">
        <f t="shared" si="11"/>
        <v>3429</v>
      </c>
    </row>
    <row r="123" spans="1:15" s="136" customFormat="1" ht="14.1" customHeight="1" x14ac:dyDescent="0.2">
      <c r="A123" s="137"/>
      <c r="B123" s="137"/>
      <c r="C123" s="466" t="s">
        <v>305</v>
      </c>
      <c r="D123" s="460">
        <v>171904</v>
      </c>
      <c r="E123" s="437">
        <f>0+táj.1!E123</f>
        <v>0</v>
      </c>
      <c r="F123" s="437">
        <f>0+táj.1!F123</f>
        <v>0</v>
      </c>
      <c r="G123" s="437">
        <f>0+táj.1!G123</f>
        <v>0</v>
      </c>
      <c r="H123" s="437">
        <f>2000+táj.1!H123</f>
        <v>2000</v>
      </c>
      <c r="I123" s="437">
        <f>0+táj.1!I123</f>
        <v>0</v>
      </c>
      <c r="J123" s="437">
        <f>0+táj.1!J123</f>
        <v>0</v>
      </c>
      <c r="K123" s="437">
        <f>0+táj.1!K123</f>
        <v>0</v>
      </c>
      <c r="L123" s="437">
        <f>0+táj.1!L123</f>
        <v>0</v>
      </c>
      <c r="M123" s="437">
        <f>0+táj.1!M123</f>
        <v>0</v>
      </c>
      <c r="N123" s="437">
        <f>0+táj.1!N123</f>
        <v>0</v>
      </c>
      <c r="O123" s="437">
        <f t="shared" si="11"/>
        <v>2000</v>
      </c>
    </row>
    <row r="124" spans="1:15" s="136" customFormat="1" ht="14.1" customHeight="1" x14ac:dyDescent="0.2">
      <c r="A124" s="137"/>
      <c r="B124" s="137"/>
      <c r="C124" s="466" t="s">
        <v>306</v>
      </c>
      <c r="D124" s="460">
        <v>172909</v>
      </c>
      <c r="E124" s="437">
        <f>0+táj.1!E124</f>
        <v>0</v>
      </c>
      <c r="F124" s="437">
        <f>0+táj.1!F124</f>
        <v>0</v>
      </c>
      <c r="G124" s="437">
        <f>0+táj.1!G124</f>
        <v>0</v>
      </c>
      <c r="H124" s="437">
        <f>106160+táj.1!H124</f>
        <v>106160</v>
      </c>
      <c r="I124" s="437">
        <f>0+táj.1!I124</f>
        <v>0</v>
      </c>
      <c r="J124" s="437">
        <f>0+táj.1!J124</f>
        <v>0</v>
      </c>
      <c r="K124" s="437">
        <f>0+táj.1!K124</f>
        <v>0</v>
      </c>
      <c r="L124" s="437">
        <f>0+táj.1!L124</f>
        <v>0</v>
      </c>
      <c r="M124" s="437">
        <f>0+táj.1!M124</f>
        <v>0</v>
      </c>
      <c r="N124" s="437">
        <f>0+táj.1!N124</f>
        <v>0</v>
      </c>
      <c r="O124" s="437">
        <f t="shared" si="11"/>
        <v>106160</v>
      </c>
    </row>
    <row r="125" spans="1:15" s="136" customFormat="1" ht="14.1" customHeight="1" x14ac:dyDescent="0.2">
      <c r="A125" s="137"/>
      <c r="B125" s="137"/>
      <c r="C125" s="466" t="s">
        <v>307</v>
      </c>
      <c r="D125" s="460">
        <v>131857</v>
      </c>
      <c r="E125" s="437">
        <f>0+táj.1!E125</f>
        <v>0</v>
      </c>
      <c r="F125" s="437">
        <f>0+táj.1!F125</f>
        <v>0</v>
      </c>
      <c r="G125" s="437">
        <f>0+táj.1!G125</f>
        <v>0</v>
      </c>
      <c r="H125" s="437">
        <f>15240+táj.1!H125</f>
        <v>8890</v>
      </c>
      <c r="I125" s="437">
        <f>0+táj.1!I125</f>
        <v>0</v>
      </c>
      <c r="J125" s="437">
        <f>0+táj.1!J125</f>
        <v>0</v>
      </c>
      <c r="K125" s="437">
        <f>0+táj.1!K125</f>
        <v>0</v>
      </c>
      <c r="L125" s="437">
        <f>0+táj.1!L125</f>
        <v>0</v>
      </c>
      <c r="M125" s="437">
        <f>0+táj.1!M125</f>
        <v>0</v>
      </c>
      <c r="N125" s="437">
        <f>0+táj.1!N125</f>
        <v>0</v>
      </c>
      <c r="O125" s="437">
        <f t="shared" si="11"/>
        <v>8890</v>
      </c>
    </row>
    <row r="126" spans="1:15" s="136" customFormat="1" ht="14.1" customHeight="1" x14ac:dyDescent="0.2">
      <c r="A126" s="137"/>
      <c r="B126" s="137"/>
      <c r="C126" s="466" t="s">
        <v>308</v>
      </c>
      <c r="D126" s="460">
        <v>172920</v>
      </c>
      <c r="E126" s="437">
        <f>0+táj.1!E126</f>
        <v>0</v>
      </c>
      <c r="F126" s="437">
        <f>0+táj.1!F126</f>
        <v>0</v>
      </c>
      <c r="G126" s="437">
        <f>0+táj.1!G126</f>
        <v>0</v>
      </c>
      <c r="H126" s="437">
        <f>13032+táj.1!H126</f>
        <v>13032</v>
      </c>
      <c r="I126" s="437">
        <f>0+táj.1!I126</f>
        <v>0</v>
      </c>
      <c r="J126" s="437">
        <f>0+táj.1!J126</f>
        <v>0</v>
      </c>
      <c r="K126" s="437">
        <f>0+táj.1!K126</f>
        <v>0</v>
      </c>
      <c r="L126" s="437">
        <f>0+táj.1!L126</f>
        <v>0</v>
      </c>
      <c r="M126" s="437">
        <f>0+táj.1!M126</f>
        <v>0</v>
      </c>
      <c r="N126" s="437">
        <f>0+táj.1!N126</f>
        <v>0</v>
      </c>
      <c r="O126" s="437">
        <f t="shared" si="11"/>
        <v>13032</v>
      </c>
    </row>
    <row r="127" spans="1:15" s="136" customFormat="1" ht="14.1" customHeight="1" x14ac:dyDescent="0.2">
      <c r="A127" s="137"/>
      <c r="B127" s="137"/>
      <c r="C127" s="466" t="s">
        <v>309</v>
      </c>
      <c r="D127" s="460">
        <v>172922</v>
      </c>
      <c r="E127" s="437">
        <f>0+táj.1!E127</f>
        <v>0</v>
      </c>
      <c r="F127" s="437">
        <f>0+táj.1!F127</f>
        <v>0</v>
      </c>
      <c r="G127" s="437">
        <f>0+táj.1!G127</f>
        <v>0</v>
      </c>
      <c r="H127" s="437">
        <f>40640+táj.1!H127</f>
        <v>40640</v>
      </c>
      <c r="I127" s="437">
        <f>0+táj.1!I127</f>
        <v>0</v>
      </c>
      <c r="J127" s="437">
        <f>0+táj.1!J127</f>
        <v>0</v>
      </c>
      <c r="K127" s="437">
        <f>0+táj.1!K127</f>
        <v>0</v>
      </c>
      <c r="L127" s="437">
        <f>0+táj.1!L127</f>
        <v>0</v>
      </c>
      <c r="M127" s="437">
        <f>0+táj.1!M127</f>
        <v>0</v>
      </c>
      <c r="N127" s="437">
        <f>0+táj.1!N127</f>
        <v>0</v>
      </c>
      <c r="O127" s="437">
        <f t="shared" si="11"/>
        <v>40640</v>
      </c>
    </row>
    <row r="128" spans="1:15" s="136" customFormat="1" ht="14.1" customHeight="1" x14ac:dyDescent="0.2">
      <c r="A128" s="137"/>
      <c r="B128" s="137"/>
      <c r="C128" s="668" t="s">
        <v>1105</v>
      </c>
      <c r="D128" s="667">
        <v>172901</v>
      </c>
      <c r="E128" s="437">
        <f>0+táj.1!E128</f>
        <v>0</v>
      </c>
      <c r="F128" s="437">
        <f>0+táj.1!F128</f>
        <v>0</v>
      </c>
      <c r="G128" s="437">
        <f>0+táj.1!G128</f>
        <v>0</v>
      </c>
      <c r="H128" s="437">
        <f>0+táj.1!H128</f>
        <v>0</v>
      </c>
      <c r="I128" s="437">
        <f>7380+táj.1!I128</f>
        <v>7380</v>
      </c>
      <c r="J128" s="437">
        <f>0+táj.1!J128</f>
        <v>0</v>
      </c>
      <c r="K128" s="437">
        <f>0+táj.1!K128</f>
        <v>0</v>
      </c>
      <c r="L128" s="437">
        <f>0+táj.1!L128</f>
        <v>0</v>
      </c>
      <c r="M128" s="437">
        <f>0+táj.1!M128</f>
        <v>0</v>
      </c>
      <c r="N128" s="437">
        <f>0+táj.1!N128</f>
        <v>0</v>
      </c>
      <c r="O128" s="437">
        <f t="shared" si="11"/>
        <v>7380</v>
      </c>
    </row>
    <row r="129" spans="1:15" s="136" customFormat="1" ht="14.1" customHeight="1" x14ac:dyDescent="0.2">
      <c r="A129" s="137"/>
      <c r="B129" s="137"/>
      <c r="C129" s="783" t="s">
        <v>897</v>
      </c>
      <c r="D129" s="820">
        <v>171902</v>
      </c>
      <c r="E129" s="437">
        <f>0+táj.1!E129</f>
        <v>0</v>
      </c>
      <c r="F129" s="437">
        <f>0+táj.1!F129</f>
        <v>0</v>
      </c>
      <c r="G129" s="437">
        <f>0+táj.1!G129</f>
        <v>0</v>
      </c>
      <c r="H129" s="437">
        <f>897+táj.1!H129</f>
        <v>897</v>
      </c>
      <c r="I129" s="437">
        <f>0+táj.1!I129</f>
        <v>0</v>
      </c>
      <c r="J129" s="437">
        <f>0+táj.1!J129</f>
        <v>0</v>
      </c>
      <c r="K129" s="437">
        <f>0+táj.1!K129</f>
        <v>0</v>
      </c>
      <c r="L129" s="437">
        <f>0+táj.1!L129</f>
        <v>0</v>
      </c>
      <c r="M129" s="437">
        <f>0+táj.1!M129</f>
        <v>0</v>
      </c>
      <c r="N129" s="437">
        <f>0+táj.1!N129</f>
        <v>0</v>
      </c>
      <c r="O129" s="437">
        <f t="shared" si="11"/>
        <v>897</v>
      </c>
    </row>
    <row r="130" spans="1:15" s="136" customFormat="1" ht="14.1" customHeight="1" x14ac:dyDescent="0.2">
      <c r="A130" s="137"/>
      <c r="B130" s="137"/>
      <c r="C130" s="914" t="s">
        <v>1363</v>
      </c>
      <c r="D130" s="912">
        <v>172925</v>
      </c>
      <c r="E130" s="437">
        <f>0+táj.1!E130</f>
        <v>0</v>
      </c>
      <c r="F130" s="437">
        <f>0+táj.1!F130</f>
        <v>0</v>
      </c>
      <c r="G130" s="437">
        <f>0+táj.1!G130</f>
        <v>0</v>
      </c>
      <c r="H130" s="437">
        <f>0+táj.1!H130</f>
        <v>4191</v>
      </c>
      <c r="I130" s="437">
        <f>0+táj.1!I130</f>
        <v>0</v>
      </c>
      <c r="J130" s="437">
        <f>0+táj.1!J130</f>
        <v>0</v>
      </c>
      <c r="K130" s="437">
        <f>0+táj.1!K130</f>
        <v>0</v>
      </c>
      <c r="L130" s="437">
        <f>0+táj.1!L130</f>
        <v>0</v>
      </c>
      <c r="M130" s="437">
        <f>0+táj.1!M130</f>
        <v>0</v>
      </c>
      <c r="N130" s="437">
        <f>0+táj.1!N130</f>
        <v>0</v>
      </c>
      <c r="O130" s="437">
        <f t="shared" si="11"/>
        <v>4191</v>
      </c>
    </row>
    <row r="131" spans="1:15" s="136" customFormat="1" ht="24.95" customHeight="1" x14ac:dyDescent="0.2">
      <c r="A131" s="137"/>
      <c r="B131" s="137"/>
      <c r="C131" s="467" t="s">
        <v>310</v>
      </c>
      <c r="D131" s="609"/>
      <c r="E131" s="437"/>
      <c r="F131" s="437"/>
      <c r="G131" s="437"/>
      <c r="H131" s="437"/>
      <c r="I131" s="437"/>
      <c r="J131" s="437"/>
      <c r="K131" s="437"/>
      <c r="L131" s="437"/>
      <c r="M131" s="437"/>
      <c r="N131" s="437"/>
      <c r="O131" s="437"/>
    </row>
    <row r="132" spans="1:15" s="136" customFormat="1" ht="15" customHeight="1" x14ac:dyDescent="0.2">
      <c r="A132" s="137"/>
      <c r="B132" s="137"/>
      <c r="C132" s="459" t="s">
        <v>311</v>
      </c>
      <c r="D132" s="460">
        <v>171901</v>
      </c>
      <c r="E132" s="437">
        <f>0+táj.1!E132</f>
        <v>0</v>
      </c>
      <c r="F132" s="437">
        <f>0+táj.1!F132</f>
        <v>0</v>
      </c>
      <c r="G132" s="437">
        <f>0+táj.1!G132</f>
        <v>0</v>
      </c>
      <c r="H132" s="437">
        <f>17780+táj.1!H132</f>
        <v>17780</v>
      </c>
      <c r="I132" s="437">
        <f>0+táj.1!I132</f>
        <v>0</v>
      </c>
      <c r="J132" s="437">
        <f>0+táj.1!J132</f>
        <v>0</v>
      </c>
      <c r="K132" s="437">
        <f>0+táj.1!K132</f>
        <v>0</v>
      </c>
      <c r="L132" s="437">
        <f>0+táj.1!L132</f>
        <v>0</v>
      </c>
      <c r="M132" s="437">
        <f>0+táj.1!M132</f>
        <v>0</v>
      </c>
      <c r="N132" s="437">
        <f>0+táj.1!N132</f>
        <v>0</v>
      </c>
      <c r="O132" s="437">
        <f>SUM(E132:N132)</f>
        <v>17780</v>
      </c>
    </row>
    <row r="133" spans="1:15" s="136" customFormat="1" ht="24.95" customHeight="1" x14ac:dyDescent="0.2">
      <c r="A133" s="146"/>
      <c r="B133" s="146"/>
      <c r="C133" s="468" t="s">
        <v>312</v>
      </c>
      <c r="D133" s="469"/>
      <c r="E133" s="437"/>
      <c r="F133" s="437"/>
      <c r="G133" s="437"/>
      <c r="H133" s="437"/>
      <c r="I133" s="437"/>
      <c r="J133" s="437"/>
      <c r="K133" s="437"/>
      <c r="L133" s="437"/>
      <c r="M133" s="437"/>
      <c r="N133" s="437"/>
      <c r="O133" s="437"/>
    </row>
    <row r="134" spans="1:15" s="136" customFormat="1" ht="28.5" customHeight="1" x14ac:dyDescent="0.2">
      <c r="A134" s="146"/>
      <c r="B134" s="146"/>
      <c r="C134" s="467" t="s">
        <v>1106</v>
      </c>
      <c r="D134" s="470">
        <v>171908</v>
      </c>
      <c r="E134" s="437">
        <f>0+táj.1!E134</f>
        <v>0</v>
      </c>
      <c r="F134" s="437">
        <f>0+táj.1!F134</f>
        <v>0</v>
      </c>
      <c r="G134" s="437">
        <f>0+táj.1!G134</f>
        <v>0</v>
      </c>
      <c r="H134" s="437">
        <f>101600+táj.1!H134</f>
        <v>101600</v>
      </c>
      <c r="I134" s="437">
        <f>0+táj.1!I134</f>
        <v>0</v>
      </c>
      <c r="J134" s="437">
        <f>0+táj.1!J134</f>
        <v>0</v>
      </c>
      <c r="K134" s="437">
        <f>0+táj.1!K134</f>
        <v>0</v>
      </c>
      <c r="L134" s="437">
        <f>0+táj.1!L134</f>
        <v>0</v>
      </c>
      <c r="M134" s="437">
        <f>0+táj.1!M134</f>
        <v>0</v>
      </c>
      <c r="N134" s="437">
        <f>0+táj.1!N134</f>
        <v>0</v>
      </c>
      <c r="O134" s="437">
        <f>SUM(E134:N134)</f>
        <v>101600</v>
      </c>
    </row>
    <row r="135" spans="1:15" s="136" customFormat="1" ht="15.75" customHeight="1" x14ac:dyDescent="0.2">
      <c r="A135" s="146"/>
      <c r="B135" s="146"/>
      <c r="C135" s="669" t="s">
        <v>314</v>
      </c>
      <c r="D135" s="464"/>
      <c r="E135" s="437"/>
      <c r="F135" s="437"/>
      <c r="G135" s="437"/>
      <c r="H135" s="437"/>
      <c r="I135" s="437"/>
      <c r="J135" s="437"/>
      <c r="K135" s="437"/>
      <c r="L135" s="437"/>
      <c r="M135" s="437"/>
      <c r="N135" s="437"/>
      <c r="O135" s="437"/>
    </row>
    <row r="136" spans="1:15" s="136" customFormat="1" ht="15.75" customHeight="1" x14ac:dyDescent="0.2">
      <c r="A136" s="146"/>
      <c r="B136" s="146"/>
      <c r="C136" s="450" t="s">
        <v>315</v>
      </c>
      <c r="D136" s="457"/>
      <c r="E136" s="437"/>
      <c r="F136" s="437"/>
      <c r="G136" s="437"/>
      <c r="H136" s="437"/>
      <c r="I136" s="437"/>
      <c r="J136" s="437"/>
      <c r="K136" s="437"/>
      <c r="L136" s="437"/>
      <c r="M136" s="437"/>
      <c r="N136" s="437"/>
      <c r="O136" s="437"/>
    </row>
    <row r="137" spans="1:15" s="136" customFormat="1" ht="24.95" customHeight="1" x14ac:dyDescent="0.2">
      <c r="A137" s="146"/>
      <c r="B137" s="146"/>
      <c r="C137" s="488" t="s">
        <v>316</v>
      </c>
      <c r="D137" s="470">
        <v>121401</v>
      </c>
      <c r="E137" s="437">
        <f>0+táj.1!E137</f>
        <v>0</v>
      </c>
      <c r="F137" s="437">
        <f>0+táj.1!F137</f>
        <v>0</v>
      </c>
      <c r="G137" s="437">
        <f>0+táj.1!G137</f>
        <v>0</v>
      </c>
      <c r="H137" s="437">
        <f>0+táj.1!H137</f>
        <v>0</v>
      </c>
      <c r="I137" s="437">
        <f>0+táj.1!I137</f>
        <v>0</v>
      </c>
      <c r="J137" s="437">
        <f>0+táj.1!J137</f>
        <v>0</v>
      </c>
      <c r="K137" s="437">
        <f>3000+táj.1!K137</f>
        <v>3000</v>
      </c>
      <c r="L137" s="437">
        <f>0+táj.1!L137</f>
        <v>0</v>
      </c>
      <c r="M137" s="437">
        <f>0+táj.1!M137</f>
        <v>0</v>
      </c>
      <c r="N137" s="437">
        <f>0+táj.1!N137</f>
        <v>0</v>
      </c>
      <c r="O137" s="437">
        <f>SUM(E137:N137)</f>
        <v>3000</v>
      </c>
    </row>
    <row r="138" spans="1:15" s="136" customFormat="1" ht="24" customHeight="1" x14ac:dyDescent="0.2">
      <c r="A138" s="146"/>
      <c r="B138" s="146"/>
      <c r="C138" s="489" t="s">
        <v>317</v>
      </c>
      <c r="D138" s="473"/>
      <c r="E138" s="437"/>
      <c r="F138" s="437"/>
      <c r="G138" s="437"/>
      <c r="H138" s="437"/>
      <c r="I138" s="437"/>
      <c r="J138" s="437"/>
      <c r="K138" s="437"/>
      <c r="L138" s="437"/>
      <c r="M138" s="437"/>
      <c r="N138" s="437"/>
      <c r="O138" s="437"/>
    </row>
    <row r="139" spans="1:15" s="136" customFormat="1" ht="16.5" customHeight="1" x14ac:dyDescent="0.2">
      <c r="A139" s="146"/>
      <c r="B139" s="146"/>
      <c r="C139" s="490" t="s">
        <v>318</v>
      </c>
      <c r="D139" s="470">
        <v>176902</v>
      </c>
      <c r="E139" s="437">
        <f>0+táj.1!E139</f>
        <v>0</v>
      </c>
      <c r="F139" s="437">
        <f>0+táj.1!F139</f>
        <v>0</v>
      </c>
      <c r="G139" s="437">
        <f>0+táj.1!G139</f>
        <v>0</v>
      </c>
      <c r="H139" s="437">
        <f>0+táj.1!H139</f>
        <v>0</v>
      </c>
      <c r="I139" s="437">
        <f>0+táj.1!I139</f>
        <v>0</v>
      </c>
      <c r="J139" s="437">
        <f>0+táj.1!J139</f>
        <v>0</v>
      </c>
      <c r="K139" s="437">
        <f>0+táj.1!K139</f>
        <v>0</v>
      </c>
      <c r="L139" s="437">
        <f>0+táj.1!L139</f>
        <v>0</v>
      </c>
      <c r="M139" s="437">
        <f>98016+táj.1!M139</f>
        <v>98016</v>
      </c>
      <c r="N139" s="437">
        <f>30587+táj.1!N139</f>
        <v>45587</v>
      </c>
      <c r="O139" s="437">
        <f>SUM(E139:N139)</f>
        <v>143603</v>
      </c>
    </row>
    <row r="140" spans="1:15" s="136" customFormat="1" ht="12.6" customHeight="1" x14ac:dyDescent="0.2">
      <c r="A140" s="151"/>
      <c r="B140" s="151"/>
      <c r="C140" s="452" t="s">
        <v>319</v>
      </c>
      <c r="D140" s="453"/>
      <c r="E140" s="454">
        <f t="shared" ref="E140:O140" si="12">SUM(E113:E139)</f>
        <v>0</v>
      </c>
      <c r="F140" s="454">
        <f t="shared" si="12"/>
        <v>0</v>
      </c>
      <c r="G140" s="454">
        <f t="shared" si="12"/>
        <v>0</v>
      </c>
      <c r="H140" s="454">
        <f t="shared" si="12"/>
        <v>476264</v>
      </c>
      <c r="I140" s="454">
        <f t="shared" si="12"/>
        <v>302609</v>
      </c>
      <c r="J140" s="454">
        <f t="shared" si="12"/>
        <v>0</v>
      </c>
      <c r="K140" s="454">
        <f t="shared" si="12"/>
        <v>3000</v>
      </c>
      <c r="L140" s="454">
        <f t="shared" si="12"/>
        <v>0</v>
      </c>
      <c r="M140" s="454">
        <f t="shared" si="12"/>
        <v>98016</v>
      </c>
      <c r="N140" s="454">
        <f t="shared" si="12"/>
        <v>45587</v>
      </c>
      <c r="O140" s="454">
        <f t="shared" si="12"/>
        <v>925476</v>
      </c>
    </row>
    <row r="141" spans="1:15" s="136" customFormat="1" ht="12.6" customHeight="1" x14ac:dyDescent="0.2">
      <c r="A141" s="152">
        <v>1</v>
      </c>
      <c r="B141" s="152">
        <v>18</v>
      </c>
      <c r="C141" s="461" t="s">
        <v>320</v>
      </c>
      <c r="D141" s="462"/>
      <c r="E141" s="474"/>
      <c r="F141" s="474"/>
      <c r="G141" s="474"/>
      <c r="H141" s="474"/>
      <c r="I141" s="474"/>
      <c r="J141" s="474"/>
      <c r="K141" s="474"/>
      <c r="L141" s="474"/>
      <c r="M141" s="474"/>
      <c r="N141" s="474"/>
      <c r="O141" s="474"/>
    </row>
    <row r="142" spans="1:15" s="136" customFormat="1" ht="24.95" customHeight="1" x14ac:dyDescent="0.2">
      <c r="A142" s="146"/>
      <c r="B142" s="146"/>
      <c r="C142" s="450" t="s">
        <v>261</v>
      </c>
      <c r="D142" s="457"/>
      <c r="E142" s="436"/>
      <c r="F142" s="436"/>
      <c r="G142" s="436"/>
      <c r="H142" s="437"/>
      <c r="I142" s="437"/>
      <c r="J142" s="437"/>
      <c r="K142" s="437"/>
      <c r="L142" s="437"/>
      <c r="M142" s="437"/>
      <c r="N142" s="437"/>
      <c r="O142" s="437"/>
    </row>
    <row r="143" spans="1:15" s="136" customFormat="1" ht="24.95" customHeight="1" x14ac:dyDescent="0.2">
      <c r="A143" s="146"/>
      <c r="B143" s="146"/>
      <c r="C143" s="450" t="s">
        <v>321</v>
      </c>
      <c r="D143" s="457" t="s">
        <v>322</v>
      </c>
      <c r="E143" s="436">
        <f>0+táj.1!E143</f>
        <v>0</v>
      </c>
      <c r="F143" s="436">
        <f>0+táj.1!F143</f>
        <v>0</v>
      </c>
      <c r="G143" s="436">
        <f>0+táj.1!G143</f>
        <v>0</v>
      </c>
      <c r="H143" s="436">
        <f>25766+táj.1!H143</f>
        <v>25766</v>
      </c>
      <c r="I143" s="436">
        <f>0+táj.1!I143</f>
        <v>0</v>
      </c>
      <c r="J143" s="436">
        <f>0+táj.1!J143</f>
        <v>0</v>
      </c>
      <c r="K143" s="436">
        <f>0+táj.1!K143</f>
        <v>0</v>
      </c>
      <c r="L143" s="436">
        <f>0+táj.1!L143</f>
        <v>0</v>
      </c>
      <c r="M143" s="436">
        <f>0+táj.1!M143</f>
        <v>0</v>
      </c>
      <c r="N143" s="436">
        <f>0+táj.1!N143</f>
        <v>0</v>
      </c>
      <c r="O143" s="437">
        <f>SUM(E143:N143)</f>
        <v>25766</v>
      </c>
    </row>
    <row r="144" spans="1:15" s="136" customFormat="1" ht="12.6" customHeight="1" x14ac:dyDescent="0.2">
      <c r="A144" s="146"/>
      <c r="B144" s="146"/>
      <c r="C144" s="461" t="s">
        <v>323</v>
      </c>
      <c r="D144" s="470">
        <v>181905</v>
      </c>
      <c r="E144" s="436">
        <f>0+táj.1!E144</f>
        <v>0</v>
      </c>
      <c r="F144" s="436">
        <f>0+táj.1!F144</f>
        <v>0</v>
      </c>
      <c r="G144" s="436">
        <f>0+táj.1!G144</f>
        <v>0</v>
      </c>
      <c r="H144" s="436">
        <f>17000+táj.1!H144</f>
        <v>17000</v>
      </c>
      <c r="I144" s="436">
        <f>0+táj.1!I144</f>
        <v>0</v>
      </c>
      <c r="J144" s="436">
        <f>0+táj.1!J144</f>
        <v>0</v>
      </c>
      <c r="K144" s="436">
        <f>0+táj.1!K144</f>
        <v>0</v>
      </c>
      <c r="L144" s="436">
        <f>0+táj.1!L144</f>
        <v>0</v>
      </c>
      <c r="M144" s="436">
        <f>0+táj.1!M144</f>
        <v>0</v>
      </c>
      <c r="N144" s="436">
        <f>0+táj.1!N144</f>
        <v>0</v>
      </c>
      <c r="O144" s="437">
        <f>SUM(E144:N144)</f>
        <v>17000</v>
      </c>
    </row>
    <row r="145" spans="1:15" s="136" customFormat="1" ht="15" customHeight="1" x14ac:dyDescent="0.2">
      <c r="A145" s="146"/>
      <c r="B145" s="146"/>
      <c r="C145" s="450" t="s">
        <v>324</v>
      </c>
      <c r="D145" s="457">
        <v>181903</v>
      </c>
      <c r="E145" s="436">
        <f>0+táj.1!E145</f>
        <v>0</v>
      </c>
      <c r="F145" s="436">
        <f>0+táj.1!F145</f>
        <v>0</v>
      </c>
      <c r="G145" s="436">
        <f>3000+táj.1!G145</f>
        <v>3000</v>
      </c>
      <c r="H145" s="436">
        <f>0+táj.1!H145</f>
        <v>0</v>
      </c>
      <c r="I145" s="436">
        <f>0+táj.1!I145</f>
        <v>0</v>
      </c>
      <c r="J145" s="436">
        <f>0+táj.1!J145</f>
        <v>0</v>
      </c>
      <c r="K145" s="436">
        <f>0+táj.1!K145</f>
        <v>0</v>
      </c>
      <c r="L145" s="436">
        <f>0+táj.1!L145</f>
        <v>0</v>
      </c>
      <c r="M145" s="436">
        <f>0+táj.1!M145</f>
        <v>0</v>
      </c>
      <c r="N145" s="436">
        <f>0+táj.1!N145</f>
        <v>0</v>
      </c>
      <c r="O145" s="437">
        <f>SUM(E145:N145)</f>
        <v>3000</v>
      </c>
    </row>
    <row r="146" spans="1:15" s="136" customFormat="1" ht="27.75" customHeight="1" x14ac:dyDescent="0.2">
      <c r="A146" s="146"/>
      <c r="B146" s="146"/>
      <c r="C146" s="450" t="s">
        <v>325</v>
      </c>
      <c r="D146" s="457">
        <v>181904</v>
      </c>
      <c r="E146" s="436">
        <f>0+táj.1!E146</f>
        <v>0</v>
      </c>
      <c r="F146" s="436">
        <f>0+táj.1!F146</f>
        <v>0</v>
      </c>
      <c r="G146" s="436">
        <f>0+táj.1!G146</f>
        <v>0</v>
      </c>
      <c r="H146" s="436">
        <f>200+táj.1!H146</f>
        <v>447</v>
      </c>
      <c r="I146" s="436">
        <f>0+táj.1!I146</f>
        <v>0</v>
      </c>
      <c r="J146" s="436">
        <f>0+táj.1!J146</f>
        <v>0</v>
      </c>
      <c r="K146" s="436">
        <f>0+táj.1!K146</f>
        <v>0</v>
      </c>
      <c r="L146" s="436">
        <f>0+táj.1!L146</f>
        <v>0</v>
      </c>
      <c r="M146" s="436">
        <f>0+táj.1!M146</f>
        <v>0</v>
      </c>
      <c r="N146" s="436">
        <f>0+táj.1!N146</f>
        <v>0</v>
      </c>
      <c r="O146" s="437">
        <f>SUM(E146:N146)</f>
        <v>447</v>
      </c>
    </row>
    <row r="147" spans="1:15" s="136" customFormat="1" ht="15" customHeight="1" x14ac:dyDescent="0.2">
      <c r="A147" s="146" t="s">
        <v>96</v>
      </c>
      <c r="B147" s="146"/>
      <c r="C147" s="461" t="s">
        <v>326</v>
      </c>
      <c r="D147" s="470">
        <v>181902</v>
      </c>
      <c r="E147" s="436">
        <f>0+táj.1!E147</f>
        <v>0</v>
      </c>
      <c r="F147" s="436">
        <f>0+táj.1!F147</f>
        <v>0</v>
      </c>
      <c r="G147" s="436">
        <f>0+táj.1!G147</f>
        <v>0</v>
      </c>
      <c r="H147" s="436">
        <f>34000+táj.1!H147</f>
        <v>34000</v>
      </c>
      <c r="I147" s="436">
        <f>0+táj.1!I147</f>
        <v>0</v>
      </c>
      <c r="J147" s="436">
        <f>0+táj.1!J147</f>
        <v>0</v>
      </c>
      <c r="K147" s="436">
        <f>0+táj.1!K147</f>
        <v>0</v>
      </c>
      <c r="L147" s="436">
        <f>0+táj.1!L147</f>
        <v>0</v>
      </c>
      <c r="M147" s="436">
        <f>0+táj.1!M147</f>
        <v>0</v>
      </c>
      <c r="N147" s="436">
        <f>0+táj.1!N147</f>
        <v>0</v>
      </c>
      <c r="O147" s="437">
        <f>SUM(E147:N147)</f>
        <v>34000</v>
      </c>
    </row>
    <row r="148" spans="1:15" s="136" customFormat="1" ht="14.25" customHeight="1" x14ac:dyDescent="0.2">
      <c r="A148" s="151"/>
      <c r="B148" s="151"/>
      <c r="C148" s="452" t="s">
        <v>327</v>
      </c>
      <c r="D148" s="453"/>
      <c r="E148" s="476">
        <f t="shared" ref="E148:O148" si="13">SUM(E143:E147)</f>
        <v>0</v>
      </c>
      <c r="F148" s="476">
        <f t="shared" si="13"/>
        <v>0</v>
      </c>
      <c r="G148" s="476">
        <f t="shared" si="13"/>
        <v>3000</v>
      </c>
      <c r="H148" s="476">
        <f t="shared" si="13"/>
        <v>77213</v>
      </c>
      <c r="I148" s="476">
        <f t="shared" si="13"/>
        <v>0</v>
      </c>
      <c r="J148" s="476">
        <f t="shared" si="13"/>
        <v>0</v>
      </c>
      <c r="K148" s="476">
        <f t="shared" si="13"/>
        <v>0</v>
      </c>
      <c r="L148" s="476">
        <f t="shared" si="13"/>
        <v>0</v>
      </c>
      <c r="M148" s="476">
        <f t="shared" si="13"/>
        <v>0</v>
      </c>
      <c r="N148" s="476">
        <f t="shared" si="13"/>
        <v>0</v>
      </c>
      <c r="O148" s="476">
        <f t="shared" si="13"/>
        <v>80213</v>
      </c>
    </row>
    <row r="149" spans="1:15" s="136" customFormat="1" ht="12.6" customHeight="1" x14ac:dyDescent="0.2">
      <c r="A149" s="146">
        <v>1</v>
      </c>
      <c r="B149" s="146">
        <v>19</v>
      </c>
      <c r="C149" s="455" t="s">
        <v>95</v>
      </c>
      <c r="D149" s="456"/>
      <c r="E149" s="437"/>
      <c r="F149" s="437"/>
      <c r="G149" s="437"/>
      <c r="H149" s="437"/>
      <c r="I149" s="437"/>
      <c r="J149" s="437"/>
      <c r="K149" s="437"/>
      <c r="L149" s="437"/>
      <c r="M149" s="437"/>
      <c r="N149" s="437"/>
      <c r="O149" s="437"/>
    </row>
    <row r="150" spans="1:15" s="136" customFormat="1" ht="26.25" customHeight="1" x14ac:dyDescent="0.2">
      <c r="A150" s="146"/>
      <c r="B150" s="146"/>
      <c r="C150" s="477" t="s">
        <v>328</v>
      </c>
      <c r="D150" s="469"/>
      <c r="E150" s="437"/>
      <c r="F150" s="437"/>
      <c r="G150" s="437"/>
      <c r="H150" s="437"/>
      <c r="I150" s="437"/>
      <c r="J150" s="437"/>
      <c r="K150" s="437"/>
      <c r="L150" s="437"/>
      <c r="M150" s="437"/>
      <c r="N150" s="437"/>
      <c r="O150" s="437"/>
    </row>
    <row r="151" spans="1:15" s="136" customFormat="1" ht="17.25" customHeight="1" x14ac:dyDescent="0.2">
      <c r="A151" s="146"/>
      <c r="B151" s="146"/>
      <c r="C151" s="670" t="s">
        <v>331</v>
      </c>
      <c r="D151" s="667">
        <v>196919</v>
      </c>
      <c r="E151" s="436">
        <f>0+táj.1!E151</f>
        <v>0</v>
      </c>
      <c r="F151" s="436">
        <f>0+táj.1!F151</f>
        <v>0</v>
      </c>
      <c r="G151" s="436">
        <f>0+táj.1!G151</f>
        <v>0</v>
      </c>
      <c r="H151" s="436">
        <f>0+táj.1!H151</f>
        <v>0</v>
      </c>
      <c r="I151" s="436">
        <f>0+táj.1!I151</f>
        <v>0</v>
      </c>
      <c r="J151" s="436">
        <f>0+táj.1!J151</f>
        <v>0</v>
      </c>
      <c r="K151" s="436">
        <f>0+táj.1!K151</f>
        <v>0</v>
      </c>
      <c r="L151" s="436">
        <f>0+táj.1!L151</f>
        <v>0</v>
      </c>
      <c r="M151" s="436">
        <f>0+táj.1!M151</f>
        <v>0</v>
      </c>
      <c r="N151" s="436">
        <f>11500000+táj.1!N151</f>
        <v>11500000</v>
      </c>
      <c r="O151" s="437">
        <f>SUM(E151:N151)</f>
        <v>11500000</v>
      </c>
    </row>
    <row r="152" spans="1:15" s="136" customFormat="1" ht="24.95" customHeight="1" x14ac:dyDescent="0.2">
      <c r="A152" s="146"/>
      <c r="B152" s="146"/>
      <c r="C152" s="461" t="s">
        <v>229</v>
      </c>
      <c r="D152" s="473"/>
      <c r="E152" s="436"/>
      <c r="F152" s="436"/>
      <c r="G152" s="436"/>
      <c r="H152" s="436"/>
      <c r="I152" s="436"/>
      <c r="J152" s="436"/>
      <c r="K152" s="436"/>
      <c r="L152" s="436"/>
      <c r="M152" s="436"/>
      <c r="N152" s="436"/>
      <c r="O152" s="437"/>
    </row>
    <row r="153" spans="1:15" s="136" customFormat="1" ht="25.5" x14ac:dyDescent="0.2">
      <c r="A153" s="146" t="s">
        <v>96</v>
      </c>
      <c r="B153" s="146"/>
      <c r="C153" s="461" t="s">
        <v>329</v>
      </c>
      <c r="D153" s="460">
        <v>191102</v>
      </c>
      <c r="E153" s="436">
        <f>0+táj.1!E153</f>
        <v>0</v>
      </c>
      <c r="F153" s="436">
        <f>0+táj.1!F153</f>
        <v>0</v>
      </c>
      <c r="G153" s="436">
        <f>0+táj.1!G153</f>
        <v>0</v>
      </c>
      <c r="H153" s="436">
        <f>3000+táj.1!H153</f>
        <v>3000</v>
      </c>
      <c r="I153" s="436">
        <f>0+táj.1!I153</f>
        <v>0</v>
      </c>
      <c r="J153" s="436">
        <f>0+táj.1!J153</f>
        <v>0</v>
      </c>
      <c r="K153" s="436">
        <f>0+táj.1!K153</f>
        <v>0</v>
      </c>
      <c r="L153" s="436">
        <f>0+táj.1!L153</f>
        <v>0</v>
      </c>
      <c r="M153" s="436">
        <f>0+táj.1!M153</f>
        <v>0</v>
      </c>
      <c r="N153" s="436">
        <f>0+táj.1!N153</f>
        <v>0</v>
      </c>
      <c r="O153" s="437">
        <f t="shared" ref="O153:O157" si="14">SUM(E153:N153)</f>
        <v>3000</v>
      </c>
    </row>
    <row r="154" spans="1:15" s="136" customFormat="1" ht="17.25" customHeight="1" x14ac:dyDescent="0.2">
      <c r="A154" s="146"/>
      <c r="B154" s="146"/>
      <c r="C154" s="459" t="s">
        <v>330</v>
      </c>
      <c r="D154" s="460">
        <v>191103</v>
      </c>
      <c r="E154" s="436">
        <f>0+táj.1!E154</f>
        <v>0</v>
      </c>
      <c r="F154" s="436">
        <f>0+táj.1!F154</f>
        <v>0</v>
      </c>
      <c r="G154" s="436">
        <f>0+táj.1!G154</f>
        <v>0</v>
      </c>
      <c r="H154" s="436">
        <f>91203+táj.1!H154</f>
        <v>103285</v>
      </c>
      <c r="I154" s="436">
        <f>0+táj.1!I154</f>
        <v>0</v>
      </c>
      <c r="J154" s="436">
        <f>0+táj.1!J154</f>
        <v>0</v>
      </c>
      <c r="K154" s="436">
        <f>0+táj.1!K154</f>
        <v>0</v>
      </c>
      <c r="L154" s="436">
        <f>0+táj.1!L154</f>
        <v>0</v>
      </c>
      <c r="M154" s="436">
        <f>0+táj.1!M154</f>
        <v>0</v>
      </c>
      <c r="N154" s="436">
        <f>0+táj.1!N154</f>
        <v>0</v>
      </c>
      <c r="O154" s="437">
        <f t="shared" si="14"/>
        <v>103285</v>
      </c>
    </row>
    <row r="155" spans="1:15" s="136" customFormat="1" ht="17.25" customHeight="1" x14ac:dyDescent="0.2">
      <c r="A155" s="779"/>
      <c r="B155" s="779"/>
      <c r="C155" s="821" t="s">
        <v>1278</v>
      </c>
      <c r="D155" s="822">
        <v>191116</v>
      </c>
      <c r="E155" s="436">
        <f>47257+táj.1!E155</f>
        <v>47257</v>
      </c>
      <c r="F155" s="436">
        <f>0+táj.1!F155</f>
        <v>0</v>
      </c>
      <c r="G155" s="436">
        <f>0+táj.1!G155</f>
        <v>0</v>
      </c>
      <c r="H155" s="436">
        <f>0+táj.1!H155</f>
        <v>0</v>
      </c>
      <c r="I155" s="436">
        <f>0+táj.1!I155</f>
        <v>0</v>
      </c>
      <c r="J155" s="436">
        <f>0+táj.1!J155</f>
        <v>0</v>
      </c>
      <c r="K155" s="436">
        <f>0+táj.1!K155</f>
        <v>0</v>
      </c>
      <c r="L155" s="436">
        <f>0+táj.1!L155</f>
        <v>0</v>
      </c>
      <c r="M155" s="436">
        <f>0+táj.1!M155</f>
        <v>0</v>
      </c>
      <c r="N155" s="436">
        <f>0+táj.1!N155</f>
        <v>0</v>
      </c>
      <c r="O155" s="437">
        <f t="shared" si="14"/>
        <v>47257</v>
      </c>
    </row>
    <row r="156" spans="1:15" s="136" customFormat="1" ht="24" customHeight="1" x14ac:dyDescent="0.2">
      <c r="A156" s="869"/>
      <c r="B156" s="869"/>
      <c r="C156" s="911" t="s">
        <v>1364</v>
      </c>
      <c r="D156" s="912">
        <v>192909</v>
      </c>
      <c r="E156" s="436">
        <f>0+táj.1!E156</f>
        <v>0</v>
      </c>
      <c r="F156" s="436">
        <f>0+táj.1!F156</f>
        <v>0</v>
      </c>
      <c r="G156" s="436">
        <f>0+táj.1!G156</f>
        <v>0</v>
      </c>
      <c r="H156" s="436">
        <f>0+táj.1!H156</f>
        <v>0</v>
      </c>
      <c r="I156" s="436">
        <f>0+táj.1!I156</f>
        <v>0</v>
      </c>
      <c r="J156" s="436">
        <f>0+táj.1!J156</f>
        <v>0</v>
      </c>
      <c r="K156" s="436">
        <f>0+táj.1!K156</f>
        <v>500</v>
      </c>
      <c r="L156" s="436">
        <f>0+táj.1!L156</f>
        <v>0</v>
      </c>
      <c r="M156" s="436">
        <f>0+táj.1!M156</f>
        <v>0</v>
      </c>
      <c r="N156" s="436">
        <f>0+táj.1!N156</f>
        <v>0</v>
      </c>
      <c r="O156" s="437">
        <f t="shared" si="14"/>
        <v>500</v>
      </c>
    </row>
    <row r="157" spans="1:15" s="136" customFormat="1" ht="25.5" x14ac:dyDescent="0.2">
      <c r="A157" s="146"/>
      <c r="B157" s="146"/>
      <c r="C157" s="461" t="s">
        <v>1107</v>
      </c>
      <c r="D157" s="470">
        <v>191196</v>
      </c>
      <c r="E157" s="436">
        <f>0+táj.1!E157</f>
        <v>0</v>
      </c>
      <c r="F157" s="436">
        <f>0+táj.1!F157</f>
        <v>0</v>
      </c>
      <c r="G157" s="436">
        <f>0+táj.1!G157</f>
        <v>0</v>
      </c>
      <c r="H157" s="436">
        <f>0+táj.1!H157</f>
        <v>0</v>
      </c>
      <c r="I157" s="436">
        <f>0+táj.1!I157</f>
        <v>0</v>
      </c>
      <c r="J157" s="436">
        <f>0+táj.1!J157</f>
        <v>0</v>
      </c>
      <c r="K157" s="436">
        <f>0+táj.1!K157</f>
        <v>0</v>
      </c>
      <c r="L157" s="436">
        <f>0+táj.1!L157</f>
        <v>0</v>
      </c>
      <c r="M157" s="436">
        <f>3074627+táj.1!M157</f>
        <v>3074627</v>
      </c>
      <c r="N157" s="436">
        <f>550000+táj.1!N157</f>
        <v>550000</v>
      </c>
      <c r="O157" s="437">
        <f t="shared" si="14"/>
        <v>3624627</v>
      </c>
    </row>
    <row r="158" spans="1:15" s="136" customFormat="1" ht="24.95" customHeight="1" x14ac:dyDescent="0.2">
      <c r="A158" s="146"/>
      <c r="B158" s="146"/>
      <c r="C158" s="461" t="s">
        <v>332</v>
      </c>
      <c r="D158" s="462"/>
      <c r="E158" s="436"/>
      <c r="F158" s="436"/>
      <c r="G158" s="436"/>
      <c r="H158" s="436"/>
      <c r="I158" s="436"/>
      <c r="J158" s="436"/>
      <c r="K158" s="436"/>
      <c r="L158" s="436"/>
      <c r="M158" s="436"/>
      <c r="N158" s="436"/>
      <c r="O158" s="437"/>
    </row>
    <row r="159" spans="1:15" s="136" customFormat="1" ht="38.25" x14ac:dyDescent="0.2">
      <c r="A159" s="146"/>
      <c r="B159" s="146"/>
      <c r="C159" s="576" t="s">
        <v>1108</v>
      </c>
      <c r="D159" s="457">
        <v>191901</v>
      </c>
      <c r="E159" s="436">
        <f>4288684+táj.1!E159</f>
        <v>4319356</v>
      </c>
      <c r="F159" s="436">
        <f>0+táj.1!F159</f>
        <v>0</v>
      </c>
      <c r="G159" s="436">
        <f>0+táj.1!G159</f>
        <v>0</v>
      </c>
      <c r="H159" s="436">
        <f>0+táj.1!H159</f>
        <v>0</v>
      </c>
      <c r="I159" s="436">
        <f>0+táj.1!I159</f>
        <v>0</v>
      </c>
      <c r="J159" s="436">
        <f>0+táj.1!J159</f>
        <v>0</v>
      </c>
      <c r="K159" s="436">
        <f>0+táj.1!K159</f>
        <v>0</v>
      </c>
      <c r="L159" s="436">
        <f>0+táj.1!L159</f>
        <v>0</v>
      </c>
      <c r="M159" s="436">
        <f>0+táj.1!M159</f>
        <v>0</v>
      </c>
      <c r="N159" s="436">
        <f>0+táj.1!N159</f>
        <v>0</v>
      </c>
      <c r="O159" s="437">
        <f t="shared" ref="O159:O163" si="15">SUM(E159:N159)</f>
        <v>4319356</v>
      </c>
    </row>
    <row r="160" spans="1:15" s="136" customFormat="1" x14ac:dyDescent="0.2">
      <c r="A160" s="779"/>
      <c r="B160" s="779"/>
      <c r="C160" s="795" t="s">
        <v>1279</v>
      </c>
      <c r="D160" s="823">
        <v>191901</v>
      </c>
      <c r="E160" s="436">
        <f>40080+táj.1!E160</f>
        <v>40080</v>
      </c>
      <c r="F160" s="436">
        <f>0+táj.1!F160</f>
        <v>0</v>
      </c>
      <c r="G160" s="436">
        <f>0+táj.1!G160</f>
        <v>0</v>
      </c>
      <c r="H160" s="436">
        <f>0+táj.1!H160</f>
        <v>0</v>
      </c>
      <c r="I160" s="436">
        <f>0+táj.1!I160</f>
        <v>0</v>
      </c>
      <c r="J160" s="436">
        <f>0+táj.1!J160</f>
        <v>0</v>
      </c>
      <c r="K160" s="436">
        <f>0+táj.1!K160</f>
        <v>0</v>
      </c>
      <c r="L160" s="436">
        <f>0+táj.1!L160</f>
        <v>0</v>
      </c>
      <c r="M160" s="436">
        <f>0+táj.1!M160</f>
        <v>0</v>
      </c>
      <c r="N160" s="436">
        <f>0+táj.1!N160</f>
        <v>0</v>
      </c>
      <c r="O160" s="437">
        <f t="shared" si="15"/>
        <v>40080</v>
      </c>
    </row>
    <row r="161" spans="1:15" s="136" customFormat="1" ht="25.5" x14ac:dyDescent="0.2">
      <c r="A161" s="779"/>
      <c r="B161" s="779"/>
      <c r="C161" s="795" t="s">
        <v>1280</v>
      </c>
      <c r="D161" s="823">
        <v>191901</v>
      </c>
      <c r="E161" s="436">
        <f>0+táj.1!E161</f>
        <v>0</v>
      </c>
      <c r="F161" s="436">
        <f>630000+táj.1!F161</f>
        <v>640017</v>
      </c>
      <c r="G161" s="436">
        <f>0+táj.1!G161</f>
        <v>0</v>
      </c>
      <c r="H161" s="436">
        <f>0+táj.1!H161</f>
        <v>0</v>
      </c>
      <c r="I161" s="436">
        <f>0+táj.1!I161</f>
        <v>0</v>
      </c>
      <c r="J161" s="436">
        <f>0+táj.1!J161</f>
        <v>0</v>
      </c>
      <c r="K161" s="436">
        <f>0+táj.1!K161</f>
        <v>0</v>
      </c>
      <c r="L161" s="436">
        <f>0+táj.1!L161</f>
        <v>0</v>
      </c>
      <c r="M161" s="436">
        <f>0+táj.1!M161</f>
        <v>0</v>
      </c>
      <c r="N161" s="436">
        <f>0+táj.1!N161</f>
        <v>0</v>
      </c>
      <c r="O161" s="437">
        <f t="shared" si="15"/>
        <v>640017</v>
      </c>
    </row>
    <row r="162" spans="1:15" s="136" customFormat="1" ht="15.75" customHeight="1" x14ac:dyDescent="0.2">
      <c r="A162" s="779"/>
      <c r="B162" s="779"/>
      <c r="C162" s="795" t="s">
        <v>1272</v>
      </c>
      <c r="D162" s="457">
        <v>191901</v>
      </c>
      <c r="E162" s="436">
        <f>0+táj.1!E162</f>
        <v>0</v>
      </c>
      <c r="F162" s="436">
        <f>7901+táj.1!F162</f>
        <v>7901</v>
      </c>
      <c r="G162" s="436">
        <f>0+táj.1!G162</f>
        <v>0</v>
      </c>
      <c r="H162" s="436">
        <f>0+táj.1!H162</f>
        <v>0</v>
      </c>
      <c r="I162" s="436">
        <f>0+táj.1!I162</f>
        <v>0</v>
      </c>
      <c r="J162" s="436">
        <f>0+táj.1!J162</f>
        <v>0</v>
      </c>
      <c r="K162" s="436">
        <f>0+táj.1!K162</f>
        <v>0</v>
      </c>
      <c r="L162" s="436">
        <f>0+táj.1!L162</f>
        <v>0</v>
      </c>
      <c r="M162" s="436">
        <f>0+táj.1!M162</f>
        <v>0</v>
      </c>
      <c r="N162" s="436">
        <f>0+táj.1!N162</f>
        <v>0</v>
      </c>
      <c r="O162" s="437">
        <f t="shared" si="15"/>
        <v>7901</v>
      </c>
    </row>
    <row r="163" spans="1:15" s="136" customFormat="1" ht="22.5" customHeight="1" x14ac:dyDescent="0.2">
      <c r="A163" s="575"/>
      <c r="B163" s="575"/>
      <c r="C163" s="576" t="s">
        <v>1109</v>
      </c>
      <c r="D163" s="577">
        <v>191901</v>
      </c>
      <c r="E163" s="436">
        <f>29920+táj.1!E163</f>
        <v>0</v>
      </c>
      <c r="F163" s="436">
        <f>0+táj.1!F163</f>
        <v>0</v>
      </c>
      <c r="G163" s="436">
        <f>0+táj.1!G163</f>
        <v>0</v>
      </c>
      <c r="H163" s="436">
        <f>0+táj.1!H163</f>
        <v>0</v>
      </c>
      <c r="I163" s="436">
        <f>0+táj.1!I163</f>
        <v>0</v>
      </c>
      <c r="J163" s="436">
        <f>0+táj.1!J163</f>
        <v>0</v>
      </c>
      <c r="K163" s="436">
        <f>0+táj.1!K163</f>
        <v>0</v>
      </c>
      <c r="L163" s="436">
        <f>0+táj.1!L163</f>
        <v>0</v>
      </c>
      <c r="M163" s="436">
        <f>0+táj.1!M163</f>
        <v>0</v>
      </c>
      <c r="N163" s="436">
        <f>0+táj.1!N163</f>
        <v>0</v>
      </c>
      <c r="O163" s="437">
        <f t="shared" si="15"/>
        <v>0</v>
      </c>
    </row>
    <row r="164" spans="1:15" s="136" customFormat="1" ht="28.5" customHeight="1" x14ac:dyDescent="0.2">
      <c r="A164" s="146"/>
      <c r="B164" s="146"/>
      <c r="C164" s="461" t="s">
        <v>333</v>
      </c>
      <c r="D164" s="462"/>
      <c r="E164" s="436"/>
      <c r="F164" s="436"/>
      <c r="G164" s="436"/>
      <c r="H164" s="436"/>
      <c r="I164" s="436"/>
      <c r="J164" s="436"/>
      <c r="K164" s="436"/>
      <c r="L164" s="436"/>
      <c r="M164" s="436"/>
      <c r="N164" s="436"/>
      <c r="O164" s="437"/>
    </row>
    <row r="165" spans="1:15" s="136" customFormat="1" ht="14.1" customHeight="1" x14ac:dyDescent="0.2">
      <c r="A165" s="146"/>
      <c r="B165" s="146"/>
      <c r="C165" s="459" t="s">
        <v>334</v>
      </c>
      <c r="D165" s="460">
        <v>191907</v>
      </c>
      <c r="E165" s="436">
        <f>0+táj.1!E165</f>
        <v>0</v>
      </c>
      <c r="F165" s="436">
        <f>0+táj.1!F165</f>
        <v>0</v>
      </c>
      <c r="G165" s="436">
        <f>3400000+táj.1!G165</f>
        <v>3400000</v>
      </c>
      <c r="H165" s="436">
        <f>0+táj.1!H165</f>
        <v>0</v>
      </c>
      <c r="I165" s="436">
        <f>0+táj.1!I165</f>
        <v>0</v>
      </c>
      <c r="J165" s="436">
        <f>0+táj.1!J165</f>
        <v>0</v>
      </c>
      <c r="K165" s="436">
        <f>0+táj.1!K165</f>
        <v>0</v>
      </c>
      <c r="L165" s="436">
        <f>0+táj.1!L165</f>
        <v>0</v>
      </c>
      <c r="M165" s="436">
        <f>0+táj.1!M165</f>
        <v>0</v>
      </c>
      <c r="N165" s="436">
        <f>0+táj.1!N165</f>
        <v>0</v>
      </c>
      <c r="O165" s="437">
        <f t="shared" ref="O165:O169" si="16">SUM(E165:N165)</f>
        <v>3400000</v>
      </c>
    </row>
    <row r="166" spans="1:15" s="136" customFormat="1" ht="14.1" customHeight="1" x14ac:dyDescent="0.2">
      <c r="A166" s="146"/>
      <c r="B166" s="146"/>
      <c r="C166" s="459" t="s">
        <v>336</v>
      </c>
      <c r="D166" s="460">
        <v>191907</v>
      </c>
      <c r="E166" s="436">
        <f>0+táj.1!E166</f>
        <v>0</v>
      </c>
      <c r="F166" s="436">
        <f>0+táj.1!F166</f>
        <v>0</v>
      </c>
      <c r="G166" s="436">
        <f>5000+táj.1!G166</f>
        <v>5000</v>
      </c>
      <c r="H166" s="436">
        <f>0+táj.1!H166</f>
        <v>0</v>
      </c>
      <c r="I166" s="436">
        <f>0+táj.1!I166</f>
        <v>0</v>
      </c>
      <c r="J166" s="436">
        <f>0+táj.1!J166</f>
        <v>0</v>
      </c>
      <c r="K166" s="436">
        <f>0+táj.1!K166</f>
        <v>0</v>
      </c>
      <c r="L166" s="436">
        <f>0+táj.1!L166</f>
        <v>0</v>
      </c>
      <c r="M166" s="436">
        <f>0+táj.1!M166</f>
        <v>0</v>
      </c>
      <c r="N166" s="436">
        <f>0+táj.1!N166</f>
        <v>0</v>
      </c>
      <c r="O166" s="437">
        <f t="shared" si="16"/>
        <v>5000</v>
      </c>
    </row>
    <row r="167" spans="1:15" s="136" customFormat="1" ht="14.1" customHeight="1" x14ac:dyDescent="0.2">
      <c r="A167" s="146"/>
      <c r="B167" s="146"/>
      <c r="C167" s="459" t="s">
        <v>337</v>
      </c>
      <c r="D167" s="460">
        <v>191907</v>
      </c>
      <c r="E167" s="436">
        <f>0+táj.1!E167</f>
        <v>0</v>
      </c>
      <c r="F167" s="436">
        <f>0+táj.1!F167</f>
        <v>0</v>
      </c>
      <c r="G167" s="436">
        <f>1068747+táj.1!G167</f>
        <v>1068747</v>
      </c>
      <c r="H167" s="436">
        <f>0+táj.1!H167</f>
        <v>0</v>
      </c>
      <c r="I167" s="436">
        <f>0+táj.1!I167</f>
        <v>0</v>
      </c>
      <c r="J167" s="436">
        <f>0+táj.1!J167</f>
        <v>0</v>
      </c>
      <c r="K167" s="436">
        <f>0+táj.1!K167</f>
        <v>0</v>
      </c>
      <c r="L167" s="436">
        <f>0+táj.1!L167</f>
        <v>0</v>
      </c>
      <c r="M167" s="436">
        <f>0+táj.1!M167</f>
        <v>0</v>
      </c>
      <c r="N167" s="436">
        <f>0+táj.1!N167</f>
        <v>0</v>
      </c>
      <c r="O167" s="437">
        <f t="shared" si="16"/>
        <v>1068747</v>
      </c>
    </row>
    <row r="168" spans="1:15" s="136" customFormat="1" ht="14.1" customHeight="1" x14ac:dyDescent="0.2">
      <c r="A168" s="146"/>
      <c r="B168" s="146"/>
      <c r="C168" s="459" t="s">
        <v>338</v>
      </c>
      <c r="D168" s="460">
        <v>191907</v>
      </c>
      <c r="E168" s="436">
        <f>0+táj.1!E168</f>
        <v>0</v>
      </c>
      <c r="F168" s="436">
        <f>0+táj.1!F168</f>
        <v>0</v>
      </c>
      <c r="G168" s="436">
        <f>23000+táj.1!G168</f>
        <v>23000</v>
      </c>
      <c r="H168" s="436">
        <f>0+táj.1!H168</f>
        <v>0</v>
      </c>
      <c r="I168" s="436">
        <f>0+táj.1!I168</f>
        <v>0</v>
      </c>
      <c r="J168" s="436">
        <f>0+táj.1!J168</f>
        <v>0</v>
      </c>
      <c r="K168" s="436">
        <f>0+táj.1!K168</f>
        <v>0</v>
      </c>
      <c r="L168" s="436">
        <f>0+táj.1!L168</f>
        <v>0</v>
      </c>
      <c r="M168" s="436">
        <f>0+táj.1!M168</f>
        <v>0</v>
      </c>
      <c r="N168" s="436">
        <f>0+táj.1!N168</f>
        <v>0</v>
      </c>
      <c r="O168" s="437">
        <f t="shared" si="16"/>
        <v>23000</v>
      </c>
    </row>
    <row r="169" spans="1:15" s="136" customFormat="1" ht="14.1" customHeight="1" x14ac:dyDescent="0.2">
      <c r="A169" s="658"/>
      <c r="B169" s="658"/>
      <c r="C169" s="459" t="s">
        <v>335</v>
      </c>
      <c r="D169" s="460">
        <v>191907</v>
      </c>
      <c r="E169" s="436">
        <f>0+táj.1!E169</f>
        <v>0</v>
      </c>
      <c r="F169" s="436">
        <f>0+táj.1!F169</f>
        <v>0</v>
      </c>
      <c r="G169" s="436">
        <f>0+táj.1!G169</f>
        <v>16000</v>
      </c>
      <c r="H169" s="436">
        <f>0+táj.1!H169</f>
        <v>0</v>
      </c>
      <c r="I169" s="436">
        <f>0+táj.1!I169</f>
        <v>0</v>
      </c>
      <c r="J169" s="436">
        <f>0+táj.1!J169</f>
        <v>0</v>
      </c>
      <c r="K169" s="436">
        <f>0+táj.1!K169</f>
        <v>0</v>
      </c>
      <c r="L169" s="436">
        <f>0+táj.1!L169</f>
        <v>0</v>
      </c>
      <c r="M169" s="436">
        <f>0+táj.1!M169</f>
        <v>0</v>
      </c>
      <c r="N169" s="436">
        <f>0+táj.1!N169</f>
        <v>0</v>
      </c>
      <c r="O169" s="437">
        <f t="shared" si="16"/>
        <v>16000</v>
      </c>
    </row>
    <row r="170" spans="1:15" s="136" customFormat="1" ht="24.75" customHeight="1" x14ac:dyDescent="0.2">
      <c r="A170" s="146"/>
      <c r="B170" s="146"/>
      <c r="C170" s="450" t="s">
        <v>339</v>
      </c>
      <c r="D170" s="481"/>
      <c r="E170" s="436"/>
      <c r="F170" s="436"/>
      <c r="G170" s="436"/>
      <c r="H170" s="436"/>
      <c r="I170" s="436"/>
      <c r="J170" s="436"/>
      <c r="K170" s="436"/>
      <c r="L170" s="436"/>
      <c r="M170" s="436"/>
      <c r="N170" s="436"/>
      <c r="O170" s="437"/>
    </row>
    <row r="171" spans="1:15" s="136" customFormat="1" ht="36.75" customHeight="1" x14ac:dyDescent="0.2">
      <c r="A171" s="146"/>
      <c r="B171" s="146"/>
      <c r="C171" s="446" t="s">
        <v>340</v>
      </c>
      <c r="D171" s="481">
        <v>191158</v>
      </c>
      <c r="E171" s="436">
        <f>27000+táj.1!E171</f>
        <v>27000</v>
      </c>
      <c r="F171" s="436">
        <f>0+táj.1!F171</f>
        <v>0</v>
      </c>
      <c r="G171" s="436">
        <f>0+táj.1!G171</f>
        <v>0</v>
      </c>
      <c r="H171" s="436">
        <f>0+táj.1!H171</f>
        <v>0</v>
      </c>
      <c r="I171" s="436">
        <f>0+táj.1!I171</f>
        <v>0</v>
      </c>
      <c r="J171" s="436">
        <f>0+táj.1!J171</f>
        <v>0</v>
      </c>
      <c r="K171" s="436">
        <f>0+táj.1!K171</f>
        <v>0</v>
      </c>
      <c r="L171" s="436">
        <f>0+táj.1!L171</f>
        <v>0</v>
      </c>
      <c r="M171" s="436">
        <f>0+táj.1!M171</f>
        <v>0</v>
      </c>
      <c r="N171" s="436">
        <f>0+táj.1!N171</f>
        <v>0</v>
      </c>
      <c r="O171" s="437">
        <f>SUM(E171:N171)</f>
        <v>27000</v>
      </c>
    </row>
    <row r="172" spans="1:15" s="136" customFormat="1" ht="15" customHeight="1" x14ac:dyDescent="0.2">
      <c r="A172" s="146"/>
      <c r="B172" s="146"/>
      <c r="C172" s="446" t="s">
        <v>341</v>
      </c>
      <c r="D172" s="481"/>
      <c r="E172" s="436"/>
      <c r="F172" s="436"/>
      <c r="G172" s="436"/>
      <c r="H172" s="436"/>
      <c r="I172" s="436"/>
      <c r="J172" s="436"/>
      <c r="K172" s="436"/>
      <c r="L172" s="436"/>
      <c r="M172" s="436"/>
      <c r="N172" s="436"/>
      <c r="O172" s="437"/>
    </row>
    <row r="173" spans="1:15" s="136" customFormat="1" ht="24.95" customHeight="1" x14ac:dyDescent="0.2">
      <c r="A173" s="146"/>
      <c r="B173" s="146"/>
      <c r="C173" s="461" t="s">
        <v>342</v>
      </c>
      <c r="D173" s="470">
        <v>191906</v>
      </c>
      <c r="E173" s="436">
        <f>16350+táj.1!E173</f>
        <v>16350</v>
      </c>
      <c r="F173" s="436">
        <f>0+táj.1!F173</f>
        <v>0</v>
      </c>
      <c r="G173" s="436">
        <f>0+táj.1!G173</f>
        <v>0</v>
      </c>
      <c r="H173" s="436">
        <f>0+táj.1!H173</f>
        <v>0</v>
      </c>
      <c r="I173" s="436">
        <f>0+táj.1!I173</f>
        <v>0</v>
      </c>
      <c r="J173" s="436">
        <f>0+táj.1!J173</f>
        <v>0</v>
      </c>
      <c r="K173" s="436">
        <f>0+táj.1!K173</f>
        <v>0</v>
      </c>
      <c r="L173" s="436">
        <f>0+táj.1!L173</f>
        <v>0</v>
      </c>
      <c r="M173" s="436">
        <f>0+táj.1!M173</f>
        <v>0</v>
      </c>
      <c r="N173" s="436">
        <f>0+táj.1!N173</f>
        <v>0</v>
      </c>
      <c r="O173" s="437">
        <f>SUM(E173:N173)</f>
        <v>16350</v>
      </c>
    </row>
    <row r="174" spans="1:15" s="136" customFormat="1" ht="17.25" customHeight="1" x14ac:dyDescent="0.2">
      <c r="A174" s="779"/>
      <c r="B174" s="779"/>
      <c r="C174" s="783" t="s">
        <v>238</v>
      </c>
      <c r="D174" s="786"/>
      <c r="E174" s="436"/>
      <c r="F174" s="785"/>
      <c r="G174" s="785"/>
      <c r="H174" s="785"/>
      <c r="I174" s="785"/>
      <c r="J174" s="785"/>
      <c r="K174" s="785"/>
      <c r="L174" s="785"/>
      <c r="M174" s="785"/>
      <c r="N174" s="785"/>
      <c r="O174" s="437"/>
    </row>
    <row r="175" spans="1:15" s="136" customFormat="1" ht="16.5" customHeight="1" x14ac:dyDescent="0.2">
      <c r="A175" s="779"/>
      <c r="B175" s="779"/>
      <c r="C175" s="787" t="s">
        <v>1264</v>
      </c>
      <c r="D175" s="788">
        <v>191193</v>
      </c>
      <c r="E175" s="436">
        <f>0+táj.1!E175</f>
        <v>0</v>
      </c>
      <c r="F175" s="436">
        <f>0+táj.1!F175</f>
        <v>0</v>
      </c>
      <c r="G175" s="436">
        <f>0+táj.1!G175</f>
        <v>0</v>
      </c>
      <c r="H175" s="436">
        <f>0+táj.1!H175</f>
        <v>0</v>
      </c>
      <c r="I175" s="436">
        <f>0+táj.1!I175</f>
        <v>0</v>
      </c>
      <c r="J175" s="436">
        <f>16500+táj.1!J175</f>
        <v>23400</v>
      </c>
      <c r="K175" s="436">
        <f>0+táj.1!K175</f>
        <v>0</v>
      </c>
      <c r="L175" s="436">
        <f>0+táj.1!L175</f>
        <v>0</v>
      </c>
      <c r="M175" s="436">
        <f>0+táj.1!M175</f>
        <v>0</v>
      </c>
      <c r="N175" s="436">
        <f>0+táj.1!N175</f>
        <v>0</v>
      </c>
      <c r="O175" s="437">
        <f t="shared" ref="O175:O177" si="17">SUM(E175:N175)</f>
        <v>23400</v>
      </c>
    </row>
    <row r="176" spans="1:15" s="136" customFormat="1" ht="16.5" customHeight="1" x14ac:dyDescent="0.2">
      <c r="A176" s="779"/>
      <c r="B176" s="779"/>
      <c r="C176" s="783" t="s">
        <v>943</v>
      </c>
      <c r="D176" s="786"/>
      <c r="E176" s="436"/>
      <c r="F176" s="785"/>
      <c r="G176" s="785"/>
      <c r="H176" s="785"/>
      <c r="I176" s="785"/>
      <c r="J176" s="785"/>
      <c r="K176" s="785"/>
      <c r="L176" s="785"/>
      <c r="M176" s="785"/>
      <c r="N176" s="785"/>
      <c r="O176" s="437"/>
    </row>
    <row r="177" spans="1:15" s="136" customFormat="1" ht="16.5" customHeight="1" x14ac:dyDescent="0.2">
      <c r="A177" s="779"/>
      <c r="B177" s="779"/>
      <c r="C177" s="783" t="s">
        <v>944</v>
      </c>
      <c r="D177" s="786">
        <v>191111</v>
      </c>
      <c r="E177" s="436">
        <f>150+táj.1!E177</f>
        <v>150</v>
      </c>
      <c r="F177" s="436">
        <f>0+táj.1!F177</f>
        <v>0</v>
      </c>
      <c r="G177" s="436">
        <f>0+táj.1!G177</f>
        <v>0</v>
      </c>
      <c r="H177" s="436">
        <f>0+táj.1!H177</f>
        <v>0</v>
      </c>
      <c r="I177" s="436">
        <f>0+táj.1!I177</f>
        <v>0</v>
      </c>
      <c r="J177" s="436">
        <f>0+táj.1!J177</f>
        <v>0</v>
      </c>
      <c r="K177" s="436">
        <f>0+táj.1!K177</f>
        <v>0</v>
      </c>
      <c r="L177" s="436">
        <f>0+táj.1!L177</f>
        <v>0</v>
      </c>
      <c r="M177" s="436">
        <f>0+táj.1!M177</f>
        <v>0</v>
      </c>
      <c r="N177" s="436">
        <f>0+táj.1!N177</f>
        <v>0</v>
      </c>
      <c r="O177" s="437">
        <f t="shared" si="17"/>
        <v>150</v>
      </c>
    </row>
    <row r="178" spans="1:15" s="136" customFormat="1" ht="15.75" customHeight="1" x14ac:dyDescent="0.2">
      <c r="A178" s="158"/>
      <c r="B178" s="151"/>
      <c r="C178" s="452" t="s">
        <v>343</v>
      </c>
      <c r="D178" s="453"/>
      <c r="E178" s="454">
        <f>SUM(E150:E177)</f>
        <v>4450193</v>
      </c>
      <c r="F178" s="454">
        <f t="shared" ref="F178:O178" si="18">SUM(F150:F177)</f>
        <v>647918</v>
      </c>
      <c r="G178" s="454">
        <f t="shared" si="18"/>
        <v>4512747</v>
      </c>
      <c r="H178" s="454">
        <f t="shared" si="18"/>
        <v>106285</v>
      </c>
      <c r="I178" s="454">
        <f t="shared" si="18"/>
        <v>0</v>
      </c>
      <c r="J178" s="454">
        <f t="shared" si="18"/>
        <v>23400</v>
      </c>
      <c r="K178" s="454">
        <f t="shared" si="18"/>
        <v>500</v>
      </c>
      <c r="L178" s="454">
        <f t="shared" si="18"/>
        <v>0</v>
      </c>
      <c r="M178" s="454">
        <f t="shared" si="18"/>
        <v>3074627</v>
      </c>
      <c r="N178" s="454">
        <f t="shared" si="18"/>
        <v>12050000</v>
      </c>
      <c r="O178" s="454">
        <f t="shared" si="18"/>
        <v>24865670</v>
      </c>
    </row>
    <row r="179" spans="1:15" s="136" customFormat="1" ht="17.100000000000001" customHeight="1" x14ac:dyDescent="0.2">
      <c r="A179" s="146">
        <v>1</v>
      </c>
      <c r="B179" s="146">
        <v>22</v>
      </c>
      <c r="C179" s="455" t="s">
        <v>10</v>
      </c>
      <c r="D179" s="456"/>
      <c r="E179" s="474"/>
      <c r="F179" s="474"/>
      <c r="G179" s="474"/>
      <c r="H179" s="474"/>
      <c r="I179" s="474"/>
      <c r="J179" s="474"/>
      <c r="K179" s="474"/>
      <c r="L179" s="474"/>
      <c r="M179" s="474"/>
      <c r="N179" s="474"/>
      <c r="O179" s="474"/>
    </row>
    <row r="180" spans="1:15" s="136" customFormat="1" ht="17.100000000000001" customHeight="1" x14ac:dyDescent="0.2">
      <c r="A180" s="146"/>
      <c r="B180" s="152"/>
      <c r="C180" s="154" t="s">
        <v>229</v>
      </c>
      <c r="D180" s="456"/>
      <c r="E180" s="474"/>
      <c r="F180" s="474"/>
      <c r="G180" s="474"/>
      <c r="H180" s="474"/>
      <c r="I180" s="474"/>
      <c r="J180" s="474"/>
      <c r="K180" s="474"/>
      <c r="L180" s="474"/>
      <c r="M180" s="474"/>
      <c r="N180" s="474"/>
      <c r="O180" s="474"/>
    </row>
    <row r="181" spans="1:15" s="136" customFormat="1" ht="23.25" customHeight="1" x14ac:dyDescent="0.2">
      <c r="A181" s="779"/>
      <c r="B181" s="789"/>
      <c r="C181" s="791" t="s">
        <v>1265</v>
      </c>
      <c r="D181" s="575">
        <v>222919</v>
      </c>
      <c r="E181" s="793">
        <f>táj.1!E181</f>
        <v>0</v>
      </c>
      <c r="F181" s="793">
        <f>táj.1!F181</f>
        <v>0</v>
      </c>
      <c r="G181" s="793">
        <f>táj.1!G181</f>
        <v>0</v>
      </c>
      <c r="H181" s="793">
        <f>táj.1!H181</f>
        <v>0</v>
      </c>
      <c r="I181" s="793">
        <f>táj.1!I181</f>
        <v>0</v>
      </c>
      <c r="J181" s="793">
        <f>0+táj.1!J181</f>
        <v>0</v>
      </c>
      <c r="K181" s="793">
        <f>546+táj.1!K181</f>
        <v>546</v>
      </c>
      <c r="L181" s="793">
        <f>táj.1!L181</f>
        <v>0</v>
      </c>
      <c r="M181" s="793">
        <f>táj.1!M181</f>
        <v>0</v>
      </c>
      <c r="N181" s="793">
        <f>táj.1!N181</f>
        <v>0</v>
      </c>
      <c r="O181" s="793">
        <f>SUM(E181:N181)</f>
        <v>546</v>
      </c>
    </row>
    <row r="182" spans="1:15" s="136" customFormat="1" ht="17.100000000000001" customHeight="1" x14ac:dyDescent="0.2">
      <c r="A182" s="779"/>
      <c r="B182" s="789"/>
      <c r="C182" s="694" t="s">
        <v>955</v>
      </c>
      <c r="D182" s="575">
        <v>221939</v>
      </c>
      <c r="E182" s="793">
        <f>40+táj.1!E182</f>
        <v>40</v>
      </c>
      <c r="F182" s="793">
        <f>táj.1!F182</f>
        <v>0</v>
      </c>
      <c r="G182" s="793">
        <f>táj.1!G182</f>
        <v>0</v>
      </c>
      <c r="H182" s="793">
        <f>táj.1!H182</f>
        <v>0</v>
      </c>
      <c r="I182" s="793">
        <f>táj.1!I182</f>
        <v>0</v>
      </c>
      <c r="J182" s="793">
        <f>táj.1!J182</f>
        <v>0</v>
      </c>
      <c r="K182" s="793">
        <f>táj.1!K182</f>
        <v>0</v>
      </c>
      <c r="L182" s="793">
        <f>táj.1!L182</f>
        <v>0</v>
      </c>
      <c r="M182" s="793">
        <f>táj.1!M182</f>
        <v>0</v>
      </c>
      <c r="N182" s="793">
        <f>táj.1!N182</f>
        <v>0</v>
      </c>
      <c r="O182" s="793">
        <f t="shared" ref="O182:O186" si="19">SUM(E182:N182)</f>
        <v>40</v>
      </c>
    </row>
    <row r="183" spans="1:15" s="136" customFormat="1" ht="17.100000000000001" customHeight="1" x14ac:dyDescent="0.2">
      <c r="A183" s="779"/>
      <c r="B183" s="789"/>
      <c r="C183" s="784" t="s">
        <v>952</v>
      </c>
      <c r="D183" s="779">
        <v>221916</v>
      </c>
      <c r="E183" s="793">
        <f>táj.1!E183</f>
        <v>0</v>
      </c>
      <c r="F183" s="793">
        <f>táj.1!F183</f>
        <v>0</v>
      </c>
      <c r="G183" s="793">
        <f>táj.1!G183</f>
        <v>0</v>
      </c>
      <c r="H183" s="793">
        <f>táj.1!H183</f>
        <v>0</v>
      </c>
      <c r="I183" s="793">
        <f>táj.1!I183</f>
        <v>0</v>
      </c>
      <c r="J183" s="793">
        <f>13564+táj.1!J183</f>
        <v>13564</v>
      </c>
      <c r="K183" s="793">
        <f>táj.1!K183</f>
        <v>0</v>
      </c>
      <c r="L183" s="793">
        <f>táj.1!L183</f>
        <v>0</v>
      </c>
      <c r="M183" s="793">
        <f>táj.1!M183</f>
        <v>0</v>
      </c>
      <c r="N183" s="793">
        <f>táj.1!N183</f>
        <v>0</v>
      </c>
      <c r="O183" s="793">
        <f t="shared" si="19"/>
        <v>13564</v>
      </c>
    </row>
    <row r="184" spans="1:15" s="136" customFormat="1" ht="23.25" customHeight="1" x14ac:dyDescent="0.2">
      <c r="A184" s="869"/>
      <c r="B184" s="874"/>
      <c r="C184" s="877" t="s">
        <v>310</v>
      </c>
      <c r="D184" s="874"/>
      <c r="E184" s="793"/>
      <c r="F184" s="875"/>
      <c r="G184" s="875"/>
      <c r="H184" s="875"/>
      <c r="I184" s="875"/>
      <c r="J184" s="875"/>
      <c r="K184" s="875"/>
      <c r="L184" s="875"/>
      <c r="M184" s="875"/>
      <c r="N184" s="875"/>
      <c r="O184" s="793"/>
    </row>
    <row r="185" spans="1:15" s="136" customFormat="1" ht="17.100000000000001" customHeight="1" x14ac:dyDescent="0.2">
      <c r="A185" s="869"/>
      <c r="B185" s="874"/>
      <c r="C185" s="866" t="s">
        <v>1333</v>
      </c>
      <c r="D185" s="888">
        <v>221964</v>
      </c>
      <c r="E185" s="793">
        <f>táj.1!E185</f>
        <v>0</v>
      </c>
      <c r="F185" s="793">
        <f>táj.1!F185</f>
        <v>0</v>
      </c>
      <c r="G185" s="793">
        <f>táj.1!G185</f>
        <v>0</v>
      </c>
      <c r="H185" s="793">
        <f>táj.1!H185</f>
        <v>0</v>
      </c>
      <c r="I185" s="793">
        <f>táj.1!I185</f>
        <v>0</v>
      </c>
      <c r="J185" s="793">
        <f>7500+táj.1!J185</f>
        <v>4000</v>
      </c>
      <c r="K185" s="793">
        <f>75000+táj.1!K185</f>
        <v>78500</v>
      </c>
      <c r="L185" s="793">
        <f>táj.1!L185</f>
        <v>0</v>
      </c>
      <c r="M185" s="793">
        <f>táj.1!M185</f>
        <v>0</v>
      </c>
      <c r="N185" s="793">
        <f>táj.1!N185</f>
        <v>0</v>
      </c>
      <c r="O185" s="793">
        <f t="shared" si="19"/>
        <v>82500</v>
      </c>
    </row>
    <row r="186" spans="1:15" s="136" customFormat="1" ht="17.100000000000001" customHeight="1" x14ac:dyDescent="0.2">
      <c r="A186" s="779"/>
      <c r="B186" s="789"/>
      <c r="C186" s="792" t="s">
        <v>1266</v>
      </c>
      <c r="D186" s="575" t="s">
        <v>1267</v>
      </c>
      <c r="E186" s="793">
        <f>150+táj.1!E186</f>
        <v>150</v>
      </c>
      <c r="F186" s="793">
        <f>táj.1!F186</f>
        <v>0</v>
      </c>
      <c r="G186" s="793">
        <f>táj.1!G186</f>
        <v>0</v>
      </c>
      <c r="H186" s="793">
        <f>8+táj.1!H186</f>
        <v>8</v>
      </c>
      <c r="I186" s="793">
        <f>táj.1!I186</f>
        <v>0</v>
      </c>
      <c r="J186" s="793">
        <f>táj.1!J186</f>
        <v>0</v>
      </c>
      <c r="K186" s="793">
        <f>táj.1!K186</f>
        <v>0</v>
      </c>
      <c r="L186" s="793">
        <f>táj.1!L186</f>
        <v>0</v>
      </c>
      <c r="M186" s="793">
        <f>táj.1!M186</f>
        <v>0</v>
      </c>
      <c r="N186" s="793">
        <f>táj.1!N186</f>
        <v>0</v>
      </c>
      <c r="O186" s="793">
        <f t="shared" si="19"/>
        <v>158</v>
      </c>
    </row>
    <row r="187" spans="1:15" s="136" customFormat="1" ht="17.100000000000001" customHeight="1" x14ac:dyDescent="0.2">
      <c r="A187" s="158"/>
      <c r="B187" s="151"/>
      <c r="C187" s="452" t="s">
        <v>344</v>
      </c>
      <c r="D187" s="453"/>
      <c r="E187" s="454">
        <f>SUM(E179:E186)</f>
        <v>190</v>
      </c>
      <c r="F187" s="454">
        <f t="shared" ref="F187:O187" si="20">SUM(F179:F186)</f>
        <v>0</v>
      </c>
      <c r="G187" s="454">
        <f t="shared" si="20"/>
        <v>0</v>
      </c>
      <c r="H187" s="454">
        <f t="shared" si="20"/>
        <v>8</v>
      </c>
      <c r="I187" s="454">
        <f t="shared" si="20"/>
        <v>0</v>
      </c>
      <c r="J187" s="454">
        <f t="shared" si="20"/>
        <v>17564</v>
      </c>
      <c r="K187" s="454">
        <f t="shared" si="20"/>
        <v>79046</v>
      </c>
      <c r="L187" s="454">
        <f t="shared" si="20"/>
        <v>0</v>
      </c>
      <c r="M187" s="454">
        <f t="shared" si="20"/>
        <v>0</v>
      </c>
      <c r="N187" s="454">
        <f t="shared" si="20"/>
        <v>0</v>
      </c>
      <c r="O187" s="454">
        <f t="shared" si="20"/>
        <v>96808</v>
      </c>
    </row>
    <row r="188" spans="1:15" s="136" customFormat="1" ht="24.95" customHeight="1" x14ac:dyDescent="0.2">
      <c r="A188" s="151"/>
      <c r="B188" s="151"/>
      <c r="C188" s="483" t="s">
        <v>13</v>
      </c>
      <c r="D188" s="484"/>
      <c r="E188" s="454">
        <f t="shared" ref="E188:O188" si="21">SUM(E10+E34+E39+E57+E112+E140+E148+E178+E187)</f>
        <v>6525573</v>
      </c>
      <c r="F188" s="454">
        <f t="shared" si="21"/>
        <v>18596432</v>
      </c>
      <c r="G188" s="454">
        <f t="shared" si="21"/>
        <v>4515747</v>
      </c>
      <c r="H188" s="454">
        <f t="shared" si="21"/>
        <v>4817168</v>
      </c>
      <c r="I188" s="454">
        <f t="shared" si="21"/>
        <v>311403</v>
      </c>
      <c r="J188" s="454">
        <f t="shared" si="21"/>
        <v>44818</v>
      </c>
      <c r="K188" s="454">
        <f t="shared" si="21"/>
        <v>216409</v>
      </c>
      <c r="L188" s="454">
        <f t="shared" si="21"/>
        <v>34841</v>
      </c>
      <c r="M188" s="454">
        <f t="shared" si="21"/>
        <v>10612000</v>
      </c>
      <c r="N188" s="454">
        <f t="shared" si="21"/>
        <v>26115437</v>
      </c>
      <c r="O188" s="454">
        <f t="shared" si="21"/>
        <v>71789828</v>
      </c>
    </row>
    <row r="189" spans="1:15" s="808" customFormat="1" ht="15.95" customHeight="1" x14ac:dyDescent="0.2">
      <c r="A189" s="146">
        <v>2</v>
      </c>
      <c r="B189" s="146"/>
      <c r="C189" s="806" t="s">
        <v>196</v>
      </c>
      <c r="D189" s="807"/>
      <c r="E189" s="805">
        <f>'9'!E21</f>
        <v>1078659</v>
      </c>
      <c r="F189" s="805">
        <f>'9'!F21</f>
        <v>65250</v>
      </c>
      <c r="G189" s="805">
        <f>'9'!G21</f>
        <v>0</v>
      </c>
      <c r="H189" s="805">
        <f>'9'!H21</f>
        <v>1230620</v>
      </c>
      <c r="I189" s="805">
        <f>'9'!I21</f>
        <v>0</v>
      </c>
      <c r="J189" s="805">
        <f>'9'!J21</f>
        <v>4998</v>
      </c>
      <c r="K189" s="805">
        <f>'9'!K21</f>
        <v>250</v>
      </c>
      <c r="L189" s="805"/>
      <c r="M189" s="805">
        <f>'9'!L21</f>
        <v>822445</v>
      </c>
      <c r="N189" s="805"/>
      <c r="O189" s="805">
        <f>SUM(E189:N189)</f>
        <v>3202222</v>
      </c>
    </row>
    <row r="190" spans="1:15" s="136" customFormat="1" ht="15.95" customHeight="1" x14ac:dyDescent="0.2">
      <c r="A190" s="151"/>
      <c r="B190" s="151"/>
      <c r="C190" s="487" t="s">
        <v>186</v>
      </c>
      <c r="D190" s="453"/>
      <c r="E190" s="454">
        <f>SUM(E188:E189)</f>
        <v>7604232</v>
      </c>
      <c r="F190" s="454">
        <f t="shared" ref="F190:O190" si="22">SUM(F188:F189)</f>
        <v>18661682</v>
      </c>
      <c r="G190" s="454">
        <f t="shared" si="22"/>
        <v>4515747</v>
      </c>
      <c r="H190" s="454">
        <f t="shared" si="22"/>
        <v>6047788</v>
      </c>
      <c r="I190" s="454">
        <f t="shared" si="22"/>
        <v>311403</v>
      </c>
      <c r="J190" s="454">
        <f t="shared" si="22"/>
        <v>49816</v>
      </c>
      <c r="K190" s="454">
        <f t="shared" si="22"/>
        <v>216659</v>
      </c>
      <c r="L190" s="454">
        <f t="shared" si="22"/>
        <v>34841</v>
      </c>
      <c r="M190" s="454">
        <f t="shared" si="22"/>
        <v>11434445</v>
      </c>
      <c r="N190" s="454">
        <f t="shared" si="22"/>
        <v>26115437</v>
      </c>
      <c r="O190" s="454">
        <f t="shared" si="22"/>
        <v>74992050</v>
      </c>
    </row>
    <row r="191" spans="1:15" x14ac:dyDescent="0.2">
      <c r="O191" s="161"/>
    </row>
    <row r="192" spans="1:15" x14ac:dyDescent="0.2">
      <c r="O192" s="161"/>
    </row>
    <row r="193" spans="13:15" x14ac:dyDescent="0.2">
      <c r="M193" s="952"/>
      <c r="N193" s="952"/>
      <c r="O193" s="161"/>
    </row>
    <row r="194" spans="13:15" x14ac:dyDescent="0.2">
      <c r="M194" s="952"/>
      <c r="N194" s="952"/>
      <c r="O194" s="161"/>
    </row>
    <row r="195" spans="13:15" x14ac:dyDescent="0.2">
      <c r="M195" s="952"/>
      <c r="N195" s="952"/>
    </row>
    <row r="196" spans="13:15" x14ac:dyDescent="0.2">
      <c r="O196" s="161"/>
    </row>
  </sheetData>
  <mergeCells count="10">
    <mergeCell ref="O1:O2"/>
    <mergeCell ref="M193:N193"/>
    <mergeCell ref="M194:N194"/>
    <mergeCell ref="M195:N195"/>
    <mergeCell ref="A1:A2"/>
    <mergeCell ref="B1:B2"/>
    <mergeCell ref="C1:C2"/>
    <mergeCell ref="D1:D2"/>
    <mergeCell ref="E1:K1"/>
    <mergeCell ref="L1:N1"/>
  </mergeCells>
  <phoneticPr fontId="96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2021.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H32" sqref="H32"/>
      <selection pane="bottomLeft" activeCell="E28" sqref="E28"/>
    </sheetView>
  </sheetViews>
  <sheetFormatPr defaultRowHeight="12" x14ac:dyDescent="0.2"/>
  <cols>
    <col min="1" max="1" width="4.33203125" style="19" customWidth="1"/>
    <col min="2" max="2" width="7" style="19" customWidth="1"/>
    <col min="3" max="3" width="23.6640625" style="19" customWidth="1"/>
    <col min="4" max="4" width="10.6640625" style="19" customWidth="1"/>
    <col min="5" max="5" width="11.83203125" style="19" customWidth="1"/>
    <col min="6" max="6" width="10.5" style="19" customWidth="1"/>
    <col min="7" max="7" width="9.83203125" style="19" customWidth="1"/>
    <col min="8" max="8" width="10.5" style="19" customWidth="1"/>
    <col min="9" max="9" width="10.83203125" style="19" customWidth="1"/>
    <col min="10" max="10" width="10.6640625" style="19" customWidth="1"/>
    <col min="11" max="11" width="9.5" style="19" customWidth="1"/>
    <col min="12" max="12" width="11.33203125" style="19" customWidth="1"/>
    <col min="13" max="13" width="11.83203125" style="19" customWidth="1"/>
    <col min="14" max="14" width="12" style="31" customWidth="1"/>
    <col min="15" max="16384" width="9.33203125" style="19"/>
  </cols>
  <sheetData>
    <row r="1" spans="1:14" ht="12.75" customHeight="1" x14ac:dyDescent="0.2">
      <c r="A1" s="958" t="s">
        <v>97</v>
      </c>
      <c r="B1" s="958" t="s">
        <v>98</v>
      </c>
      <c r="C1" s="958" t="s">
        <v>137</v>
      </c>
      <c r="D1" s="957" t="s">
        <v>143</v>
      </c>
      <c r="E1" s="957"/>
      <c r="F1" s="957"/>
      <c r="G1" s="957"/>
      <c r="H1" s="957"/>
      <c r="I1" s="957"/>
      <c r="J1" s="957"/>
      <c r="K1" s="957"/>
      <c r="L1" s="957" t="s">
        <v>142</v>
      </c>
      <c r="M1" s="957"/>
      <c r="N1" s="958" t="s">
        <v>194</v>
      </c>
    </row>
    <row r="2" spans="1:14" s="28" customFormat="1" ht="60" customHeight="1" x14ac:dyDescent="0.2">
      <c r="A2" s="958"/>
      <c r="B2" s="958"/>
      <c r="C2" s="958"/>
      <c r="D2" s="89" t="s">
        <v>121</v>
      </c>
      <c r="E2" s="89" t="s">
        <v>212</v>
      </c>
      <c r="F2" s="89" t="s">
        <v>206</v>
      </c>
      <c r="G2" s="89" t="s">
        <v>18</v>
      </c>
      <c r="H2" s="89" t="s">
        <v>33</v>
      </c>
      <c r="I2" s="89" t="s">
        <v>24</v>
      </c>
      <c r="J2" s="89" t="s">
        <v>23</v>
      </c>
      <c r="K2" s="89" t="s">
        <v>19</v>
      </c>
      <c r="L2" s="89" t="s">
        <v>147</v>
      </c>
      <c r="M2" s="89" t="s">
        <v>149</v>
      </c>
      <c r="N2" s="958"/>
    </row>
    <row r="3" spans="1:14" s="28" customFormat="1" ht="15" customHeight="1" x14ac:dyDescent="0.2">
      <c r="A3" s="2">
        <v>1</v>
      </c>
      <c r="B3" s="2"/>
      <c r="C3" s="55" t="s">
        <v>195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8" customFormat="1" ht="15" customHeight="1" x14ac:dyDescent="0.2">
      <c r="A4" s="2">
        <v>1</v>
      </c>
      <c r="B4" s="2">
        <v>1</v>
      </c>
      <c r="C4" s="7" t="s">
        <v>6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9" customFormat="1" ht="24.95" customHeight="1" x14ac:dyDescent="0.2">
      <c r="A5" s="4"/>
      <c r="B5" s="4">
        <v>12</v>
      </c>
      <c r="C5" s="99" t="s">
        <v>108</v>
      </c>
      <c r="D5" s="57">
        <f>'8'!G46</f>
        <v>150</v>
      </c>
      <c r="E5" s="57">
        <f>'8'!H46</f>
        <v>4950</v>
      </c>
      <c r="F5" s="57">
        <f>'8'!I46</f>
        <v>32155</v>
      </c>
      <c r="G5" s="57">
        <f>'8'!J46</f>
        <v>88920</v>
      </c>
      <c r="H5" s="57">
        <f>'8'!K46</f>
        <v>3343</v>
      </c>
      <c r="I5" s="57">
        <f>'8'!L46</f>
        <v>0</v>
      </c>
      <c r="J5" s="57">
        <f>'8'!M46</f>
        <v>0</v>
      </c>
      <c r="K5" s="57">
        <f>'8'!N46</f>
        <v>21919</v>
      </c>
      <c r="L5" s="57">
        <f>'8'!O46</f>
        <v>0</v>
      </c>
      <c r="M5" s="57">
        <f>'8'!P46</f>
        <v>0</v>
      </c>
      <c r="N5" s="5">
        <f>SUM(D5:M5)</f>
        <v>151437</v>
      </c>
    </row>
    <row r="6" spans="1:14" s="29" customFormat="1" ht="14.1" customHeight="1" x14ac:dyDescent="0.2">
      <c r="A6" s="4"/>
      <c r="B6" s="4">
        <v>13</v>
      </c>
      <c r="C6" s="55" t="s">
        <v>109</v>
      </c>
      <c r="D6" s="57">
        <f>'8'!G217</f>
        <v>3339</v>
      </c>
      <c r="E6" s="57">
        <f>'8'!H217</f>
        <v>1247</v>
      </c>
      <c r="F6" s="57">
        <f>'8'!I217</f>
        <v>40583</v>
      </c>
      <c r="G6" s="57">
        <f>'8'!J217</f>
        <v>6000</v>
      </c>
      <c r="H6" s="57">
        <f>'8'!K217</f>
        <v>935640</v>
      </c>
      <c r="I6" s="57">
        <f>'8'!L217</f>
        <v>109263</v>
      </c>
      <c r="J6" s="57">
        <f>'8'!M217</f>
        <v>122774</v>
      </c>
      <c r="K6" s="57">
        <f>'8'!N217</f>
        <v>35140</v>
      </c>
      <c r="L6" s="57">
        <f>'8'!O217</f>
        <v>0</v>
      </c>
      <c r="M6" s="57">
        <f>'8'!P217</f>
        <v>0</v>
      </c>
      <c r="N6" s="5">
        <f t="shared" ref="N6:N14" si="0">SUM(D6:M6)</f>
        <v>1253986</v>
      </c>
    </row>
    <row r="7" spans="1:14" s="29" customFormat="1" ht="14.1" customHeight="1" x14ac:dyDescent="0.2">
      <c r="A7" s="4"/>
      <c r="B7" s="4">
        <v>14</v>
      </c>
      <c r="C7" s="55" t="s">
        <v>197</v>
      </c>
      <c r="D7" s="57">
        <f>'8'!G229</f>
        <v>0</v>
      </c>
      <c r="E7" s="57">
        <f>'8'!H229</f>
        <v>0</v>
      </c>
      <c r="F7" s="57">
        <f>'8'!I229</f>
        <v>9377</v>
      </c>
      <c r="G7" s="57">
        <f>'8'!J229</f>
        <v>0</v>
      </c>
      <c r="H7" s="57">
        <f>'8'!K229</f>
        <v>0</v>
      </c>
      <c r="I7" s="57">
        <f>'8'!L229</f>
        <v>14062</v>
      </c>
      <c r="J7" s="57">
        <f>'8'!M229</f>
        <v>0</v>
      </c>
      <c r="K7" s="57">
        <f>'8'!N229</f>
        <v>6513</v>
      </c>
      <c r="L7" s="57">
        <f>'8'!O229</f>
        <v>0</v>
      </c>
      <c r="M7" s="57">
        <f>'8'!P229</f>
        <v>0</v>
      </c>
      <c r="N7" s="5">
        <f t="shared" si="0"/>
        <v>29952</v>
      </c>
    </row>
    <row r="8" spans="1:14" s="29" customFormat="1" ht="14.1" customHeight="1" x14ac:dyDescent="0.2">
      <c r="A8" s="4"/>
      <c r="B8" s="4">
        <v>15</v>
      </c>
      <c r="C8" s="61" t="s">
        <v>140</v>
      </c>
      <c r="D8" s="57">
        <f>'8'!G479</f>
        <v>8253</v>
      </c>
      <c r="E8" s="57">
        <f>'8'!H479</f>
        <v>1208</v>
      </c>
      <c r="F8" s="57">
        <f>'8'!I479</f>
        <v>1837325</v>
      </c>
      <c r="G8" s="57">
        <f>'8'!J479</f>
        <v>0</v>
      </c>
      <c r="H8" s="57">
        <f>'8'!K479</f>
        <v>665199</v>
      </c>
      <c r="I8" s="57">
        <f>'8'!L479</f>
        <v>258533</v>
      </c>
      <c r="J8" s="57">
        <f>'8'!M479</f>
        <v>214005</v>
      </c>
      <c r="K8" s="57">
        <f>'8'!N479</f>
        <v>5000</v>
      </c>
      <c r="L8" s="57">
        <f>'8'!O479</f>
        <v>0</v>
      </c>
      <c r="M8" s="57">
        <f>'8'!P479</f>
        <v>0</v>
      </c>
      <c r="N8" s="5">
        <f t="shared" si="0"/>
        <v>2989523</v>
      </c>
    </row>
    <row r="9" spans="1:14" s="29" customFormat="1" ht="14.1" customHeight="1" x14ac:dyDescent="0.2">
      <c r="A9" s="4"/>
      <c r="B9" s="4">
        <v>16</v>
      </c>
      <c r="C9" s="61" t="s">
        <v>128</v>
      </c>
      <c r="D9" s="57">
        <f>'8'!G623</f>
        <v>47035</v>
      </c>
      <c r="E9" s="57">
        <f>'8'!H623</f>
        <v>9310</v>
      </c>
      <c r="F9" s="57">
        <f>'8'!I623</f>
        <v>5973995</v>
      </c>
      <c r="G9" s="57">
        <f>'8'!J623</f>
        <v>0</v>
      </c>
      <c r="H9" s="57">
        <f>'8'!K623</f>
        <v>5704</v>
      </c>
      <c r="I9" s="57">
        <f>'8'!L623</f>
        <v>33371950</v>
      </c>
      <c r="J9" s="57">
        <f>'8'!M623</f>
        <v>6106105</v>
      </c>
      <c r="K9" s="57">
        <f>'8'!N623</f>
        <v>15514</v>
      </c>
      <c r="L9" s="57">
        <f>'8'!O623</f>
        <v>0</v>
      </c>
      <c r="M9" s="57">
        <f>'8'!P623</f>
        <v>0</v>
      </c>
      <c r="N9" s="5">
        <f t="shared" si="0"/>
        <v>45529613</v>
      </c>
    </row>
    <row r="10" spans="1:14" s="29" customFormat="1" ht="14.1" customHeight="1" x14ac:dyDescent="0.2">
      <c r="A10" s="4"/>
      <c r="B10" s="4">
        <v>17</v>
      </c>
      <c r="C10" s="61" t="s">
        <v>141</v>
      </c>
      <c r="D10" s="57">
        <f>'8'!G646</f>
        <v>0</v>
      </c>
      <c r="E10" s="57">
        <f>'8'!H646</f>
        <v>0</v>
      </c>
      <c r="F10" s="57">
        <f>'8'!I646</f>
        <v>71028</v>
      </c>
      <c r="G10" s="57">
        <f>'8'!J646</f>
        <v>0</v>
      </c>
      <c r="H10" s="57">
        <f>'8'!K646</f>
        <v>0</v>
      </c>
      <c r="I10" s="57">
        <f>'8'!L646</f>
        <v>47149</v>
      </c>
      <c r="J10" s="57">
        <f>'8'!M646</f>
        <v>1548</v>
      </c>
      <c r="K10" s="57">
        <f>'8'!N646</f>
        <v>43806</v>
      </c>
      <c r="L10" s="57">
        <f>'8'!O646</f>
        <v>0</v>
      </c>
      <c r="M10" s="57">
        <f>'8'!P646</f>
        <v>350000</v>
      </c>
      <c r="N10" s="5">
        <f t="shared" si="0"/>
        <v>513531</v>
      </c>
    </row>
    <row r="11" spans="1:14" s="29" customFormat="1" ht="14.1" customHeight="1" x14ac:dyDescent="0.2">
      <c r="A11" s="4"/>
      <c r="B11" s="4">
        <v>18</v>
      </c>
      <c r="C11" s="105" t="s">
        <v>22</v>
      </c>
      <c r="D11" s="57">
        <f>'8'!G668</f>
        <v>148407</v>
      </c>
      <c r="E11" s="57">
        <f>'8'!H668</f>
        <v>23403</v>
      </c>
      <c r="F11" s="57">
        <f>'8'!I668</f>
        <v>77097</v>
      </c>
      <c r="G11" s="57">
        <f>'8'!J668</f>
        <v>0</v>
      </c>
      <c r="H11" s="57">
        <f>'8'!K668</f>
        <v>6500</v>
      </c>
      <c r="I11" s="57">
        <f>'8'!L668</f>
        <v>7500</v>
      </c>
      <c r="J11" s="57">
        <f>'8'!M668</f>
        <v>0</v>
      </c>
      <c r="K11" s="57">
        <f>'8'!N668</f>
        <v>0</v>
      </c>
      <c r="L11" s="57">
        <f>'8'!O668</f>
        <v>0</v>
      </c>
      <c r="M11" s="57">
        <f>'8'!P668</f>
        <v>0</v>
      </c>
      <c r="N11" s="5">
        <f t="shared" si="0"/>
        <v>262907</v>
      </c>
    </row>
    <row r="12" spans="1:14" s="29" customFormat="1" ht="14.1" customHeight="1" x14ac:dyDescent="0.2">
      <c r="A12" s="4"/>
      <c r="B12" s="4">
        <v>19</v>
      </c>
      <c r="C12" s="60" t="s">
        <v>95</v>
      </c>
      <c r="D12" s="57">
        <f>'8'!G702</f>
        <v>0</v>
      </c>
      <c r="E12" s="57">
        <f>'8'!H702</f>
        <v>0</v>
      </c>
      <c r="F12" s="57">
        <f>'8'!I702</f>
        <v>380962</v>
      </c>
      <c r="G12" s="57">
        <f>'8'!J702</f>
        <v>0</v>
      </c>
      <c r="H12" s="57">
        <f>'8'!K702</f>
        <v>1504423</v>
      </c>
      <c r="I12" s="57">
        <f>'8'!L702</f>
        <v>0</v>
      </c>
      <c r="J12" s="57">
        <f>'8'!M702</f>
        <v>0</v>
      </c>
      <c r="K12" s="57">
        <f>'8'!N702</f>
        <v>5965</v>
      </c>
      <c r="L12" s="57">
        <f>'8'!O702</f>
        <v>111534</v>
      </c>
      <c r="M12" s="57">
        <f>'8'!P702</f>
        <v>11669029</v>
      </c>
      <c r="N12" s="5">
        <f t="shared" si="0"/>
        <v>13671913</v>
      </c>
    </row>
    <row r="13" spans="1:14" s="29" customFormat="1" ht="27" customHeight="1" x14ac:dyDescent="0.2">
      <c r="A13" s="4"/>
      <c r="B13" s="4">
        <v>22</v>
      </c>
      <c r="C13" s="98" t="s">
        <v>11</v>
      </c>
      <c r="D13" s="57">
        <f>'8'!G748</f>
        <v>14901</v>
      </c>
      <c r="E13" s="57">
        <f>'8'!H748</f>
        <v>6342</v>
      </c>
      <c r="F13" s="57">
        <f>'8'!I748</f>
        <v>157310</v>
      </c>
      <c r="G13" s="57">
        <f>'8'!J748</f>
        <v>0</v>
      </c>
      <c r="H13" s="57">
        <f>'8'!K748</f>
        <v>312546</v>
      </c>
      <c r="I13" s="57">
        <f>'8'!L748</f>
        <v>361982</v>
      </c>
      <c r="J13" s="57">
        <f>'8'!M748</f>
        <v>0</v>
      </c>
      <c r="K13" s="57">
        <f>'8'!N748</f>
        <v>3096</v>
      </c>
      <c r="L13" s="57">
        <f>'8'!O748</f>
        <v>0</v>
      </c>
      <c r="M13" s="57">
        <f>'8'!P748</f>
        <v>0</v>
      </c>
      <c r="N13" s="5">
        <f t="shared" si="0"/>
        <v>856177</v>
      </c>
    </row>
    <row r="14" spans="1:14" s="29" customFormat="1" ht="12.95" customHeight="1" x14ac:dyDescent="0.2">
      <c r="A14" s="4"/>
      <c r="B14" s="4">
        <v>30</v>
      </c>
      <c r="C14" s="6" t="s">
        <v>8</v>
      </c>
      <c r="D14" s="57">
        <f>'8'!G768</f>
        <v>0</v>
      </c>
      <c r="E14" s="57">
        <f>'8'!H768</f>
        <v>0</v>
      </c>
      <c r="F14" s="57">
        <f>'8'!I768</f>
        <v>0</v>
      </c>
      <c r="G14" s="57">
        <f>'8'!J768</f>
        <v>0</v>
      </c>
      <c r="H14" s="57">
        <f>'8'!K768</f>
        <v>761164</v>
      </c>
      <c r="I14" s="57">
        <f>'8'!L768</f>
        <v>21285</v>
      </c>
      <c r="J14" s="57">
        <f>'8'!M768</f>
        <v>8731</v>
      </c>
      <c r="K14" s="57">
        <f>'8'!N768</f>
        <v>0</v>
      </c>
      <c r="L14" s="57">
        <f>'8'!O768</f>
        <v>0</v>
      </c>
      <c r="M14" s="57">
        <f>'8'!P768</f>
        <v>0</v>
      </c>
      <c r="N14" s="5">
        <f t="shared" si="0"/>
        <v>791180</v>
      </c>
    </row>
    <row r="15" spans="1:14" s="30" customFormat="1" ht="34.5" customHeight="1" x14ac:dyDescent="0.2">
      <c r="A15" s="62"/>
      <c r="B15" s="62"/>
      <c r="C15" s="86" t="s">
        <v>13</v>
      </c>
      <c r="D15" s="8">
        <f>SUM(D3:D14)</f>
        <v>222085</v>
      </c>
      <c r="E15" s="8">
        <f>SUM(E3:E14)</f>
        <v>46460</v>
      </c>
      <c r="F15" s="8">
        <f t="shared" ref="F15:N15" si="1">SUM(F5:F14)</f>
        <v>8579832</v>
      </c>
      <c r="G15" s="8">
        <f t="shared" si="1"/>
        <v>94920</v>
      </c>
      <c r="H15" s="8">
        <f t="shared" si="1"/>
        <v>4194519</v>
      </c>
      <c r="I15" s="8">
        <f t="shared" si="1"/>
        <v>34191724</v>
      </c>
      <c r="J15" s="8">
        <f t="shared" si="1"/>
        <v>6453163</v>
      </c>
      <c r="K15" s="8">
        <f t="shared" si="1"/>
        <v>136953</v>
      </c>
      <c r="L15" s="8">
        <f t="shared" si="1"/>
        <v>111534</v>
      </c>
      <c r="M15" s="8">
        <f t="shared" si="1"/>
        <v>12019029</v>
      </c>
      <c r="N15" s="8">
        <f t="shared" si="1"/>
        <v>66050219</v>
      </c>
    </row>
    <row r="16" spans="1:14" s="30" customFormat="1" ht="12.95" customHeight="1" x14ac:dyDescent="0.2">
      <c r="A16" s="812">
        <v>2</v>
      </c>
      <c r="B16" s="812"/>
      <c r="C16" s="813" t="s">
        <v>196</v>
      </c>
      <c r="D16" s="57">
        <f>'10'!E21</f>
        <v>4863065</v>
      </c>
      <c r="E16" s="57">
        <f>'10'!F21</f>
        <v>836033</v>
      </c>
      <c r="F16" s="57">
        <f>'10'!G21</f>
        <v>2728937</v>
      </c>
      <c r="G16" s="57">
        <f>'10'!H21</f>
        <v>4092</v>
      </c>
      <c r="H16" s="57">
        <f>'10'!I21</f>
        <v>169316</v>
      </c>
      <c r="I16" s="57">
        <f>'10'!J21</f>
        <v>301343</v>
      </c>
      <c r="J16" s="57">
        <f>'10'!K21</f>
        <v>38745</v>
      </c>
      <c r="K16" s="57">
        <f>'10'!L21</f>
        <v>300</v>
      </c>
      <c r="L16" s="57"/>
      <c r="M16" s="57"/>
      <c r="N16" s="57">
        <f>SUM(D16:M16)</f>
        <v>8941831</v>
      </c>
    </row>
    <row r="17" spans="1:14" s="30" customFormat="1" ht="12.95" customHeight="1" x14ac:dyDescent="0.2">
      <c r="A17" s="62"/>
      <c r="B17" s="62"/>
      <c r="C17" s="9" t="s">
        <v>186</v>
      </c>
      <c r="D17" s="8">
        <f t="shared" ref="D17:N17" si="2">SUM(D15:D16)</f>
        <v>5085150</v>
      </c>
      <c r="E17" s="8">
        <f t="shared" si="2"/>
        <v>882493</v>
      </c>
      <c r="F17" s="8">
        <f t="shared" si="2"/>
        <v>11308769</v>
      </c>
      <c r="G17" s="8">
        <f t="shared" si="2"/>
        <v>99012</v>
      </c>
      <c r="H17" s="8">
        <f t="shared" ref="H17:M17" si="3">SUM(H15:H16)</f>
        <v>4363835</v>
      </c>
      <c r="I17" s="8">
        <f t="shared" si="3"/>
        <v>34493067</v>
      </c>
      <c r="J17" s="8">
        <f t="shared" si="3"/>
        <v>6491908</v>
      </c>
      <c r="K17" s="8">
        <f t="shared" si="3"/>
        <v>137253</v>
      </c>
      <c r="L17" s="8">
        <f t="shared" si="3"/>
        <v>111534</v>
      </c>
      <c r="M17" s="8">
        <f t="shared" si="3"/>
        <v>12019029</v>
      </c>
      <c r="N17" s="8">
        <f t="shared" si="2"/>
        <v>74992050</v>
      </c>
    </row>
    <row r="19" spans="1:14" x14ac:dyDescent="0.2">
      <c r="N19" s="108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2021.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773"/>
  <sheetViews>
    <sheetView topLeftCell="C1" zoomScaleNormal="100" zoomScaleSheetLayoutView="120" workbookViewId="0">
      <pane ySplit="2" topLeftCell="A201" activePane="bottomLeft" state="frozen"/>
      <selection activeCell="H32" sqref="H32"/>
      <selection pane="bottomLeft" activeCell="F211" sqref="F211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385" customWidth="1"/>
    <col min="14" max="14" width="8.83203125" style="385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7" ht="25.5" customHeight="1" x14ac:dyDescent="0.2">
      <c r="A1" s="966" t="s">
        <v>97</v>
      </c>
      <c r="B1" s="966" t="s">
        <v>98</v>
      </c>
      <c r="C1" s="966" t="s">
        <v>21</v>
      </c>
      <c r="D1" s="968" t="s">
        <v>137</v>
      </c>
      <c r="E1" s="970" t="s">
        <v>345</v>
      </c>
      <c r="F1" s="972" t="s">
        <v>228</v>
      </c>
      <c r="G1" s="959" t="s">
        <v>143</v>
      </c>
      <c r="H1" s="960"/>
      <c r="I1" s="960"/>
      <c r="J1" s="960"/>
      <c r="K1" s="960"/>
      <c r="L1" s="960"/>
      <c r="M1" s="960"/>
      <c r="N1" s="961"/>
      <c r="O1" s="962" t="s">
        <v>142</v>
      </c>
      <c r="P1" s="961"/>
      <c r="Q1" s="963" t="s">
        <v>346</v>
      </c>
    </row>
    <row r="2" spans="1:17" ht="57.95" customHeight="1" thickBot="1" x14ac:dyDescent="0.25">
      <c r="A2" s="967"/>
      <c r="B2" s="967"/>
      <c r="C2" s="967"/>
      <c r="D2" s="969"/>
      <c r="E2" s="971"/>
      <c r="F2" s="973"/>
      <c r="G2" s="537" t="s">
        <v>121</v>
      </c>
      <c r="H2" s="163" t="s">
        <v>212</v>
      </c>
      <c r="I2" s="163" t="s">
        <v>206</v>
      </c>
      <c r="J2" s="163" t="s">
        <v>18</v>
      </c>
      <c r="K2" s="163" t="s">
        <v>33</v>
      </c>
      <c r="L2" s="163" t="s">
        <v>24</v>
      </c>
      <c r="M2" s="163" t="s">
        <v>23</v>
      </c>
      <c r="N2" s="163" t="s">
        <v>19</v>
      </c>
      <c r="O2" s="164" t="s">
        <v>147</v>
      </c>
      <c r="P2" s="165" t="s">
        <v>149</v>
      </c>
      <c r="Q2" s="964"/>
    </row>
    <row r="3" spans="1:17" ht="16.5" customHeight="1" x14ac:dyDescent="0.2">
      <c r="A3" s="166">
        <v>1</v>
      </c>
      <c r="B3" s="167"/>
      <c r="C3" s="168"/>
      <c r="D3" s="169" t="s">
        <v>347</v>
      </c>
      <c r="E3" s="170"/>
      <c r="F3" s="171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3"/>
    </row>
    <row r="4" spans="1:17" ht="12.75" customHeight="1" x14ac:dyDescent="0.2">
      <c r="A4" s="167">
        <v>1</v>
      </c>
      <c r="B4" s="167">
        <v>1</v>
      </c>
      <c r="C4" s="167"/>
      <c r="D4" s="169" t="s">
        <v>6</v>
      </c>
      <c r="E4" s="148"/>
      <c r="F4" s="174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</row>
    <row r="5" spans="1:17" ht="12" customHeight="1" x14ac:dyDescent="0.2">
      <c r="A5" s="175">
        <v>1</v>
      </c>
      <c r="B5" s="175">
        <v>12</v>
      </c>
      <c r="C5" s="175"/>
      <c r="D5" s="176" t="s">
        <v>108</v>
      </c>
      <c r="E5" s="177"/>
      <c r="F5" s="178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</row>
    <row r="6" spans="1:17" ht="14.45" customHeight="1" x14ac:dyDescent="0.2">
      <c r="A6" s="175"/>
      <c r="B6" s="175"/>
      <c r="C6" s="180"/>
      <c r="D6" s="181" t="s">
        <v>348</v>
      </c>
      <c r="E6" s="182"/>
      <c r="F6" s="183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</row>
    <row r="7" spans="1:17" ht="14.45" customHeight="1" x14ac:dyDescent="0.2">
      <c r="A7" s="175"/>
      <c r="B7" s="175"/>
      <c r="C7" s="180"/>
      <c r="D7" s="184" t="s">
        <v>349</v>
      </c>
      <c r="E7" s="185">
        <v>2</v>
      </c>
      <c r="F7" s="186">
        <v>121103</v>
      </c>
      <c r="G7" s="179">
        <f>0+táj.2!G7</f>
        <v>0</v>
      </c>
      <c r="H7" s="179">
        <f>0+táj.2!H7</f>
        <v>0</v>
      </c>
      <c r="I7" s="179">
        <f>0+táj.2!I7</f>
        <v>0</v>
      </c>
      <c r="J7" s="179">
        <f>6000+táj.2!J7</f>
        <v>6000</v>
      </c>
      <c r="K7" s="179">
        <f>0+táj.2!K7</f>
        <v>0</v>
      </c>
      <c r="L7" s="179">
        <f>0+táj.2!L7</f>
        <v>0</v>
      </c>
      <c r="M7" s="179">
        <f>0+táj.2!M7</f>
        <v>0</v>
      </c>
      <c r="N7" s="179">
        <f>0+táj.2!N7</f>
        <v>0</v>
      </c>
      <c r="O7" s="179">
        <f>0+táj.2!O7</f>
        <v>0</v>
      </c>
      <c r="P7" s="179">
        <f>0+táj.2!P7</f>
        <v>0</v>
      </c>
      <c r="Q7" s="179">
        <f>SUM(G7:P7)</f>
        <v>6000</v>
      </c>
    </row>
    <row r="8" spans="1:17" ht="14.45" customHeight="1" x14ac:dyDescent="0.2">
      <c r="A8" s="175"/>
      <c r="B8" s="175"/>
      <c r="C8" s="180"/>
      <c r="D8" s="184" t="s">
        <v>350</v>
      </c>
      <c r="E8" s="185"/>
      <c r="F8" s="186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</row>
    <row r="9" spans="1:17" ht="14.45" customHeight="1" x14ac:dyDescent="0.2">
      <c r="A9" s="175"/>
      <c r="B9" s="175"/>
      <c r="C9" s="180"/>
      <c r="D9" s="184" t="s">
        <v>351</v>
      </c>
      <c r="E9" s="185">
        <v>2</v>
      </c>
      <c r="F9" s="186">
        <v>121104</v>
      </c>
      <c r="G9" s="179">
        <f>0+táj.2!G9</f>
        <v>0</v>
      </c>
      <c r="H9" s="179">
        <f>0+táj.2!H9</f>
        <v>0</v>
      </c>
      <c r="I9" s="179">
        <f>0+táj.2!I9</f>
        <v>0</v>
      </c>
      <c r="J9" s="179">
        <f>20000+táj.2!J9</f>
        <v>20000</v>
      </c>
      <c r="K9" s="179">
        <f>0+táj.2!K9</f>
        <v>0</v>
      </c>
      <c r="L9" s="179">
        <f>0+táj.2!L9</f>
        <v>0</v>
      </c>
      <c r="M9" s="179">
        <f>0+táj.2!M9</f>
        <v>0</v>
      </c>
      <c r="N9" s="179">
        <f>0+táj.2!N9</f>
        <v>0</v>
      </c>
      <c r="O9" s="179">
        <f>0+táj.2!O9</f>
        <v>0</v>
      </c>
      <c r="P9" s="179">
        <f>0+táj.2!P9</f>
        <v>0</v>
      </c>
      <c r="Q9" s="179">
        <f>SUM(G9:P9)</f>
        <v>20000</v>
      </c>
    </row>
    <row r="10" spans="1:17" ht="24" customHeight="1" x14ac:dyDescent="0.2">
      <c r="A10" s="175"/>
      <c r="B10" s="175"/>
      <c r="C10" s="180"/>
      <c r="D10" s="492" t="s">
        <v>352</v>
      </c>
      <c r="E10" s="185">
        <v>2</v>
      </c>
      <c r="F10" s="186">
        <v>121117</v>
      </c>
      <c r="G10" s="179">
        <f>0+táj.2!G10</f>
        <v>0</v>
      </c>
      <c r="H10" s="179">
        <f>0+táj.2!H10</f>
        <v>0</v>
      </c>
      <c r="I10" s="179">
        <f>0+táj.2!I10</f>
        <v>0</v>
      </c>
      <c r="J10" s="179">
        <f>8000+táj.2!J10</f>
        <v>8000</v>
      </c>
      <c r="K10" s="179">
        <f>0+táj.2!K10</f>
        <v>0</v>
      </c>
      <c r="L10" s="179">
        <f>0+táj.2!L10</f>
        <v>0</v>
      </c>
      <c r="M10" s="179">
        <f>0+táj.2!M10</f>
        <v>0</v>
      </c>
      <c r="N10" s="179">
        <f>0+táj.2!N10</f>
        <v>0</v>
      </c>
      <c r="O10" s="179">
        <f>0+táj.2!O10</f>
        <v>0</v>
      </c>
      <c r="P10" s="179">
        <f>0+táj.2!P10</f>
        <v>0</v>
      </c>
      <c r="Q10" s="179">
        <f>SUM(G10:P10)</f>
        <v>8000</v>
      </c>
    </row>
    <row r="11" spans="1:17" ht="14.45" customHeight="1" x14ac:dyDescent="0.2">
      <c r="A11" s="175"/>
      <c r="B11" s="175"/>
      <c r="C11" s="180"/>
      <c r="D11" s="493" t="s">
        <v>353</v>
      </c>
      <c r="E11" s="185"/>
      <c r="F11" s="186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</row>
    <row r="12" spans="1:17" ht="14.45" customHeight="1" x14ac:dyDescent="0.2">
      <c r="A12" s="175"/>
      <c r="B12" s="175"/>
      <c r="C12" s="180"/>
      <c r="D12" s="493" t="s">
        <v>354</v>
      </c>
      <c r="E12" s="185">
        <v>2</v>
      </c>
      <c r="F12" s="186">
        <v>121111</v>
      </c>
      <c r="G12" s="179">
        <f>0+táj.2!G12</f>
        <v>0</v>
      </c>
      <c r="H12" s="179">
        <f>0+táj.2!H12</f>
        <v>0</v>
      </c>
      <c r="I12" s="179">
        <f>0+táj.2!I12</f>
        <v>0</v>
      </c>
      <c r="J12" s="179">
        <f>1600+táj.2!J12</f>
        <v>1600</v>
      </c>
      <c r="K12" s="179">
        <f>0+táj.2!K12</f>
        <v>0</v>
      </c>
      <c r="L12" s="179">
        <f>0+táj.2!L12</f>
        <v>0</v>
      </c>
      <c r="M12" s="179">
        <f>0+táj.2!M12</f>
        <v>0</v>
      </c>
      <c r="N12" s="179">
        <f>0+táj.2!N12</f>
        <v>0</v>
      </c>
      <c r="O12" s="179">
        <f>0+táj.2!O12</f>
        <v>0</v>
      </c>
      <c r="P12" s="179">
        <f>0+táj.2!P12</f>
        <v>0</v>
      </c>
      <c r="Q12" s="179">
        <f t="shared" ref="Q12:Q16" si="0">SUM(G12:P12)</f>
        <v>1600</v>
      </c>
    </row>
    <row r="13" spans="1:17" ht="14.45" customHeight="1" x14ac:dyDescent="0.2">
      <c r="A13" s="175"/>
      <c r="B13" s="175"/>
      <c r="C13" s="180"/>
      <c r="D13" s="493" t="s">
        <v>355</v>
      </c>
      <c r="E13" s="185">
        <v>2</v>
      </c>
      <c r="F13" s="185">
        <v>121127</v>
      </c>
      <c r="G13" s="179">
        <f>0+táj.2!G13</f>
        <v>0</v>
      </c>
      <c r="H13" s="179">
        <f>0+táj.2!H13</f>
        <v>0</v>
      </c>
      <c r="I13" s="179">
        <f>0+táj.2!I13</f>
        <v>0</v>
      </c>
      <c r="J13" s="179">
        <f>4000+táj.2!J13</f>
        <v>4000</v>
      </c>
      <c r="K13" s="179">
        <f>0+táj.2!K13</f>
        <v>0</v>
      </c>
      <c r="L13" s="179">
        <f>0+táj.2!L13</f>
        <v>0</v>
      </c>
      <c r="M13" s="179">
        <f>0+táj.2!M13</f>
        <v>0</v>
      </c>
      <c r="N13" s="179">
        <f>0+táj.2!N13</f>
        <v>0</v>
      </c>
      <c r="O13" s="179">
        <f>0+táj.2!O13</f>
        <v>0</v>
      </c>
      <c r="P13" s="179">
        <f>0+táj.2!P13</f>
        <v>0</v>
      </c>
      <c r="Q13" s="179">
        <f t="shared" si="0"/>
        <v>4000</v>
      </c>
    </row>
    <row r="14" spans="1:17" ht="14.45" customHeight="1" x14ac:dyDescent="0.2">
      <c r="A14" s="175"/>
      <c r="B14" s="175"/>
      <c r="C14" s="180"/>
      <c r="D14" s="493" t="s">
        <v>356</v>
      </c>
      <c r="E14" s="185">
        <v>2</v>
      </c>
      <c r="F14" s="185">
        <v>121115</v>
      </c>
      <c r="G14" s="179">
        <f>0+táj.2!G14</f>
        <v>0</v>
      </c>
      <c r="H14" s="179">
        <f>0+táj.2!H14</f>
        <v>0</v>
      </c>
      <c r="I14" s="179">
        <f>0+táj.2!I14</f>
        <v>0</v>
      </c>
      <c r="J14" s="179">
        <f>700+táj.2!J14</f>
        <v>700</v>
      </c>
      <c r="K14" s="179">
        <f>0+táj.2!K14</f>
        <v>0</v>
      </c>
      <c r="L14" s="179">
        <f>0+táj.2!L14</f>
        <v>0</v>
      </c>
      <c r="M14" s="179">
        <f>0+táj.2!M14</f>
        <v>0</v>
      </c>
      <c r="N14" s="179">
        <f>0+táj.2!N14</f>
        <v>0</v>
      </c>
      <c r="O14" s="179">
        <f>0+táj.2!O14</f>
        <v>0</v>
      </c>
      <c r="P14" s="179">
        <f>0+táj.2!P14</f>
        <v>0</v>
      </c>
      <c r="Q14" s="179">
        <f t="shared" si="0"/>
        <v>700</v>
      </c>
    </row>
    <row r="15" spans="1:17" ht="14.45" customHeight="1" x14ac:dyDescent="0.2">
      <c r="A15" s="175"/>
      <c r="B15" s="175"/>
      <c r="C15" s="180"/>
      <c r="D15" s="493" t="s">
        <v>357</v>
      </c>
      <c r="E15" s="185">
        <v>2</v>
      </c>
      <c r="F15" s="185">
        <v>121129</v>
      </c>
      <c r="G15" s="179">
        <f>0+táj.2!G15</f>
        <v>0</v>
      </c>
      <c r="H15" s="179">
        <f>0+táj.2!H15</f>
        <v>0</v>
      </c>
      <c r="I15" s="179">
        <f>0+táj.2!I15</f>
        <v>0</v>
      </c>
      <c r="J15" s="179">
        <f>3000+táj.2!J15</f>
        <v>3000</v>
      </c>
      <c r="K15" s="179">
        <f>0+táj.2!K15</f>
        <v>0</v>
      </c>
      <c r="L15" s="179">
        <f>0+táj.2!L15</f>
        <v>0</v>
      </c>
      <c r="M15" s="179">
        <f>0+táj.2!M15</f>
        <v>0</v>
      </c>
      <c r="N15" s="179">
        <f>0+táj.2!N15</f>
        <v>0</v>
      </c>
      <c r="O15" s="179">
        <f>0+táj.2!O15</f>
        <v>0</v>
      </c>
      <c r="P15" s="179">
        <f>0+táj.2!P15</f>
        <v>0</v>
      </c>
      <c r="Q15" s="179">
        <f t="shared" si="0"/>
        <v>3000</v>
      </c>
    </row>
    <row r="16" spans="1:17" ht="14.45" customHeight="1" x14ac:dyDescent="0.2">
      <c r="A16" s="175"/>
      <c r="B16" s="175"/>
      <c r="C16" s="180"/>
      <c r="D16" s="494" t="s">
        <v>358</v>
      </c>
      <c r="E16" s="185">
        <v>2</v>
      </c>
      <c r="F16" s="185">
        <v>121106</v>
      </c>
      <c r="G16" s="179">
        <f>0+táj.2!G16</f>
        <v>0</v>
      </c>
      <c r="H16" s="179">
        <f>0+táj.2!H16</f>
        <v>0</v>
      </c>
      <c r="I16" s="179">
        <f>0+táj.2!I16</f>
        <v>0</v>
      </c>
      <c r="J16" s="179">
        <f>2000+táj.2!J16</f>
        <v>2000</v>
      </c>
      <c r="K16" s="179">
        <f>0+táj.2!K16</f>
        <v>0</v>
      </c>
      <c r="L16" s="179">
        <f>0+táj.2!L16</f>
        <v>0</v>
      </c>
      <c r="M16" s="179">
        <f>0+táj.2!M16</f>
        <v>0</v>
      </c>
      <c r="N16" s="179">
        <f>0+táj.2!N16</f>
        <v>0</v>
      </c>
      <c r="O16" s="179">
        <f>0+táj.2!O16</f>
        <v>0</v>
      </c>
      <c r="P16" s="179">
        <f>0+táj.2!P16</f>
        <v>0</v>
      </c>
      <c r="Q16" s="179">
        <f t="shared" si="0"/>
        <v>2000</v>
      </c>
    </row>
    <row r="17" spans="1:17" ht="27" customHeight="1" x14ac:dyDescent="0.2">
      <c r="A17" s="175"/>
      <c r="B17" s="175"/>
      <c r="C17" s="180"/>
      <c r="D17" s="495" t="s">
        <v>359</v>
      </c>
      <c r="E17" s="185"/>
      <c r="F17" s="185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</row>
    <row r="18" spans="1:17" ht="14.45" customHeight="1" x14ac:dyDescent="0.2">
      <c r="A18" s="175"/>
      <c r="B18" s="175"/>
      <c r="C18" s="180"/>
      <c r="D18" s="493" t="s">
        <v>360</v>
      </c>
      <c r="E18" s="185">
        <v>2</v>
      </c>
      <c r="F18" s="185">
        <v>121131</v>
      </c>
      <c r="G18" s="179">
        <f>0+táj.2!G18</f>
        <v>0</v>
      </c>
      <c r="H18" s="179">
        <f>0+táj.2!H18</f>
        <v>0</v>
      </c>
      <c r="I18" s="179">
        <f>0+táj.2!I18</f>
        <v>0</v>
      </c>
      <c r="J18" s="179">
        <f>3000+táj.2!J18</f>
        <v>3000</v>
      </c>
      <c r="K18" s="179">
        <f>0+táj.2!K18</f>
        <v>0</v>
      </c>
      <c r="L18" s="179">
        <f>0+táj.2!L18</f>
        <v>0</v>
      </c>
      <c r="M18" s="179">
        <f>0+táj.2!M18</f>
        <v>0</v>
      </c>
      <c r="N18" s="179">
        <f>0+táj.2!N18</f>
        <v>0</v>
      </c>
      <c r="O18" s="179">
        <f>0+táj.2!O18</f>
        <v>0</v>
      </c>
      <c r="P18" s="179">
        <f>0+táj.2!P18</f>
        <v>0</v>
      </c>
      <c r="Q18" s="179">
        <f>SUM(G18:P18)</f>
        <v>3000</v>
      </c>
    </row>
    <row r="19" spans="1:17" ht="14.45" customHeight="1" x14ac:dyDescent="0.2">
      <c r="A19" s="175"/>
      <c r="B19" s="175"/>
      <c r="C19" s="180"/>
      <c r="D19" s="493" t="s">
        <v>350</v>
      </c>
      <c r="E19" s="185"/>
      <c r="F19" s="185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1:17" ht="14.45" customHeight="1" x14ac:dyDescent="0.2">
      <c r="A20" s="175"/>
      <c r="B20" s="175"/>
      <c r="C20" s="180"/>
      <c r="D20" s="493" t="s">
        <v>361</v>
      </c>
      <c r="E20" s="185">
        <v>2</v>
      </c>
      <c r="F20" s="185">
        <v>121130</v>
      </c>
      <c r="G20" s="179">
        <f>0+táj.2!G20</f>
        <v>0</v>
      </c>
      <c r="H20" s="179">
        <f>0+táj.2!H20</f>
        <v>0</v>
      </c>
      <c r="I20" s="179">
        <f>0+táj.2!I20</f>
        <v>0</v>
      </c>
      <c r="J20" s="179">
        <f>2000+táj.2!J20</f>
        <v>2000</v>
      </c>
      <c r="K20" s="179">
        <f>0+táj.2!K20</f>
        <v>0</v>
      </c>
      <c r="L20" s="179">
        <f>0+táj.2!L20</f>
        <v>0</v>
      </c>
      <c r="M20" s="179">
        <f>0+táj.2!M20</f>
        <v>0</v>
      </c>
      <c r="N20" s="179">
        <f>0+táj.2!N20</f>
        <v>0</v>
      </c>
      <c r="O20" s="179">
        <f>0+táj.2!O20</f>
        <v>0</v>
      </c>
      <c r="P20" s="179">
        <f>0+táj.2!P20</f>
        <v>0</v>
      </c>
      <c r="Q20" s="179">
        <f>SUM(G20:P20)</f>
        <v>2000</v>
      </c>
    </row>
    <row r="21" spans="1:17" ht="14.45" customHeight="1" x14ac:dyDescent="0.2">
      <c r="A21" s="175"/>
      <c r="B21" s="175"/>
      <c r="C21" s="180"/>
      <c r="D21" s="184" t="s">
        <v>353</v>
      </c>
      <c r="E21" s="185"/>
      <c r="F21" s="185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</row>
    <row r="22" spans="1:17" ht="14.45" customHeight="1" x14ac:dyDescent="0.2">
      <c r="A22" s="175"/>
      <c r="B22" s="175"/>
      <c r="C22" s="180"/>
      <c r="D22" s="184" t="s">
        <v>362</v>
      </c>
      <c r="E22" s="185">
        <v>1</v>
      </c>
      <c r="F22" s="186">
        <v>121204</v>
      </c>
      <c r="G22" s="179">
        <f>0+táj.2!G22</f>
        <v>0</v>
      </c>
      <c r="H22" s="179">
        <f>0+táj.2!H22</f>
        <v>0</v>
      </c>
      <c r="I22" s="179">
        <f>0+táj.2!I22</f>
        <v>0</v>
      </c>
      <c r="J22" s="179">
        <f>14000+táj.2!J22</f>
        <v>14000</v>
      </c>
      <c r="K22" s="179">
        <f>0+táj.2!K22</f>
        <v>0</v>
      </c>
      <c r="L22" s="179">
        <f>0+táj.2!L22</f>
        <v>0</v>
      </c>
      <c r="M22" s="179">
        <f>0+táj.2!M22</f>
        <v>0</v>
      </c>
      <c r="N22" s="179">
        <f>0+táj.2!N22</f>
        <v>0</v>
      </c>
      <c r="O22" s="179">
        <f>0+táj.2!O22</f>
        <v>0</v>
      </c>
      <c r="P22" s="179">
        <f>0+táj.2!P22</f>
        <v>0</v>
      </c>
      <c r="Q22" s="179">
        <f>SUM(G22:P22)</f>
        <v>14000</v>
      </c>
    </row>
    <row r="23" spans="1:17" ht="14.45" customHeight="1" x14ac:dyDescent="0.2">
      <c r="A23" s="175"/>
      <c r="B23" s="175"/>
      <c r="C23" s="180"/>
      <c r="D23" s="187" t="s">
        <v>363</v>
      </c>
      <c r="E23" s="188">
        <v>1</v>
      </c>
      <c r="F23" s="186">
        <v>121132</v>
      </c>
      <c r="G23" s="179">
        <f>0+táj.2!G23</f>
        <v>0</v>
      </c>
      <c r="H23" s="179">
        <f>0+táj.2!H23</f>
        <v>0</v>
      </c>
      <c r="I23" s="179">
        <f>0+táj.2!I23</f>
        <v>0</v>
      </c>
      <c r="J23" s="179">
        <f>250+táj.2!J23</f>
        <v>250</v>
      </c>
      <c r="K23" s="179">
        <f>0+táj.2!K23</f>
        <v>0</v>
      </c>
      <c r="L23" s="179">
        <f>0+táj.2!L23</f>
        <v>0</v>
      </c>
      <c r="M23" s="179">
        <f>0+táj.2!M23</f>
        <v>0</v>
      </c>
      <c r="N23" s="179">
        <f>0+táj.2!N23</f>
        <v>0</v>
      </c>
      <c r="O23" s="179">
        <f>0+táj.2!O23</f>
        <v>0</v>
      </c>
      <c r="P23" s="179">
        <f>0+táj.2!P23</f>
        <v>0</v>
      </c>
      <c r="Q23" s="179">
        <f>SUM(G23:P23)</f>
        <v>250</v>
      </c>
    </row>
    <row r="24" spans="1:17" ht="14.45" customHeight="1" x14ac:dyDescent="0.2">
      <c r="A24" s="175"/>
      <c r="B24" s="175"/>
      <c r="C24" s="180"/>
      <c r="D24" s="189" t="s">
        <v>364</v>
      </c>
      <c r="E24" s="185">
        <v>1</v>
      </c>
      <c r="F24" s="186">
        <v>121203</v>
      </c>
      <c r="G24" s="179">
        <f>0+táj.2!G24</f>
        <v>0</v>
      </c>
      <c r="H24" s="179">
        <f>0+táj.2!H24</f>
        <v>0</v>
      </c>
      <c r="I24" s="179">
        <f>780+táj.2!I24</f>
        <v>1280</v>
      </c>
      <c r="J24" s="179">
        <f>5720+táj.2!J24</f>
        <v>5220</v>
      </c>
      <c r="K24" s="179">
        <f>0+táj.2!K24</f>
        <v>0</v>
      </c>
      <c r="L24" s="179">
        <f>0+táj.2!L24</f>
        <v>0</v>
      </c>
      <c r="M24" s="179">
        <f>0+táj.2!M24</f>
        <v>0</v>
      </c>
      <c r="N24" s="179">
        <f>0+táj.2!N24</f>
        <v>0</v>
      </c>
      <c r="O24" s="179">
        <f>0+táj.2!O24</f>
        <v>0</v>
      </c>
      <c r="P24" s="179">
        <f>0+táj.2!P24</f>
        <v>0</v>
      </c>
      <c r="Q24" s="179">
        <f>SUM(G24:P24)</f>
        <v>6500</v>
      </c>
    </row>
    <row r="25" spans="1:17" ht="14.45" customHeight="1" x14ac:dyDescent="0.2">
      <c r="A25" s="175"/>
      <c r="B25" s="175"/>
      <c r="C25" s="180"/>
      <c r="D25" s="190" t="s">
        <v>365</v>
      </c>
      <c r="E25" s="185"/>
      <c r="F25" s="148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</row>
    <row r="26" spans="1:17" ht="14.45" customHeight="1" x14ac:dyDescent="0.2">
      <c r="A26" s="175"/>
      <c r="B26" s="175"/>
      <c r="C26" s="180"/>
      <c r="D26" s="184" t="s">
        <v>366</v>
      </c>
      <c r="E26" s="185">
        <v>2</v>
      </c>
      <c r="F26" s="186">
        <v>121504</v>
      </c>
      <c r="G26" s="179">
        <f>0+táj.2!G26</f>
        <v>0</v>
      </c>
      <c r="H26" s="179">
        <f>0+táj.2!H26</f>
        <v>0</v>
      </c>
      <c r="I26" s="179">
        <f>0+táj.2!I26</f>
        <v>0</v>
      </c>
      <c r="J26" s="179">
        <f>4400+táj.2!J26</f>
        <v>4400</v>
      </c>
      <c r="K26" s="179">
        <f>0+táj.2!K26</f>
        <v>0</v>
      </c>
      <c r="L26" s="179">
        <f>0+táj.2!L26</f>
        <v>0</v>
      </c>
      <c r="M26" s="179">
        <f>0+táj.2!M26</f>
        <v>0</v>
      </c>
      <c r="N26" s="179">
        <f>0+táj.2!N26</f>
        <v>0</v>
      </c>
      <c r="O26" s="179">
        <f>0+táj.2!O26</f>
        <v>0</v>
      </c>
      <c r="P26" s="179">
        <f>0+táj.2!P26</f>
        <v>0</v>
      </c>
      <c r="Q26" s="179">
        <f>SUM(G26:P26)</f>
        <v>4400</v>
      </c>
    </row>
    <row r="27" spans="1:17" ht="14.45" customHeight="1" x14ac:dyDescent="0.2">
      <c r="A27" s="175"/>
      <c r="B27" s="175"/>
      <c r="C27" s="180"/>
      <c r="D27" s="184" t="s">
        <v>315</v>
      </c>
      <c r="E27" s="185"/>
      <c r="F27" s="186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</row>
    <row r="28" spans="1:17" ht="12.6" customHeight="1" x14ac:dyDescent="0.2">
      <c r="A28" s="174"/>
      <c r="B28" s="192"/>
      <c r="C28" s="193"/>
      <c r="D28" s="148" t="s">
        <v>367</v>
      </c>
      <c r="E28" s="185">
        <v>1</v>
      </c>
      <c r="F28" s="148">
        <v>121403</v>
      </c>
      <c r="G28" s="179">
        <f>0+táj.2!G28</f>
        <v>0</v>
      </c>
      <c r="H28" s="179">
        <f>0+táj.2!H28</f>
        <v>0</v>
      </c>
      <c r="I28" s="179">
        <f>50+táj.2!I28</f>
        <v>50</v>
      </c>
      <c r="J28" s="179">
        <f>0+táj.2!J28</f>
        <v>0</v>
      </c>
      <c r="K28" s="179">
        <f>0+táj.2!K28</f>
        <v>0</v>
      </c>
      <c r="L28" s="179">
        <f>0+táj.2!L28</f>
        <v>0</v>
      </c>
      <c r="M28" s="179">
        <f>0+táj.2!M28</f>
        <v>0</v>
      </c>
      <c r="N28" s="179">
        <f>0+táj.2!N28</f>
        <v>0</v>
      </c>
      <c r="O28" s="179">
        <f>0+táj.2!O28</f>
        <v>0</v>
      </c>
      <c r="P28" s="179">
        <f>0+táj.2!P28</f>
        <v>0</v>
      </c>
      <c r="Q28" s="179">
        <f>SUM(G28:P28)</f>
        <v>50</v>
      </c>
    </row>
    <row r="29" spans="1:17" ht="12.6" customHeight="1" x14ac:dyDescent="0.2">
      <c r="A29" s="174"/>
      <c r="B29" s="192"/>
      <c r="C29" s="193"/>
      <c r="D29" s="148" t="s">
        <v>368</v>
      </c>
      <c r="E29" s="148"/>
      <c r="F29" s="148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</row>
    <row r="30" spans="1:17" ht="12.6" customHeight="1" x14ac:dyDescent="0.2">
      <c r="A30" s="174"/>
      <c r="B30" s="174"/>
      <c r="C30" s="194"/>
      <c r="D30" s="190" t="s">
        <v>369</v>
      </c>
      <c r="E30" s="148">
        <v>1</v>
      </c>
      <c r="F30" s="148">
        <v>121301</v>
      </c>
      <c r="G30" s="179">
        <f>0+táj.2!G30</f>
        <v>0</v>
      </c>
      <c r="H30" s="179">
        <f>0+táj.2!H30</f>
        <v>0</v>
      </c>
      <c r="I30" s="179">
        <f>0+táj.2!I30</f>
        <v>0</v>
      </c>
      <c r="J30" s="179">
        <f>0+táj.2!J30</f>
        <v>0</v>
      </c>
      <c r="K30" s="179">
        <f>0+táj.2!K30</f>
        <v>0</v>
      </c>
      <c r="L30" s="179">
        <f>0+táj.2!L30</f>
        <v>0</v>
      </c>
      <c r="M30" s="179">
        <f>0+táj.2!M30</f>
        <v>0</v>
      </c>
      <c r="N30" s="179">
        <f>0+táj.2!N30</f>
        <v>0</v>
      </c>
      <c r="O30" s="179">
        <f>0+táj.2!O30</f>
        <v>0</v>
      </c>
      <c r="P30" s="179">
        <f>0+táj.2!P30</f>
        <v>0</v>
      </c>
      <c r="Q30" s="179">
        <f>SUM(G30:P30)</f>
        <v>0</v>
      </c>
    </row>
    <row r="31" spans="1:17" ht="12.6" customHeight="1" x14ac:dyDescent="0.2">
      <c r="A31" s="174"/>
      <c r="B31" s="174"/>
      <c r="C31" s="194"/>
      <c r="D31" s="195" t="s">
        <v>229</v>
      </c>
      <c r="E31" s="185"/>
      <c r="F31" s="148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</row>
    <row r="32" spans="1:17" ht="12.6" customHeight="1" x14ac:dyDescent="0.2">
      <c r="A32" s="174"/>
      <c r="B32" s="174"/>
      <c r="C32" s="194"/>
      <c r="D32" s="196" t="s">
        <v>370</v>
      </c>
      <c r="E32" s="185">
        <v>2</v>
      </c>
      <c r="F32" s="148">
        <v>221902</v>
      </c>
      <c r="G32" s="179">
        <f>0+táj.2!G32</f>
        <v>0</v>
      </c>
      <c r="H32" s="179">
        <f>0+táj.2!H32</f>
        <v>0</v>
      </c>
      <c r="I32" s="179">
        <f>29775+táj.2!I32</f>
        <v>29775</v>
      </c>
      <c r="J32" s="179">
        <f>0+táj.2!J32</f>
        <v>0</v>
      </c>
      <c r="K32" s="179">
        <f>0+táj.2!K32</f>
        <v>0</v>
      </c>
      <c r="L32" s="179">
        <f>0+táj.2!L32</f>
        <v>0</v>
      </c>
      <c r="M32" s="179">
        <f>0+táj.2!M32</f>
        <v>0</v>
      </c>
      <c r="N32" s="179">
        <f>0+táj.2!N32</f>
        <v>0</v>
      </c>
      <c r="O32" s="179">
        <f>0+táj.2!O32</f>
        <v>0</v>
      </c>
      <c r="P32" s="179">
        <f>0+táj.2!P32</f>
        <v>0</v>
      </c>
      <c r="Q32" s="179">
        <f>SUM(G32:P32)</f>
        <v>29775</v>
      </c>
    </row>
    <row r="33" spans="1:17" ht="12.6" customHeight="1" x14ac:dyDescent="0.2">
      <c r="A33" s="174"/>
      <c r="B33" s="174"/>
      <c r="C33" s="194"/>
      <c r="D33" s="197" t="s">
        <v>371</v>
      </c>
      <c r="E33" s="185">
        <v>2</v>
      </c>
      <c r="F33" s="148" t="s">
        <v>372</v>
      </c>
      <c r="G33" s="179">
        <f>0+táj.2!G33</f>
        <v>0</v>
      </c>
      <c r="H33" s="179">
        <f>4900+táj.2!H33</f>
        <v>4900</v>
      </c>
      <c r="I33" s="179">
        <f>200+táj.2!I33</f>
        <v>350</v>
      </c>
      <c r="J33" s="179">
        <f>14900+táj.2!J33</f>
        <v>14750</v>
      </c>
      <c r="K33" s="179">
        <f>0+táj.2!K33</f>
        <v>0</v>
      </c>
      <c r="L33" s="179">
        <f>0+táj.2!L33</f>
        <v>0</v>
      </c>
      <c r="M33" s="179">
        <f>0+táj.2!M33</f>
        <v>0</v>
      </c>
      <c r="N33" s="179">
        <f>0+táj.2!N33</f>
        <v>0</v>
      </c>
      <c r="O33" s="179">
        <f>0+táj.2!O33</f>
        <v>0</v>
      </c>
      <c r="P33" s="179">
        <f>0+táj.2!P33</f>
        <v>0</v>
      </c>
      <c r="Q33" s="179">
        <f>SUM(G33:P33)</f>
        <v>20000</v>
      </c>
    </row>
    <row r="34" spans="1:17" ht="12.6" customHeight="1" x14ac:dyDescent="0.2">
      <c r="A34" s="676"/>
      <c r="B34" s="676"/>
      <c r="C34" s="579"/>
      <c r="D34" s="677" t="s">
        <v>1110</v>
      </c>
      <c r="E34" s="678">
        <v>1</v>
      </c>
      <c r="F34" s="504">
        <v>121118</v>
      </c>
      <c r="G34" s="179">
        <f>0+táj.2!G34</f>
        <v>0</v>
      </c>
      <c r="H34" s="179">
        <f>0+táj.2!H34</f>
        <v>0</v>
      </c>
      <c r="I34" s="179">
        <f>300+táj.2!I34</f>
        <v>300</v>
      </c>
      <c r="J34" s="179">
        <f>0+táj.2!J34</f>
        <v>0</v>
      </c>
      <c r="K34" s="179">
        <f>0+táj.2!K34</f>
        <v>0</v>
      </c>
      <c r="L34" s="179">
        <f>0+táj.2!L34</f>
        <v>0</v>
      </c>
      <c r="M34" s="179">
        <f>0+táj.2!M34</f>
        <v>0</v>
      </c>
      <c r="N34" s="179">
        <f>0+táj.2!N34</f>
        <v>0</v>
      </c>
      <c r="O34" s="179">
        <f>0+táj.2!O34</f>
        <v>0</v>
      </c>
      <c r="P34" s="179">
        <f>0+táj.2!P34</f>
        <v>0</v>
      </c>
      <c r="Q34" s="179">
        <f t="shared" ref="Q34:Q35" si="1">SUM(G34:P34)</f>
        <v>300</v>
      </c>
    </row>
    <row r="35" spans="1:17" ht="12.6" customHeight="1" x14ac:dyDescent="0.2">
      <c r="A35" s="676"/>
      <c r="B35" s="676"/>
      <c r="C35" s="579"/>
      <c r="D35" s="680" t="s">
        <v>1111</v>
      </c>
      <c r="E35" s="678">
        <v>1</v>
      </c>
      <c r="F35" s="504">
        <v>121515</v>
      </c>
      <c r="G35" s="179">
        <f>0+táj.2!G35</f>
        <v>0</v>
      </c>
      <c r="H35" s="179">
        <f>0+táj.2!H35</f>
        <v>0</v>
      </c>
      <c r="I35" s="179">
        <f>200+táj.2!I35</f>
        <v>200</v>
      </c>
      <c r="J35" s="179">
        <f>0+táj.2!J35</f>
        <v>0</v>
      </c>
      <c r="K35" s="179">
        <f>0+táj.2!K35</f>
        <v>0</v>
      </c>
      <c r="L35" s="179">
        <f>0+táj.2!L35</f>
        <v>0</v>
      </c>
      <c r="M35" s="179">
        <f>0+táj.2!M35</f>
        <v>0</v>
      </c>
      <c r="N35" s="179">
        <f>0+táj.2!N35</f>
        <v>0</v>
      </c>
      <c r="O35" s="179">
        <f>0+táj.2!O35</f>
        <v>0</v>
      </c>
      <c r="P35" s="179">
        <f>0+táj.2!P35</f>
        <v>0</v>
      </c>
      <c r="Q35" s="179">
        <f t="shared" si="1"/>
        <v>200</v>
      </c>
    </row>
    <row r="36" spans="1:17" ht="14.1" customHeight="1" x14ac:dyDescent="0.2">
      <c r="A36" s="174"/>
      <c r="B36" s="174"/>
      <c r="C36" s="194"/>
      <c r="D36" s="181" t="s">
        <v>373</v>
      </c>
      <c r="E36" s="185"/>
      <c r="F36" s="148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</row>
    <row r="37" spans="1:17" ht="14.1" customHeight="1" x14ac:dyDescent="0.2">
      <c r="A37" s="174"/>
      <c r="B37" s="174"/>
      <c r="C37" s="194"/>
      <c r="D37" s="190" t="s">
        <v>374</v>
      </c>
      <c r="E37" s="185">
        <v>1</v>
      </c>
      <c r="F37" s="148">
        <v>121601</v>
      </c>
      <c r="G37" s="179">
        <f>150+táj.2!G37</f>
        <v>150</v>
      </c>
      <c r="H37" s="179">
        <f>50+táj.2!H37</f>
        <v>50</v>
      </c>
      <c r="I37" s="179">
        <f>200+táj.2!I37</f>
        <v>200</v>
      </c>
      <c r="J37" s="179">
        <f>0+táj.2!J37</f>
        <v>0</v>
      </c>
      <c r="K37" s="179">
        <f>100+táj.2!K37</f>
        <v>100</v>
      </c>
      <c r="L37" s="179">
        <f>0+táj.2!L37</f>
        <v>0</v>
      </c>
      <c r="M37" s="179">
        <f>0+táj.2!M37</f>
        <v>0</v>
      </c>
      <c r="N37" s="179">
        <f>0+táj.2!N37</f>
        <v>0</v>
      </c>
      <c r="O37" s="179">
        <f>0+táj.2!O37</f>
        <v>0</v>
      </c>
      <c r="P37" s="179">
        <f>0+táj.2!P37</f>
        <v>0</v>
      </c>
      <c r="Q37" s="179">
        <f>SUM(G37:P37)</f>
        <v>500</v>
      </c>
    </row>
    <row r="38" spans="1:17" ht="14.1" customHeight="1" x14ac:dyDescent="0.2">
      <c r="A38" s="174"/>
      <c r="B38" s="174"/>
      <c r="C38" s="194"/>
      <c r="D38" s="199" t="s">
        <v>375</v>
      </c>
      <c r="E38" s="185"/>
      <c r="F38" s="185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</row>
    <row r="39" spans="1:17" ht="14.1" customHeight="1" x14ac:dyDescent="0.2">
      <c r="A39" s="174"/>
      <c r="B39" s="174"/>
      <c r="C39" s="194"/>
      <c r="D39" s="190" t="s">
        <v>376</v>
      </c>
      <c r="E39" s="153">
        <v>2</v>
      </c>
      <c r="F39" s="148">
        <v>121517</v>
      </c>
      <c r="G39" s="179">
        <f>0+táj.2!G39</f>
        <v>0</v>
      </c>
      <c r="H39" s="179">
        <f>0+táj.2!H39</f>
        <v>0</v>
      </c>
      <c r="I39" s="179">
        <f>0+táj.2!I39</f>
        <v>0</v>
      </c>
      <c r="J39" s="179">
        <f>0+táj.2!J39</f>
        <v>0</v>
      </c>
      <c r="K39" s="179">
        <f>3243+táj.2!K39</f>
        <v>3243</v>
      </c>
      <c r="L39" s="179">
        <f>0+táj.2!L39</f>
        <v>0</v>
      </c>
      <c r="M39" s="179">
        <f>0+táj.2!M39</f>
        <v>0</v>
      </c>
      <c r="N39" s="179">
        <f>0+táj.2!N39</f>
        <v>0</v>
      </c>
      <c r="O39" s="179">
        <f>0+táj.2!O39</f>
        <v>0</v>
      </c>
      <c r="P39" s="179">
        <f>0+táj.2!P39</f>
        <v>0</v>
      </c>
      <c r="Q39" s="179">
        <f>SUM(G39:P39)</f>
        <v>3243</v>
      </c>
    </row>
    <row r="40" spans="1:17" ht="13.5" x14ac:dyDescent="0.2">
      <c r="A40" s="200"/>
      <c r="B40" s="200"/>
      <c r="C40" s="201"/>
      <c r="D40" s="202" t="s">
        <v>377</v>
      </c>
      <c r="E40" s="203"/>
      <c r="F40" s="204"/>
      <c r="G40" s="205">
        <f t="shared" ref="G40:Q40" si="2">SUM(G7:G39)</f>
        <v>150</v>
      </c>
      <c r="H40" s="205">
        <f t="shared" si="2"/>
        <v>4950</v>
      </c>
      <c r="I40" s="205">
        <f t="shared" si="2"/>
        <v>32155</v>
      </c>
      <c r="J40" s="205">
        <f t="shared" si="2"/>
        <v>88920</v>
      </c>
      <c r="K40" s="205">
        <f t="shared" si="2"/>
        <v>3343</v>
      </c>
      <c r="L40" s="205">
        <f t="shared" si="2"/>
        <v>0</v>
      </c>
      <c r="M40" s="205">
        <f t="shared" si="2"/>
        <v>0</v>
      </c>
      <c r="N40" s="205">
        <f t="shared" si="2"/>
        <v>0</v>
      </c>
      <c r="O40" s="205">
        <f t="shared" si="2"/>
        <v>0</v>
      </c>
      <c r="P40" s="205">
        <f t="shared" si="2"/>
        <v>0</v>
      </c>
      <c r="Q40" s="205">
        <f t="shared" si="2"/>
        <v>129518</v>
      </c>
    </row>
    <row r="41" spans="1:17" ht="13.5" x14ac:dyDescent="0.2">
      <c r="A41" s="206"/>
      <c r="B41" s="206"/>
      <c r="C41" s="194"/>
      <c r="D41" s="190" t="s">
        <v>378</v>
      </c>
      <c r="E41" s="207"/>
      <c r="F41" s="14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</row>
    <row r="42" spans="1:17" ht="24" x14ac:dyDescent="0.2">
      <c r="A42" s="206"/>
      <c r="B42" s="206"/>
      <c r="C42" s="194" t="s">
        <v>379</v>
      </c>
      <c r="D42" s="496" t="s">
        <v>380</v>
      </c>
      <c r="E42" s="207"/>
      <c r="F42" s="148">
        <v>121401</v>
      </c>
      <c r="G42" s="157">
        <f>0+táj.2!G42</f>
        <v>0</v>
      </c>
      <c r="H42" s="157">
        <f>0+táj.2!H42</f>
        <v>0</v>
      </c>
      <c r="I42" s="157">
        <f>0+táj.2!I42</f>
        <v>0</v>
      </c>
      <c r="J42" s="157">
        <f>0+táj.2!J42</f>
        <v>0</v>
      </c>
      <c r="K42" s="157">
        <f>0+táj.2!K42</f>
        <v>0</v>
      </c>
      <c r="L42" s="157">
        <f>0+táj.2!L42</f>
        <v>0</v>
      </c>
      <c r="M42" s="157">
        <f>0+táj.2!M42</f>
        <v>0</v>
      </c>
      <c r="N42" s="157">
        <f>7200+táj.2!N42</f>
        <v>7200</v>
      </c>
      <c r="O42" s="157">
        <f>0+táj.2!O42</f>
        <v>0</v>
      </c>
      <c r="P42" s="157">
        <f>0+táj.2!P42</f>
        <v>0</v>
      </c>
      <c r="Q42" s="148">
        <f>SUM(G42:P42)</f>
        <v>7200</v>
      </c>
    </row>
    <row r="43" spans="1:17" ht="12.75" x14ac:dyDescent="0.2">
      <c r="A43" s="206"/>
      <c r="B43" s="206"/>
      <c r="C43" s="194"/>
      <c r="D43" s="497" t="s">
        <v>381</v>
      </c>
      <c r="E43" s="207"/>
      <c r="F43" s="148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48"/>
    </row>
    <row r="44" spans="1:17" ht="12.75" x14ac:dyDescent="0.2">
      <c r="A44" s="206"/>
      <c r="B44" s="206"/>
      <c r="C44" s="194" t="s">
        <v>382</v>
      </c>
      <c r="D44" s="498" t="s">
        <v>383</v>
      </c>
      <c r="E44" s="207"/>
      <c r="F44" s="148">
        <v>121405</v>
      </c>
      <c r="G44" s="157">
        <f>0+táj.2!G44</f>
        <v>0</v>
      </c>
      <c r="H44" s="157">
        <f>0+táj.2!H44</f>
        <v>0</v>
      </c>
      <c r="I44" s="157">
        <f>0+táj.2!I44</f>
        <v>0</v>
      </c>
      <c r="J44" s="157">
        <f>0+táj.2!J44</f>
        <v>0</v>
      </c>
      <c r="K44" s="157">
        <f>0+táj.2!K44</f>
        <v>0</v>
      </c>
      <c r="L44" s="157">
        <f>0+táj.2!L44</f>
        <v>0</v>
      </c>
      <c r="M44" s="157">
        <f>0+táj.2!M44</f>
        <v>0</v>
      </c>
      <c r="N44" s="157">
        <f>900+táj.2!N44</f>
        <v>900</v>
      </c>
      <c r="O44" s="157">
        <f>0+táj.2!O44</f>
        <v>0</v>
      </c>
      <c r="P44" s="157">
        <f>0+táj.2!P44</f>
        <v>0</v>
      </c>
      <c r="Q44" s="148">
        <f>SUM(G44:P44)</f>
        <v>900</v>
      </c>
    </row>
    <row r="45" spans="1:17" ht="24" x14ac:dyDescent="0.2">
      <c r="A45" s="206"/>
      <c r="B45" s="206"/>
      <c r="C45" s="194" t="s">
        <v>384</v>
      </c>
      <c r="D45" s="499" t="s">
        <v>385</v>
      </c>
      <c r="E45" s="207"/>
      <c r="F45" s="148">
        <v>121402</v>
      </c>
      <c r="G45" s="157">
        <f>0+táj.2!G45</f>
        <v>0</v>
      </c>
      <c r="H45" s="157">
        <f>0+táj.2!H45</f>
        <v>0</v>
      </c>
      <c r="I45" s="157">
        <f>0+táj.2!I45</f>
        <v>0</v>
      </c>
      <c r="J45" s="157">
        <f>0+táj.2!J45</f>
        <v>0</v>
      </c>
      <c r="K45" s="157">
        <f>0+táj.2!K45</f>
        <v>0</v>
      </c>
      <c r="L45" s="157">
        <f>0+táj.2!L45</f>
        <v>0</v>
      </c>
      <c r="M45" s="157">
        <f>0+táj.2!M45</f>
        <v>0</v>
      </c>
      <c r="N45" s="157">
        <f>13819+táj.2!N45</f>
        <v>13819</v>
      </c>
      <c r="O45" s="157">
        <f>0+táj.2!O45</f>
        <v>0</v>
      </c>
      <c r="P45" s="157">
        <f>0+táj.2!P45</f>
        <v>0</v>
      </c>
      <c r="Q45" s="148">
        <f>SUM(G45:P45)</f>
        <v>13819</v>
      </c>
    </row>
    <row r="46" spans="1:17" ht="13.5" x14ac:dyDescent="0.2">
      <c r="A46" s="200"/>
      <c r="B46" s="200"/>
      <c r="C46" s="201"/>
      <c r="D46" s="202" t="s">
        <v>386</v>
      </c>
      <c r="E46" s="203"/>
      <c r="F46" s="204"/>
      <c r="G46" s="205">
        <f t="shared" ref="G46:Q46" si="3">SUM(G40:G45)</f>
        <v>150</v>
      </c>
      <c r="H46" s="205">
        <f t="shared" si="3"/>
        <v>4950</v>
      </c>
      <c r="I46" s="205">
        <f t="shared" si="3"/>
        <v>32155</v>
      </c>
      <c r="J46" s="205">
        <f t="shared" si="3"/>
        <v>88920</v>
      </c>
      <c r="K46" s="205">
        <f t="shared" si="3"/>
        <v>3343</v>
      </c>
      <c r="L46" s="205">
        <f t="shared" si="3"/>
        <v>0</v>
      </c>
      <c r="M46" s="205">
        <f t="shared" si="3"/>
        <v>0</v>
      </c>
      <c r="N46" s="205">
        <f t="shared" si="3"/>
        <v>21919</v>
      </c>
      <c r="O46" s="205">
        <f t="shared" si="3"/>
        <v>0</v>
      </c>
      <c r="P46" s="205">
        <f t="shared" si="3"/>
        <v>0</v>
      </c>
      <c r="Q46" s="205">
        <f t="shared" si="3"/>
        <v>151437</v>
      </c>
    </row>
    <row r="47" spans="1:17" ht="12" customHeight="1" x14ac:dyDescent="0.2">
      <c r="A47" s="174">
        <v>1</v>
      </c>
      <c r="B47" s="174">
        <v>13</v>
      </c>
      <c r="C47" s="174"/>
      <c r="D47" s="176" t="s">
        <v>109</v>
      </c>
      <c r="E47" s="209" t="s">
        <v>387</v>
      </c>
      <c r="F47" s="210"/>
      <c r="G47" s="210"/>
      <c r="H47" s="179"/>
      <c r="I47" s="179"/>
      <c r="J47" s="179"/>
      <c r="K47" s="179"/>
      <c r="L47" s="179"/>
      <c r="M47" s="210"/>
      <c r="N47" s="210"/>
      <c r="O47" s="210"/>
      <c r="P47" s="210"/>
      <c r="Q47" s="210"/>
    </row>
    <row r="48" spans="1:17" x14ac:dyDescent="0.2">
      <c r="A48" s="174"/>
      <c r="B48" s="174"/>
      <c r="C48" s="194"/>
      <c r="D48" s="211" t="s">
        <v>388</v>
      </c>
      <c r="E48" s="209"/>
      <c r="F48" s="210"/>
      <c r="G48" s="210"/>
      <c r="H48" s="179"/>
      <c r="I48" s="179"/>
      <c r="J48" s="179"/>
      <c r="K48" s="179"/>
      <c r="L48" s="179"/>
      <c r="M48" s="210"/>
      <c r="N48" s="210"/>
      <c r="O48" s="210"/>
      <c r="P48" s="210"/>
      <c r="Q48" s="210"/>
    </row>
    <row r="49" spans="1:17" ht="12" customHeight="1" x14ac:dyDescent="0.2">
      <c r="A49" s="174"/>
      <c r="B49" s="174"/>
      <c r="C49" s="194"/>
      <c r="D49" s="189" t="s">
        <v>389</v>
      </c>
      <c r="E49" s="212"/>
      <c r="F49" s="185"/>
      <c r="G49" s="148"/>
      <c r="H49" s="179"/>
      <c r="I49" s="179"/>
      <c r="J49" s="179"/>
      <c r="K49" s="179"/>
      <c r="L49" s="179"/>
      <c r="M49" s="148"/>
      <c r="N49" s="148"/>
      <c r="O49" s="148"/>
      <c r="P49" s="148"/>
      <c r="Q49" s="148"/>
    </row>
    <row r="50" spans="1:17" ht="27" customHeight="1" x14ac:dyDescent="0.2">
      <c r="A50" s="174"/>
      <c r="B50" s="174"/>
      <c r="C50" s="194"/>
      <c r="D50" s="199" t="s">
        <v>390</v>
      </c>
      <c r="E50" s="148">
        <v>2</v>
      </c>
      <c r="F50" s="148">
        <v>131112</v>
      </c>
      <c r="G50" s="148">
        <f>0+táj.2!G50</f>
        <v>0</v>
      </c>
      <c r="H50" s="148">
        <f>0+táj.2!H50</f>
        <v>0</v>
      </c>
      <c r="I50" s="148">
        <f>0+táj.2!I50</f>
        <v>0</v>
      </c>
      <c r="J50" s="148">
        <f>0+táj.2!J50</f>
        <v>0</v>
      </c>
      <c r="K50" s="148">
        <f>12000+táj.2!K50</f>
        <v>12000</v>
      </c>
      <c r="L50" s="148">
        <f>0+táj.2!L50</f>
        <v>0</v>
      </c>
      <c r="M50" s="148">
        <f>0+táj.2!M50</f>
        <v>0</v>
      </c>
      <c r="N50" s="148">
        <f>0+táj.2!N50</f>
        <v>0</v>
      </c>
      <c r="O50" s="148">
        <f>0+táj.2!O50</f>
        <v>0</v>
      </c>
      <c r="P50" s="148">
        <f>0+táj.2!P50</f>
        <v>0</v>
      </c>
      <c r="Q50" s="148">
        <f t="shared" ref="Q50:Q56" si="4">SUM(G50:P50)</f>
        <v>12000</v>
      </c>
    </row>
    <row r="51" spans="1:17" ht="24.75" customHeight="1" x14ac:dyDescent="0.2">
      <c r="A51" s="174"/>
      <c r="B51" s="174"/>
      <c r="C51" s="194"/>
      <c r="D51" s="213" t="s">
        <v>391</v>
      </c>
      <c r="E51" s="148">
        <v>2</v>
      </c>
      <c r="F51" s="148">
        <v>131123</v>
      </c>
      <c r="G51" s="148">
        <f>0+táj.2!G51</f>
        <v>0</v>
      </c>
      <c r="H51" s="148">
        <f>0+táj.2!H51</f>
        <v>0</v>
      </c>
      <c r="I51" s="148">
        <f>0+táj.2!I51</f>
        <v>0</v>
      </c>
      <c r="J51" s="148">
        <f>0+táj.2!J51</f>
        <v>0</v>
      </c>
      <c r="K51" s="148">
        <f>3000+táj.2!K51</f>
        <v>3000</v>
      </c>
      <c r="L51" s="148">
        <f>0+táj.2!L51</f>
        <v>0</v>
      </c>
      <c r="M51" s="148">
        <f>0+táj.2!M51</f>
        <v>0</v>
      </c>
      <c r="N51" s="148">
        <f>0+táj.2!N51</f>
        <v>0</v>
      </c>
      <c r="O51" s="148">
        <f>0+táj.2!O51</f>
        <v>0</v>
      </c>
      <c r="P51" s="148">
        <f>0+táj.2!P51</f>
        <v>0</v>
      </c>
      <c r="Q51" s="148">
        <f t="shared" si="4"/>
        <v>3000</v>
      </c>
    </row>
    <row r="52" spans="1:17" ht="15" customHeight="1" x14ac:dyDescent="0.2">
      <c r="A52" s="174"/>
      <c r="B52" s="174"/>
      <c r="C52" s="194"/>
      <c r="D52" s="213" t="s">
        <v>392</v>
      </c>
      <c r="E52" s="148">
        <v>2</v>
      </c>
      <c r="F52" s="148">
        <v>131122</v>
      </c>
      <c r="G52" s="148">
        <f>1180+táj.2!G52</f>
        <v>1180</v>
      </c>
      <c r="H52" s="148">
        <f>470+táj.2!H52</f>
        <v>470</v>
      </c>
      <c r="I52" s="148">
        <f>0+táj.2!I52</f>
        <v>0</v>
      </c>
      <c r="J52" s="148">
        <f>0+táj.2!J52</f>
        <v>0</v>
      </c>
      <c r="K52" s="148">
        <f>350+táj.2!K52</f>
        <v>350</v>
      </c>
      <c r="L52" s="148">
        <f>0+táj.2!L52</f>
        <v>0</v>
      </c>
      <c r="M52" s="148">
        <f>0+táj.2!M52</f>
        <v>0</v>
      </c>
      <c r="N52" s="148">
        <f>0+táj.2!N52</f>
        <v>0</v>
      </c>
      <c r="O52" s="148">
        <f>0+táj.2!O52</f>
        <v>0</v>
      </c>
      <c r="P52" s="148">
        <f>0+táj.2!P52</f>
        <v>0</v>
      </c>
      <c r="Q52" s="148">
        <f t="shared" si="4"/>
        <v>2000</v>
      </c>
    </row>
    <row r="53" spans="1:17" ht="23.25" customHeight="1" x14ac:dyDescent="0.2">
      <c r="A53" s="676"/>
      <c r="B53" s="676"/>
      <c r="C53" s="579"/>
      <c r="D53" s="681" t="s">
        <v>1112</v>
      </c>
      <c r="E53" s="504">
        <v>2</v>
      </c>
      <c r="F53" s="504">
        <v>131124</v>
      </c>
      <c r="G53" s="148">
        <f>0+táj.2!G53</f>
        <v>0</v>
      </c>
      <c r="H53" s="148">
        <f>0+táj.2!H53</f>
        <v>0</v>
      </c>
      <c r="I53" s="148">
        <f>650+táj.2!I53</f>
        <v>650</v>
      </c>
      <c r="J53" s="148">
        <f>0+táj.2!J53</f>
        <v>0</v>
      </c>
      <c r="K53" s="148">
        <f>0+táj.2!K53</f>
        <v>0</v>
      </c>
      <c r="L53" s="148">
        <f>0+táj.2!L53</f>
        <v>0</v>
      </c>
      <c r="M53" s="148">
        <f>0+táj.2!M53</f>
        <v>0</v>
      </c>
      <c r="N53" s="148">
        <f>0+táj.2!N53</f>
        <v>0</v>
      </c>
      <c r="O53" s="148">
        <f>0+táj.2!O53</f>
        <v>0</v>
      </c>
      <c r="P53" s="148">
        <f>0+táj.2!P53</f>
        <v>0</v>
      </c>
      <c r="Q53" s="148">
        <f t="shared" si="4"/>
        <v>650</v>
      </c>
    </row>
    <row r="54" spans="1:17" ht="15" customHeight="1" x14ac:dyDescent="0.2">
      <c r="A54" s="174"/>
      <c r="B54" s="174"/>
      <c r="C54" s="194"/>
      <c r="D54" s="190" t="s">
        <v>393</v>
      </c>
      <c r="E54" s="148">
        <v>2</v>
      </c>
      <c r="F54" s="148">
        <v>131107</v>
      </c>
      <c r="G54" s="148">
        <f>0+táj.2!G54</f>
        <v>0</v>
      </c>
      <c r="H54" s="148">
        <f>0+táj.2!H54</f>
        <v>0</v>
      </c>
      <c r="I54" s="148">
        <f>0+táj.2!I54</f>
        <v>0</v>
      </c>
      <c r="J54" s="148">
        <f>0+táj.2!J54</f>
        <v>0</v>
      </c>
      <c r="K54" s="148">
        <f>55000+táj.2!K54</f>
        <v>55000</v>
      </c>
      <c r="L54" s="148">
        <f>0+táj.2!L54</f>
        <v>0</v>
      </c>
      <c r="M54" s="148">
        <f>0+táj.2!M54</f>
        <v>0</v>
      </c>
      <c r="N54" s="148">
        <f>0+táj.2!N54</f>
        <v>0</v>
      </c>
      <c r="O54" s="148">
        <f>0+táj.2!O54</f>
        <v>0</v>
      </c>
      <c r="P54" s="148">
        <f>0+táj.2!P54</f>
        <v>0</v>
      </c>
      <c r="Q54" s="148">
        <f t="shared" si="4"/>
        <v>55000</v>
      </c>
    </row>
    <row r="55" spans="1:17" ht="15" customHeight="1" x14ac:dyDescent="0.2">
      <c r="A55" s="174"/>
      <c r="B55" s="174"/>
      <c r="C55" s="194"/>
      <c r="D55" s="190" t="s">
        <v>394</v>
      </c>
      <c r="E55" s="148">
        <v>2</v>
      </c>
      <c r="F55" s="148">
        <v>131128</v>
      </c>
      <c r="G55" s="148">
        <f>0+táj.2!G55</f>
        <v>0</v>
      </c>
      <c r="H55" s="148">
        <f>0+táj.2!H55</f>
        <v>0</v>
      </c>
      <c r="I55" s="148">
        <f>0+táj.2!I55</f>
        <v>0</v>
      </c>
      <c r="J55" s="148">
        <f>0+táj.2!J55</f>
        <v>0</v>
      </c>
      <c r="K55" s="148">
        <f>0+táj.2!K55</f>
        <v>0</v>
      </c>
      <c r="L55" s="148">
        <f>0+táj.2!L55</f>
        <v>0</v>
      </c>
      <c r="M55" s="148">
        <f>0+táj.2!M55</f>
        <v>0</v>
      </c>
      <c r="N55" s="148">
        <f>0+táj.2!N55</f>
        <v>0</v>
      </c>
      <c r="O55" s="148">
        <f>0+táj.2!O55</f>
        <v>0</v>
      </c>
      <c r="P55" s="148">
        <f>0+táj.2!P55</f>
        <v>0</v>
      </c>
      <c r="Q55" s="148">
        <f t="shared" si="4"/>
        <v>0</v>
      </c>
    </row>
    <row r="56" spans="1:17" ht="15" customHeight="1" x14ac:dyDescent="0.2">
      <c r="A56" s="824"/>
      <c r="B56" s="824"/>
      <c r="C56" s="825"/>
      <c r="D56" s="783" t="s">
        <v>1281</v>
      </c>
      <c r="E56" s="784">
        <v>2</v>
      </c>
      <c r="F56" s="784">
        <v>131212</v>
      </c>
      <c r="G56" s="148">
        <f>141+táj.2!G56</f>
        <v>141</v>
      </c>
      <c r="H56" s="148">
        <f>22+táj.2!H56</f>
        <v>22</v>
      </c>
      <c r="I56" s="148">
        <f>9+táj.2!I56</f>
        <v>9</v>
      </c>
      <c r="J56" s="148">
        <f>0+táj.2!J56</f>
        <v>0</v>
      </c>
      <c r="K56" s="148">
        <f>0+táj.2!K56</f>
        <v>0</v>
      </c>
      <c r="L56" s="148">
        <f>0+táj.2!L56</f>
        <v>0</v>
      </c>
      <c r="M56" s="148">
        <f>0+táj.2!M56</f>
        <v>0</v>
      </c>
      <c r="N56" s="148">
        <f>0+táj.2!N56</f>
        <v>0</v>
      </c>
      <c r="O56" s="148">
        <f>0+táj.2!O56</f>
        <v>0</v>
      </c>
      <c r="P56" s="148">
        <f>0+táj.2!P56</f>
        <v>0</v>
      </c>
      <c r="Q56" s="148">
        <f t="shared" si="4"/>
        <v>172</v>
      </c>
    </row>
    <row r="57" spans="1:17" ht="14.1" customHeight="1" x14ac:dyDescent="0.2">
      <c r="A57" s="174"/>
      <c r="B57" s="174"/>
      <c r="C57" s="194"/>
      <c r="D57" s="214" t="s">
        <v>395</v>
      </c>
      <c r="E57" s="215"/>
      <c r="F57" s="216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</row>
    <row r="58" spans="1:17" ht="24.95" customHeight="1" x14ac:dyDescent="0.2">
      <c r="A58" s="174"/>
      <c r="B58" s="174"/>
      <c r="C58" s="194"/>
      <c r="D58" s="213" t="s">
        <v>396</v>
      </c>
      <c r="E58" s="217"/>
      <c r="F58" s="217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</row>
    <row r="59" spans="1:17" ht="15" customHeight="1" x14ac:dyDescent="0.2">
      <c r="A59" s="174"/>
      <c r="B59" s="174"/>
      <c r="C59" s="194"/>
      <c r="D59" s="190" t="s">
        <v>397</v>
      </c>
      <c r="E59" s="148">
        <v>2</v>
      </c>
      <c r="F59" s="148">
        <v>131201</v>
      </c>
      <c r="G59" s="148">
        <f>100+táj.2!G59</f>
        <v>0</v>
      </c>
      <c r="H59" s="148">
        <f>40+táj.2!H59</f>
        <v>0</v>
      </c>
      <c r="I59" s="148">
        <f>210+táj.2!I59</f>
        <v>350</v>
      </c>
      <c r="J59" s="148">
        <f>0+táj.2!J59</f>
        <v>0</v>
      </c>
      <c r="K59" s="148">
        <f>0+táj.2!K59</f>
        <v>0</v>
      </c>
      <c r="L59" s="148">
        <f>0+táj.2!L59</f>
        <v>0</v>
      </c>
      <c r="M59" s="148">
        <f>0+táj.2!M59</f>
        <v>0</v>
      </c>
      <c r="N59" s="148">
        <f>0+táj.2!N59</f>
        <v>0</v>
      </c>
      <c r="O59" s="148">
        <f>0+táj.2!O59</f>
        <v>0</v>
      </c>
      <c r="P59" s="148">
        <f>0+táj.2!P59</f>
        <v>0</v>
      </c>
      <c r="Q59" s="148">
        <f t="shared" ref="Q59:Q64" si="5">SUM(G59:P59)</f>
        <v>350</v>
      </c>
    </row>
    <row r="60" spans="1:17" ht="15" customHeight="1" x14ac:dyDescent="0.2">
      <c r="A60" s="174"/>
      <c r="B60" s="174"/>
      <c r="C60" s="194"/>
      <c r="D60" s="190" t="s">
        <v>398</v>
      </c>
      <c r="E60" s="148">
        <v>2</v>
      </c>
      <c r="F60" s="148">
        <v>131202</v>
      </c>
      <c r="G60" s="148">
        <f>200+táj.2!G60</f>
        <v>200</v>
      </c>
      <c r="H60" s="148">
        <f>80+táj.2!H60</f>
        <v>80</v>
      </c>
      <c r="I60" s="148">
        <f>470+táj.2!I60</f>
        <v>470</v>
      </c>
      <c r="J60" s="148">
        <f>0+táj.2!J60</f>
        <v>0</v>
      </c>
      <c r="K60" s="148">
        <f>0+táj.2!K60</f>
        <v>0</v>
      </c>
      <c r="L60" s="148">
        <f>0+táj.2!L60</f>
        <v>0</v>
      </c>
      <c r="M60" s="148">
        <f>0+táj.2!M60</f>
        <v>0</v>
      </c>
      <c r="N60" s="148">
        <f>0+táj.2!N60</f>
        <v>0</v>
      </c>
      <c r="O60" s="148">
        <f>0+táj.2!O60</f>
        <v>0</v>
      </c>
      <c r="P60" s="148">
        <f>0+táj.2!P60</f>
        <v>0</v>
      </c>
      <c r="Q60" s="148">
        <f t="shared" si="5"/>
        <v>750</v>
      </c>
    </row>
    <row r="61" spans="1:17" ht="15" customHeight="1" x14ac:dyDescent="0.2">
      <c r="A61" s="174"/>
      <c r="B61" s="174"/>
      <c r="C61" s="194"/>
      <c r="D61" s="190" t="s">
        <v>399</v>
      </c>
      <c r="E61" s="148">
        <v>2</v>
      </c>
      <c r="F61" s="148">
        <v>131205</v>
      </c>
      <c r="G61" s="148">
        <f>0+táj.2!G61</f>
        <v>0</v>
      </c>
      <c r="H61" s="148">
        <f>0+táj.2!H61</f>
        <v>0</v>
      </c>
      <c r="I61" s="148">
        <f>0+táj.2!I61</f>
        <v>0</v>
      </c>
      <c r="J61" s="148">
        <f>0+táj.2!J61</f>
        <v>0</v>
      </c>
      <c r="K61" s="148">
        <f>920+táj.2!K61</f>
        <v>0</v>
      </c>
      <c r="L61" s="148">
        <f>0+táj.2!L61</f>
        <v>0</v>
      </c>
      <c r="M61" s="148">
        <f>0+táj.2!M61</f>
        <v>0</v>
      </c>
      <c r="N61" s="148">
        <f>0+táj.2!N61</f>
        <v>0</v>
      </c>
      <c r="O61" s="148">
        <f>0+táj.2!O61</f>
        <v>0</v>
      </c>
      <c r="P61" s="148">
        <f>0+táj.2!P61</f>
        <v>0</v>
      </c>
      <c r="Q61" s="148">
        <f t="shared" si="5"/>
        <v>0</v>
      </c>
    </row>
    <row r="62" spans="1:17" ht="15" customHeight="1" x14ac:dyDescent="0.2">
      <c r="A62" s="174"/>
      <c r="B62" s="174"/>
      <c r="C62" s="194"/>
      <c r="D62" s="190" t="s">
        <v>400</v>
      </c>
      <c r="E62" s="148">
        <v>2</v>
      </c>
      <c r="F62" s="148">
        <v>131206</v>
      </c>
      <c r="G62" s="148">
        <f>0+táj.2!G62</f>
        <v>0</v>
      </c>
      <c r="H62" s="148">
        <f>0+táj.2!H62</f>
        <v>0</v>
      </c>
      <c r="I62" s="148">
        <f>0+táj.2!I62</f>
        <v>0</v>
      </c>
      <c r="J62" s="148">
        <f>0+táj.2!J62</f>
        <v>0</v>
      </c>
      <c r="K62" s="148">
        <f>800+táj.2!K62</f>
        <v>800</v>
      </c>
      <c r="L62" s="148">
        <f>0+táj.2!L62</f>
        <v>0</v>
      </c>
      <c r="M62" s="148">
        <f>0+táj.2!M62</f>
        <v>0</v>
      </c>
      <c r="N62" s="148">
        <f>0+táj.2!N62</f>
        <v>0</v>
      </c>
      <c r="O62" s="148">
        <f>0+táj.2!O62</f>
        <v>0</v>
      </c>
      <c r="P62" s="148">
        <f>0+táj.2!P62</f>
        <v>0</v>
      </c>
      <c r="Q62" s="148">
        <f t="shared" si="5"/>
        <v>800</v>
      </c>
    </row>
    <row r="63" spans="1:17" ht="15" customHeight="1" x14ac:dyDescent="0.2">
      <c r="A63" s="174"/>
      <c r="B63" s="174"/>
      <c r="C63" s="194"/>
      <c r="D63" s="189" t="s">
        <v>401</v>
      </c>
      <c r="E63" s="148">
        <v>2</v>
      </c>
      <c r="F63" s="148">
        <v>131209</v>
      </c>
      <c r="G63" s="148">
        <f>150+táj.2!G63</f>
        <v>150</v>
      </c>
      <c r="H63" s="148">
        <f>61+táj.2!H63</f>
        <v>61</v>
      </c>
      <c r="I63" s="148">
        <f>317+táj.2!I63</f>
        <v>317</v>
      </c>
      <c r="J63" s="148">
        <f>0+táj.2!J63</f>
        <v>0</v>
      </c>
      <c r="K63" s="148">
        <f>0+táj.2!K63</f>
        <v>0</v>
      </c>
      <c r="L63" s="148">
        <f>0+táj.2!L63</f>
        <v>0</v>
      </c>
      <c r="M63" s="148">
        <f>0+táj.2!M63</f>
        <v>0</v>
      </c>
      <c r="N63" s="148">
        <f>0+táj.2!N63</f>
        <v>0</v>
      </c>
      <c r="O63" s="148">
        <f>0+táj.2!O63</f>
        <v>0</v>
      </c>
      <c r="P63" s="148">
        <f>0+táj.2!P63</f>
        <v>0</v>
      </c>
      <c r="Q63" s="148">
        <f t="shared" si="5"/>
        <v>528</v>
      </c>
    </row>
    <row r="64" spans="1:17" ht="15" customHeight="1" x14ac:dyDescent="0.2">
      <c r="A64" s="174"/>
      <c r="B64" s="174"/>
      <c r="C64" s="194"/>
      <c r="D64" s="190" t="s">
        <v>402</v>
      </c>
      <c r="E64" s="148">
        <v>2</v>
      </c>
      <c r="F64" s="148">
        <v>131211</v>
      </c>
      <c r="G64" s="148">
        <f>0+táj.2!G64</f>
        <v>0</v>
      </c>
      <c r="H64" s="148">
        <f>0+táj.2!H64</f>
        <v>0</v>
      </c>
      <c r="I64" s="148">
        <f>965+táj.2!I64</f>
        <v>965</v>
      </c>
      <c r="J64" s="148">
        <f>0+táj.2!J64</f>
        <v>0</v>
      </c>
      <c r="K64" s="148">
        <f>0+táj.2!K64</f>
        <v>0</v>
      </c>
      <c r="L64" s="148">
        <f>0+táj.2!L64</f>
        <v>0</v>
      </c>
      <c r="M64" s="148">
        <f>0+táj.2!M64</f>
        <v>0</v>
      </c>
      <c r="N64" s="148">
        <f>0+táj.2!N64</f>
        <v>0</v>
      </c>
      <c r="O64" s="148">
        <f>0+táj.2!O64</f>
        <v>0</v>
      </c>
      <c r="P64" s="148">
        <f>0+táj.2!P64</f>
        <v>0</v>
      </c>
      <c r="Q64" s="148">
        <f t="shared" si="5"/>
        <v>965</v>
      </c>
    </row>
    <row r="65" spans="1:17" ht="14.1" customHeight="1" x14ac:dyDescent="0.2">
      <c r="A65" s="174"/>
      <c r="B65" s="174"/>
      <c r="C65" s="194"/>
      <c r="D65" s="190" t="s">
        <v>365</v>
      </c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</row>
    <row r="66" spans="1:17" ht="14.1" customHeight="1" x14ac:dyDescent="0.2">
      <c r="A66" s="174"/>
      <c r="B66" s="174"/>
      <c r="C66" s="194"/>
      <c r="D66" s="189" t="s">
        <v>403</v>
      </c>
      <c r="E66" s="148">
        <v>2</v>
      </c>
      <c r="F66" s="148">
        <v>131101</v>
      </c>
      <c r="G66" s="148">
        <f>0+táj.2!G66</f>
        <v>0</v>
      </c>
      <c r="H66" s="148">
        <f>0+táj.2!H66</f>
        <v>0</v>
      </c>
      <c r="I66" s="148">
        <f>0+táj.2!I66</f>
        <v>0</v>
      </c>
      <c r="J66" s="148">
        <f>5500+táj.2!J66</f>
        <v>5500</v>
      </c>
      <c r="K66" s="148">
        <f>6500+táj.2!K66</f>
        <v>6500</v>
      </c>
      <c r="L66" s="148">
        <f>0+táj.2!L66</f>
        <v>0</v>
      </c>
      <c r="M66" s="148">
        <f>0+táj.2!M66</f>
        <v>0</v>
      </c>
      <c r="N66" s="148">
        <f>0+táj.2!N66</f>
        <v>0</v>
      </c>
      <c r="O66" s="148">
        <f>0+táj.2!O66</f>
        <v>0</v>
      </c>
      <c r="P66" s="148">
        <f>0+táj.2!P66</f>
        <v>0</v>
      </c>
      <c r="Q66" s="148">
        <f>SUM(G66:P66)</f>
        <v>12000</v>
      </c>
    </row>
    <row r="67" spans="1:17" ht="14.1" customHeight="1" x14ac:dyDescent="0.2">
      <c r="A67" s="174"/>
      <c r="B67" s="174"/>
      <c r="C67" s="194"/>
      <c r="D67" s="189" t="s">
        <v>404</v>
      </c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</row>
    <row r="68" spans="1:17" ht="14.1" customHeight="1" x14ac:dyDescent="0.2">
      <c r="A68" s="174"/>
      <c r="B68" s="174"/>
      <c r="C68" s="194"/>
      <c r="D68" s="190" t="s">
        <v>405</v>
      </c>
      <c r="E68" s="148">
        <v>2</v>
      </c>
      <c r="F68" s="148">
        <v>131120</v>
      </c>
      <c r="G68" s="148">
        <f>0+táj.2!G68</f>
        <v>0</v>
      </c>
      <c r="H68" s="148">
        <f>0+táj.2!H68</f>
        <v>0</v>
      </c>
      <c r="I68" s="148">
        <f>1300+táj.2!I68</f>
        <v>1300</v>
      </c>
      <c r="J68" s="148">
        <f>0+táj.2!J68</f>
        <v>0</v>
      </c>
      <c r="K68" s="148">
        <f>0+táj.2!K68</f>
        <v>0</v>
      </c>
      <c r="L68" s="148">
        <f>0+táj.2!L68</f>
        <v>0</v>
      </c>
      <c r="M68" s="148">
        <f>0+táj.2!M68</f>
        <v>0</v>
      </c>
      <c r="N68" s="148">
        <f>0+táj.2!N68</f>
        <v>0</v>
      </c>
      <c r="O68" s="148">
        <f>0+táj.2!O68</f>
        <v>0</v>
      </c>
      <c r="P68" s="148">
        <f>0+táj.2!P68</f>
        <v>0</v>
      </c>
      <c r="Q68" s="148">
        <f>SUM(G68:P68)</f>
        <v>1300</v>
      </c>
    </row>
    <row r="69" spans="1:17" ht="14.1" customHeight="1" x14ac:dyDescent="0.2">
      <c r="A69" s="174"/>
      <c r="B69" s="174"/>
      <c r="C69" s="194"/>
      <c r="D69" s="190" t="s">
        <v>406</v>
      </c>
      <c r="E69" s="185"/>
      <c r="F69" s="185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</row>
    <row r="70" spans="1:17" ht="14.1" customHeight="1" x14ac:dyDescent="0.2">
      <c r="A70" s="174"/>
      <c r="B70" s="174"/>
      <c r="C70" s="194"/>
      <c r="D70" s="190" t="s">
        <v>407</v>
      </c>
      <c r="E70" s="148">
        <v>2</v>
      </c>
      <c r="F70" s="148">
        <v>131346</v>
      </c>
      <c r="G70" s="148">
        <f>128+táj.2!G70</f>
        <v>128</v>
      </c>
      <c r="H70" s="148">
        <f>58+táj.2!H70</f>
        <v>58</v>
      </c>
      <c r="I70" s="148">
        <f>184+táj.2!I70</f>
        <v>184</v>
      </c>
      <c r="J70" s="148">
        <f>0+táj.2!J70</f>
        <v>0</v>
      </c>
      <c r="K70" s="148">
        <f>740+táj.2!K70</f>
        <v>740</v>
      </c>
      <c r="L70" s="148">
        <f>0+táj.2!L70</f>
        <v>0</v>
      </c>
      <c r="M70" s="148">
        <f>0+táj.2!M70</f>
        <v>0</v>
      </c>
      <c r="N70" s="148">
        <f>0+táj.2!N70</f>
        <v>0</v>
      </c>
      <c r="O70" s="148">
        <f>0+táj.2!O70</f>
        <v>0</v>
      </c>
      <c r="P70" s="148">
        <f>0+táj.2!P70</f>
        <v>0</v>
      </c>
      <c r="Q70" s="148">
        <f t="shared" ref="Q70:Q86" si="6">SUM(G70:P70)</f>
        <v>1110</v>
      </c>
    </row>
    <row r="71" spans="1:17" ht="14.1" customHeight="1" x14ac:dyDescent="0.2">
      <c r="A71" s="174"/>
      <c r="B71" s="174"/>
      <c r="C71" s="194"/>
      <c r="D71" s="190" t="s">
        <v>408</v>
      </c>
      <c r="E71" s="148">
        <v>2</v>
      </c>
      <c r="F71" s="148">
        <v>131305</v>
      </c>
      <c r="G71" s="148">
        <f>0+táj.2!G71</f>
        <v>0</v>
      </c>
      <c r="H71" s="148">
        <f>0+táj.2!H71</f>
        <v>0</v>
      </c>
      <c r="I71" s="148">
        <f>0+táj.2!I71</f>
        <v>0</v>
      </c>
      <c r="J71" s="148">
        <f>0+táj.2!J71</f>
        <v>0</v>
      </c>
      <c r="K71" s="148">
        <f>1500+táj.2!K71</f>
        <v>1500</v>
      </c>
      <c r="L71" s="148">
        <f>0+táj.2!L71</f>
        <v>0</v>
      </c>
      <c r="M71" s="148">
        <f>0+táj.2!M71</f>
        <v>0</v>
      </c>
      <c r="N71" s="148">
        <f>0+táj.2!N71</f>
        <v>0</v>
      </c>
      <c r="O71" s="148">
        <f>0+táj.2!O71</f>
        <v>0</v>
      </c>
      <c r="P71" s="148">
        <f>0+táj.2!P71</f>
        <v>0</v>
      </c>
      <c r="Q71" s="148">
        <f t="shared" si="6"/>
        <v>1500</v>
      </c>
    </row>
    <row r="72" spans="1:17" ht="14.1" customHeight="1" x14ac:dyDescent="0.2">
      <c r="A72" s="174"/>
      <c r="B72" s="174"/>
      <c r="C72" s="194"/>
      <c r="D72" s="190" t="s">
        <v>409</v>
      </c>
      <c r="E72" s="148">
        <v>2</v>
      </c>
      <c r="F72" s="148">
        <v>131306</v>
      </c>
      <c r="G72" s="148">
        <f>0+táj.2!G72</f>
        <v>0</v>
      </c>
      <c r="H72" s="148">
        <f>0+táj.2!H72</f>
        <v>0</v>
      </c>
      <c r="I72" s="148">
        <f>0+táj.2!I72</f>
        <v>0</v>
      </c>
      <c r="J72" s="148">
        <f>0+táj.2!J72</f>
        <v>0</v>
      </c>
      <c r="K72" s="148">
        <f>700+táj.2!K72</f>
        <v>700</v>
      </c>
      <c r="L72" s="148">
        <f>0+táj.2!L72</f>
        <v>0</v>
      </c>
      <c r="M72" s="148">
        <f>0+táj.2!M72</f>
        <v>0</v>
      </c>
      <c r="N72" s="148">
        <f>0+táj.2!N72</f>
        <v>0</v>
      </c>
      <c r="O72" s="148">
        <f>0+táj.2!O72</f>
        <v>0</v>
      </c>
      <c r="P72" s="148">
        <f>0+táj.2!P72</f>
        <v>0</v>
      </c>
      <c r="Q72" s="148">
        <f t="shared" si="6"/>
        <v>700</v>
      </c>
    </row>
    <row r="73" spans="1:17" ht="14.1" customHeight="1" x14ac:dyDescent="0.2">
      <c r="A73" s="174"/>
      <c r="B73" s="174"/>
      <c r="C73" s="194"/>
      <c r="D73" s="199" t="s">
        <v>410</v>
      </c>
      <c r="E73" s="148">
        <v>2</v>
      </c>
      <c r="F73" s="148">
        <v>131325</v>
      </c>
      <c r="G73" s="148">
        <f>0+táj.2!G73</f>
        <v>0</v>
      </c>
      <c r="H73" s="148">
        <f>0+táj.2!H73</f>
        <v>0</v>
      </c>
      <c r="I73" s="148">
        <f>1382+táj.2!I73</f>
        <v>1382</v>
      </c>
      <c r="J73" s="148">
        <f>0+táj.2!J73</f>
        <v>0</v>
      </c>
      <c r="K73" s="148">
        <f>0+táj.2!K73</f>
        <v>0</v>
      </c>
      <c r="L73" s="148">
        <f>0+táj.2!L73</f>
        <v>0</v>
      </c>
      <c r="M73" s="148">
        <f>0+táj.2!M73</f>
        <v>0</v>
      </c>
      <c r="N73" s="148">
        <f>0+táj.2!N73</f>
        <v>0</v>
      </c>
      <c r="O73" s="148">
        <f>0+táj.2!O73</f>
        <v>0</v>
      </c>
      <c r="P73" s="148">
        <f>0+táj.2!P73</f>
        <v>0</v>
      </c>
      <c r="Q73" s="148">
        <f t="shared" si="6"/>
        <v>1382</v>
      </c>
    </row>
    <row r="74" spans="1:17" ht="14.1" customHeight="1" x14ac:dyDescent="0.2">
      <c r="A74" s="174"/>
      <c r="B74" s="174"/>
      <c r="C74" s="194"/>
      <c r="D74" s="199" t="s">
        <v>1003</v>
      </c>
      <c r="E74" s="148">
        <v>2</v>
      </c>
      <c r="F74" s="148">
        <v>131321</v>
      </c>
      <c r="G74" s="148">
        <f>0+táj.2!G74</f>
        <v>0</v>
      </c>
      <c r="H74" s="148">
        <f>0+táj.2!H74</f>
        <v>0</v>
      </c>
      <c r="I74" s="148">
        <f>0+táj.2!I74</f>
        <v>0</v>
      </c>
      <c r="J74" s="148">
        <f>0+táj.2!J74</f>
        <v>0</v>
      </c>
      <c r="K74" s="148">
        <f>31000+táj.2!K74</f>
        <v>31000</v>
      </c>
      <c r="L74" s="148">
        <f>0+táj.2!L74</f>
        <v>0</v>
      </c>
      <c r="M74" s="148">
        <f>0+táj.2!M74</f>
        <v>0</v>
      </c>
      <c r="N74" s="148">
        <f>0+táj.2!N74</f>
        <v>0</v>
      </c>
      <c r="O74" s="148">
        <f>0+táj.2!O74</f>
        <v>0</v>
      </c>
      <c r="P74" s="148">
        <f>0+táj.2!P74</f>
        <v>0</v>
      </c>
      <c r="Q74" s="148">
        <f t="shared" si="6"/>
        <v>31000</v>
      </c>
    </row>
    <row r="75" spans="1:17" ht="23.25" customHeight="1" x14ac:dyDescent="0.2">
      <c r="A75" s="174"/>
      <c r="B75" s="174"/>
      <c r="C75" s="194"/>
      <c r="D75" s="199" t="s">
        <v>411</v>
      </c>
      <c r="E75" s="148">
        <v>2</v>
      </c>
      <c r="F75" s="148">
        <v>131313</v>
      </c>
      <c r="G75" s="148">
        <f>0+táj.2!G75</f>
        <v>0</v>
      </c>
      <c r="H75" s="148">
        <f>0+táj.2!H75</f>
        <v>0</v>
      </c>
      <c r="I75" s="148">
        <f>0+táj.2!I75</f>
        <v>0</v>
      </c>
      <c r="J75" s="148">
        <f>0+táj.2!J75</f>
        <v>0</v>
      </c>
      <c r="K75" s="148">
        <f>42500+táj.2!K75</f>
        <v>42500</v>
      </c>
      <c r="L75" s="148">
        <f>0+táj.2!L75</f>
        <v>0</v>
      </c>
      <c r="M75" s="148">
        <f>0+táj.2!M75</f>
        <v>0</v>
      </c>
      <c r="N75" s="148">
        <f>0+táj.2!N75</f>
        <v>0</v>
      </c>
      <c r="O75" s="148">
        <f>0+táj.2!O75</f>
        <v>0</v>
      </c>
      <c r="P75" s="148">
        <f>0+táj.2!P75</f>
        <v>0</v>
      </c>
      <c r="Q75" s="148">
        <f t="shared" si="6"/>
        <v>42500</v>
      </c>
    </row>
    <row r="76" spans="1:17" ht="14.1" customHeight="1" x14ac:dyDescent="0.2">
      <c r="A76" s="174"/>
      <c r="B76" s="174"/>
      <c r="C76" s="194"/>
      <c r="D76" s="213" t="s">
        <v>412</v>
      </c>
      <c r="E76" s="148">
        <v>2</v>
      </c>
      <c r="F76" s="148">
        <v>131501</v>
      </c>
      <c r="G76" s="148">
        <f>0+táj.2!G76</f>
        <v>0</v>
      </c>
      <c r="H76" s="148">
        <f>0+táj.2!H76</f>
        <v>0</v>
      </c>
      <c r="I76" s="148">
        <f>250+táj.2!I76</f>
        <v>250</v>
      </c>
      <c r="J76" s="148">
        <f>0+táj.2!J76</f>
        <v>0</v>
      </c>
      <c r="K76" s="148">
        <f>0+táj.2!K76</f>
        <v>0</v>
      </c>
      <c r="L76" s="148">
        <f>0+táj.2!L76</f>
        <v>0</v>
      </c>
      <c r="M76" s="148">
        <f>0+táj.2!M76</f>
        <v>0</v>
      </c>
      <c r="N76" s="148">
        <f>0+táj.2!N76</f>
        <v>0</v>
      </c>
      <c r="O76" s="148">
        <f>0+táj.2!O76</f>
        <v>0</v>
      </c>
      <c r="P76" s="148">
        <f>0+táj.2!P76</f>
        <v>0</v>
      </c>
      <c r="Q76" s="148">
        <f t="shared" si="6"/>
        <v>250</v>
      </c>
    </row>
    <row r="77" spans="1:17" ht="14.1" customHeight="1" x14ac:dyDescent="0.2">
      <c r="A77" s="174"/>
      <c r="B77" s="174"/>
      <c r="C77" s="194"/>
      <c r="D77" s="213" t="s">
        <v>413</v>
      </c>
      <c r="E77" s="148">
        <v>2</v>
      </c>
      <c r="F77" s="148">
        <v>131307</v>
      </c>
      <c r="G77" s="148">
        <f>0+táj.2!G77</f>
        <v>0</v>
      </c>
      <c r="H77" s="148">
        <f>0+táj.2!H77</f>
        <v>0</v>
      </c>
      <c r="I77" s="148">
        <f>0+táj.2!I77</f>
        <v>0</v>
      </c>
      <c r="J77" s="148">
        <f>0+táj.2!J77</f>
        <v>0</v>
      </c>
      <c r="K77" s="148">
        <f>600+táj.2!K77</f>
        <v>600</v>
      </c>
      <c r="L77" s="148">
        <f>0+táj.2!L77</f>
        <v>0</v>
      </c>
      <c r="M77" s="148">
        <f>0+táj.2!M77</f>
        <v>0</v>
      </c>
      <c r="N77" s="148">
        <f>0+táj.2!N77</f>
        <v>0</v>
      </c>
      <c r="O77" s="148">
        <f>0+táj.2!O77</f>
        <v>0</v>
      </c>
      <c r="P77" s="148">
        <f>0+táj.2!P77</f>
        <v>0</v>
      </c>
      <c r="Q77" s="148">
        <f t="shared" si="6"/>
        <v>600</v>
      </c>
    </row>
    <row r="78" spans="1:17" ht="15" customHeight="1" x14ac:dyDescent="0.2">
      <c r="A78" s="174"/>
      <c r="B78" s="174"/>
      <c r="C78" s="194"/>
      <c r="D78" s="218" t="s">
        <v>414</v>
      </c>
      <c r="E78" s="148">
        <v>2</v>
      </c>
      <c r="F78" s="148">
        <v>131340</v>
      </c>
      <c r="G78" s="148">
        <f>0+táj.2!G78</f>
        <v>0</v>
      </c>
      <c r="H78" s="148">
        <f>0+táj.2!H78</f>
        <v>0</v>
      </c>
      <c r="I78" s="148">
        <f>0+táj.2!I78</f>
        <v>0</v>
      </c>
      <c r="J78" s="148">
        <f>0+táj.2!J78</f>
        <v>0</v>
      </c>
      <c r="K78" s="148">
        <f>400+táj.2!K78</f>
        <v>400</v>
      </c>
      <c r="L78" s="148">
        <f>0+táj.2!L78</f>
        <v>0</v>
      </c>
      <c r="M78" s="148">
        <f>0+táj.2!M78</f>
        <v>0</v>
      </c>
      <c r="N78" s="148">
        <f>0+táj.2!N78</f>
        <v>0</v>
      </c>
      <c r="O78" s="148">
        <f>0+táj.2!O78</f>
        <v>0</v>
      </c>
      <c r="P78" s="148">
        <f>0+táj.2!P78</f>
        <v>0</v>
      </c>
      <c r="Q78" s="148">
        <f t="shared" si="6"/>
        <v>400</v>
      </c>
    </row>
    <row r="79" spans="1:17" ht="15" customHeight="1" x14ac:dyDescent="0.2">
      <c r="A79" s="174"/>
      <c r="B79" s="174"/>
      <c r="C79" s="194"/>
      <c r="D79" s="218" t="s">
        <v>415</v>
      </c>
      <c r="E79" s="148">
        <v>2</v>
      </c>
      <c r="F79" s="388">
        <v>131343</v>
      </c>
      <c r="G79" s="148">
        <f>0+táj.2!G79</f>
        <v>0</v>
      </c>
      <c r="H79" s="148">
        <f>0+táj.2!H79</f>
        <v>0</v>
      </c>
      <c r="I79" s="148">
        <f>0+táj.2!I79</f>
        <v>0</v>
      </c>
      <c r="J79" s="148">
        <f>0+táj.2!J79</f>
        <v>0</v>
      </c>
      <c r="K79" s="148">
        <f>400+táj.2!K79</f>
        <v>400</v>
      </c>
      <c r="L79" s="148">
        <f>0+táj.2!L79</f>
        <v>0</v>
      </c>
      <c r="M79" s="148">
        <f>0+táj.2!M79</f>
        <v>0</v>
      </c>
      <c r="N79" s="148">
        <f>0+táj.2!N79</f>
        <v>0</v>
      </c>
      <c r="O79" s="148">
        <f>0+táj.2!O79</f>
        <v>0</v>
      </c>
      <c r="P79" s="148">
        <f>0+táj.2!P79</f>
        <v>0</v>
      </c>
      <c r="Q79" s="148">
        <f t="shared" si="6"/>
        <v>400</v>
      </c>
    </row>
    <row r="80" spans="1:17" ht="15" customHeight="1" x14ac:dyDescent="0.2">
      <c r="A80" s="174"/>
      <c r="B80" s="174"/>
      <c r="C80" s="194"/>
      <c r="D80" s="218" t="s">
        <v>1113</v>
      </c>
      <c r="E80" s="148">
        <v>2</v>
      </c>
      <c r="F80" s="388">
        <v>131351</v>
      </c>
      <c r="G80" s="148">
        <f>0+táj.2!G80</f>
        <v>0</v>
      </c>
      <c r="H80" s="148">
        <f>0+táj.2!H80</f>
        <v>0</v>
      </c>
      <c r="I80" s="148">
        <f>0+táj.2!I80</f>
        <v>0</v>
      </c>
      <c r="J80" s="148">
        <f>0+táj.2!J80</f>
        <v>0</v>
      </c>
      <c r="K80" s="148">
        <f>400+táj.2!K80</f>
        <v>400</v>
      </c>
      <c r="L80" s="148">
        <f>0+táj.2!L80</f>
        <v>0</v>
      </c>
      <c r="M80" s="148">
        <f>0+táj.2!M80</f>
        <v>0</v>
      </c>
      <c r="N80" s="148">
        <f>0+táj.2!N80</f>
        <v>0</v>
      </c>
      <c r="O80" s="148">
        <f>0+táj.2!O80</f>
        <v>0</v>
      </c>
      <c r="P80" s="148">
        <f>0+táj.2!P80</f>
        <v>0</v>
      </c>
      <c r="Q80" s="148">
        <f t="shared" si="6"/>
        <v>400</v>
      </c>
    </row>
    <row r="81" spans="1:17" ht="15" customHeight="1" x14ac:dyDescent="0.2">
      <c r="A81" s="174"/>
      <c r="B81" s="174"/>
      <c r="C81" s="194"/>
      <c r="D81" s="219" t="s">
        <v>1114</v>
      </c>
      <c r="E81" s="148">
        <v>2</v>
      </c>
      <c r="F81" s="148">
        <v>131310</v>
      </c>
      <c r="G81" s="148">
        <f>0+táj.2!G81</f>
        <v>0</v>
      </c>
      <c r="H81" s="148">
        <f>0+táj.2!H81</f>
        <v>0</v>
      </c>
      <c r="I81" s="148">
        <f>0+táj.2!I81</f>
        <v>0</v>
      </c>
      <c r="J81" s="148">
        <f>0+táj.2!J81</f>
        <v>0</v>
      </c>
      <c r="K81" s="148">
        <f>500+táj.2!K81</f>
        <v>500</v>
      </c>
      <c r="L81" s="148">
        <f>0+táj.2!L81</f>
        <v>0</v>
      </c>
      <c r="M81" s="148">
        <f>0+táj.2!M81</f>
        <v>0</v>
      </c>
      <c r="N81" s="148">
        <f>0+táj.2!N81</f>
        <v>0</v>
      </c>
      <c r="O81" s="148">
        <f>0+táj.2!O81</f>
        <v>0</v>
      </c>
      <c r="P81" s="148">
        <f>0+táj.2!P81</f>
        <v>0</v>
      </c>
      <c r="Q81" s="148">
        <f t="shared" si="6"/>
        <v>500</v>
      </c>
    </row>
    <row r="82" spans="1:17" ht="15" customHeight="1" x14ac:dyDescent="0.2">
      <c r="A82" s="174"/>
      <c r="B82" s="174"/>
      <c r="C82" s="194"/>
      <c r="D82" s="219" t="s">
        <v>1007</v>
      </c>
      <c r="E82" s="148">
        <v>2</v>
      </c>
      <c r="F82" s="148">
        <v>131315</v>
      </c>
      <c r="G82" s="148">
        <f>0+táj.2!G82</f>
        <v>0</v>
      </c>
      <c r="H82" s="148">
        <f>0+táj.2!H82</f>
        <v>0</v>
      </c>
      <c r="I82" s="148">
        <f>0+táj.2!I82</f>
        <v>0</v>
      </c>
      <c r="J82" s="148">
        <f>0+táj.2!J82</f>
        <v>0</v>
      </c>
      <c r="K82" s="148">
        <f>500+táj.2!K82</f>
        <v>500</v>
      </c>
      <c r="L82" s="148">
        <f>0+táj.2!L82</f>
        <v>0</v>
      </c>
      <c r="M82" s="148">
        <f>0+táj.2!M82</f>
        <v>0</v>
      </c>
      <c r="N82" s="148">
        <f>0+táj.2!N82</f>
        <v>0</v>
      </c>
      <c r="O82" s="148">
        <f>0+táj.2!O82</f>
        <v>0</v>
      </c>
      <c r="P82" s="148">
        <f>0+táj.2!P82</f>
        <v>0</v>
      </c>
      <c r="Q82" s="148">
        <f t="shared" si="6"/>
        <v>500</v>
      </c>
    </row>
    <row r="83" spans="1:17" ht="15" customHeight="1" x14ac:dyDescent="0.2">
      <c r="A83" s="174"/>
      <c r="B83" s="174"/>
      <c r="C83" s="194"/>
      <c r="D83" s="682" t="s">
        <v>1115</v>
      </c>
      <c r="E83" s="148">
        <v>2</v>
      </c>
      <c r="F83" s="148">
        <v>131314</v>
      </c>
      <c r="G83" s="148">
        <f>0+táj.2!G83</f>
        <v>0</v>
      </c>
      <c r="H83" s="148">
        <f>0+táj.2!H83</f>
        <v>0</v>
      </c>
      <c r="I83" s="148">
        <f>0+táj.2!I83</f>
        <v>0</v>
      </c>
      <c r="J83" s="148">
        <f>0+táj.2!J83</f>
        <v>0</v>
      </c>
      <c r="K83" s="148">
        <f>1500+táj.2!K83</f>
        <v>1500</v>
      </c>
      <c r="L83" s="148">
        <f>0+táj.2!L83</f>
        <v>0</v>
      </c>
      <c r="M83" s="148">
        <f>0+táj.2!M83</f>
        <v>0</v>
      </c>
      <c r="N83" s="148">
        <f>0+táj.2!N83</f>
        <v>0</v>
      </c>
      <c r="O83" s="148">
        <f>0+táj.2!O83</f>
        <v>0</v>
      </c>
      <c r="P83" s="148">
        <f>0+táj.2!P83</f>
        <v>0</v>
      </c>
      <c r="Q83" s="148">
        <f t="shared" si="6"/>
        <v>1500</v>
      </c>
    </row>
    <row r="84" spans="1:17" ht="15" customHeight="1" x14ac:dyDescent="0.2">
      <c r="A84" s="174"/>
      <c r="B84" s="174"/>
      <c r="C84" s="194"/>
      <c r="D84" s="218" t="s">
        <v>417</v>
      </c>
      <c r="E84" s="148">
        <v>2</v>
      </c>
      <c r="F84" s="148">
        <v>131348</v>
      </c>
      <c r="G84" s="148">
        <f>0+táj.2!G84</f>
        <v>0</v>
      </c>
      <c r="H84" s="148">
        <f>0+táj.2!H84</f>
        <v>0</v>
      </c>
      <c r="I84" s="148">
        <f>0+táj.2!I84</f>
        <v>0</v>
      </c>
      <c r="J84" s="148">
        <f>0+táj.2!J84</f>
        <v>0</v>
      </c>
      <c r="K84" s="148">
        <f>2500+táj.2!K84</f>
        <v>2500</v>
      </c>
      <c r="L84" s="148">
        <f>0+táj.2!L84</f>
        <v>0</v>
      </c>
      <c r="M84" s="148">
        <f>0+táj.2!M84</f>
        <v>0</v>
      </c>
      <c r="N84" s="148">
        <f>0+táj.2!N84</f>
        <v>0</v>
      </c>
      <c r="O84" s="148">
        <f>0+táj.2!O84</f>
        <v>0</v>
      </c>
      <c r="P84" s="148">
        <f>0+táj.2!P84</f>
        <v>0</v>
      </c>
      <c r="Q84" s="148">
        <f t="shared" si="6"/>
        <v>2500</v>
      </c>
    </row>
    <row r="85" spans="1:17" ht="23.25" customHeight="1" x14ac:dyDescent="0.2">
      <c r="A85" s="174"/>
      <c r="B85" s="174"/>
      <c r="C85" s="194"/>
      <c r="D85" s="220" t="s">
        <v>418</v>
      </c>
      <c r="E85" s="148">
        <v>2</v>
      </c>
      <c r="F85" s="148">
        <v>131345</v>
      </c>
      <c r="G85" s="148">
        <f>0+táj.2!G85</f>
        <v>0</v>
      </c>
      <c r="H85" s="148">
        <f>0+táj.2!H85</f>
        <v>0</v>
      </c>
      <c r="I85" s="148">
        <f>0+táj.2!I85</f>
        <v>0</v>
      </c>
      <c r="J85" s="148">
        <f>0+táj.2!J85</f>
        <v>0</v>
      </c>
      <c r="K85" s="148">
        <f>200+táj.2!K85</f>
        <v>200</v>
      </c>
      <c r="L85" s="148">
        <f>0+táj.2!L85</f>
        <v>0</v>
      </c>
      <c r="M85" s="148">
        <f>0+táj.2!M85</f>
        <v>0</v>
      </c>
      <c r="N85" s="148">
        <f>0+táj.2!N85</f>
        <v>0</v>
      </c>
      <c r="O85" s="148">
        <f>0+táj.2!O85</f>
        <v>0</v>
      </c>
      <c r="P85" s="148">
        <f>0+táj.2!P85</f>
        <v>0</v>
      </c>
      <c r="Q85" s="148">
        <f t="shared" si="6"/>
        <v>200</v>
      </c>
    </row>
    <row r="86" spans="1:17" ht="17.25" customHeight="1" x14ac:dyDescent="0.2">
      <c r="A86" s="174"/>
      <c r="B86" s="174"/>
      <c r="C86" s="194"/>
      <c r="D86" s="513" t="s">
        <v>1116</v>
      </c>
      <c r="E86" s="207">
        <v>2</v>
      </c>
      <c r="F86" s="148">
        <v>131326</v>
      </c>
      <c r="G86" s="148">
        <f>0+táj.2!G86</f>
        <v>0</v>
      </c>
      <c r="H86" s="148">
        <f>0+táj.2!H86</f>
        <v>0</v>
      </c>
      <c r="I86" s="148">
        <f>0+táj.2!I86</f>
        <v>0</v>
      </c>
      <c r="J86" s="148">
        <f>0+táj.2!J86</f>
        <v>0</v>
      </c>
      <c r="K86" s="148">
        <f>2900+táj.2!K86</f>
        <v>2900</v>
      </c>
      <c r="L86" s="148">
        <f>0+táj.2!L86</f>
        <v>0</v>
      </c>
      <c r="M86" s="148">
        <f>0+táj.2!M86</f>
        <v>0</v>
      </c>
      <c r="N86" s="148">
        <f>0+táj.2!N86</f>
        <v>0</v>
      </c>
      <c r="O86" s="148">
        <f>0+táj.2!O86</f>
        <v>0</v>
      </c>
      <c r="P86" s="148">
        <f>0+táj.2!P86</f>
        <v>0</v>
      </c>
      <c r="Q86" s="148">
        <f t="shared" si="6"/>
        <v>2900</v>
      </c>
    </row>
    <row r="87" spans="1:17" ht="14.1" customHeight="1" x14ac:dyDescent="0.2">
      <c r="A87" s="174"/>
      <c r="B87" s="174"/>
      <c r="C87" s="194"/>
      <c r="D87" s="148" t="s">
        <v>419</v>
      </c>
      <c r="E87" s="212"/>
      <c r="F87" s="185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</row>
    <row r="88" spans="1:17" ht="24.95" customHeight="1" x14ac:dyDescent="0.2">
      <c r="A88" s="174"/>
      <c r="B88" s="174"/>
      <c r="C88" s="194"/>
      <c r="D88" s="199" t="s">
        <v>420</v>
      </c>
      <c r="E88" s="185">
        <v>2</v>
      </c>
      <c r="F88" s="148">
        <v>131401</v>
      </c>
      <c r="G88" s="148">
        <f>0+táj.2!G88</f>
        <v>0</v>
      </c>
      <c r="H88" s="148">
        <f>0+táj.2!H88</f>
        <v>0</v>
      </c>
      <c r="I88" s="148">
        <f>0+táj.2!I88</f>
        <v>0</v>
      </c>
      <c r="J88" s="148">
        <f>0+táj.2!J88</f>
        <v>0</v>
      </c>
      <c r="K88" s="148">
        <f>1800+táj.2!K88</f>
        <v>1800</v>
      </c>
      <c r="L88" s="148">
        <f>0+táj.2!L88</f>
        <v>0</v>
      </c>
      <c r="M88" s="148">
        <f>0+táj.2!M88</f>
        <v>0</v>
      </c>
      <c r="N88" s="148">
        <f>0+táj.2!N88</f>
        <v>0</v>
      </c>
      <c r="O88" s="148">
        <f>0+táj.2!O88</f>
        <v>0</v>
      </c>
      <c r="P88" s="148">
        <f>0+táj.2!P88</f>
        <v>0</v>
      </c>
      <c r="Q88" s="148">
        <f t="shared" ref="Q88:Q94" si="7">SUM(G88:P88)</f>
        <v>1800</v>
      </c>
    </row>
    <row r="89" spans="1:17" ht="14.1" customHeight="1" x14ac:dyDescent="0.2">
      <c r="A89" s="174"/>
      <c r="B89" s="174"/>
      <c r="C89" s="222"/>
      <c r="D89" s="223" t="s">
        <v>421</v>
      </c>
      <c r="E89" s="185">
        <v>2</v>
      </c>
      <c r="F89" s="148">
        <v>131402</v>
      </c>
      <c r="G89" s="148">
        <f>0+táj.2!G89</f>
        <v>0</v>
      </c>
      <c r="H89" s="148">
        <f>0+táj.2!H89</f>
        <v>0</v>
      </c>
      <c r="I89" s="148">
        <f>0+táj.2!I89</f>
        <v>0</v>
      </c>
      <c r="J89" s="148">
        <f>0+táj.2!J89</f>
        <v>0</v>
      </c>
      <c r="K89" s="148">
        <f>5000+táj.2!K89</f>
        <v>5000</v>
      </c>
      <c r="L89" s="148">
        <f>0+táj.2!L89</f>
        <v>0</v>
      </c>
      <c r="M89" s="148">
        <f>0+táj.2!M89</f>
        <v>0</v>
      </c>
      <c r="N89" s="148">
        <f>0+táj.2!N89</f>
        <v>0</v>
      </c>
      <c r="O89" s="148">
        <f>0+táj.2!O89</f>
        <v>0</v>
      </c>
      <c r="P89" s="148">
        <f>0+táj.2!P89</f>
        <v>0</v>
      </c>
      <c r="Q89" s="148">
        <f t="shared" si="7"/>
        <v>5000</v>
      </c>
    </row>
    <row r="90" spans="1:17" ht="14.1" customHeight="1" x14ac:dyDescent="0.2">
      <c r="A90" s="174"/>
      <c r="B90" s="174"/>
      <c r="C90" s="194"/>
      <c r="D90" s="190" t="s">
        <v>422</v>
      </c>
      <c r="E90" s="185">
        <v>2</v>
      </c>
      <c r="F90" s="148">
        <v>131403</v>
      </c>
      <c r="G90" s="148">
        <f>0+táj.2!G90</f>
        <v>0</v>
      </c>
      <c r="H90" s="148">
        <f>0+táj.2!H90</f>
        <v>0</v>
      </c>
      <c r="I90" s="148">
        <f>0+táj.2!I90</f>
        <v>0</v>
      </c>
      <c r="J90" s="148">
        <f>0+táj.2!J90</f>
        <v>0</v>
      </c>
      <c r="K90" s="148">
        <f>5000+táj.2!K90</f>
        <v>5000</v>
      </c>
      <c r="L90" s="148">
        <f>0+táj.2!L90</f>
        <v>0</v>
      </c>
      <c r="M90" s="148">
        <f>0+táj.2!M90</f>
        <v>0</v>
      </c>
      <c r="N90" s="148">
        <f>0+táj.2!N90</f>
        <v>0</v>
      </c>
      <c r="O90" s="148">
        <f>0+táj.2!O90</f>
        <v>0</v>
      </c>
      <c r="P90" s="148">
        <f>0+táj.2!P90</f>
        <v>0</v>
      </c>
      <c r="Q90" s="148">
        <f t="shared" si="7"/>
        <v>5000</v>
      </c>
    </row>
    <row r="91" spans="1:17" ht="14.1" customHeight="1" x14ac:dyDescent="0.2">
      <c r="A91" s="174"/>
      <c r="B91" s="174"/>
      <c r="C91" s="194"/>
      <c r="D91" s="190" t="s">
        <v>423</v>
      </c>
      <c r="E91" s="185">
        <v>2</v>
      </c>
      <c r="F91" s="148">
        <v>131404</v>
      </c>
      <c r="G91" s="148">
        <f>0+táj.2!G91</f>
        <v>0</v>
      </c>
      <c r="H91" s="148">
        <f>0+táj.2!H91</f>
        <v>0</v>
      </c>
      <c r="I91" s="148">
        <f>0+táj.2!I91</f>
        <v>0</v>
      </c>
      <c r="J91" s="148">
        <f>0+táj.2!J91</f>
        <v>0</v>
      </c>
      <c r="K91" s="148">
        <f>3275+táj.2!K91</f>
        <v>3275</v>
      </c>
      <c r="L91" s="148">
        <f>0+táj.2!L91</f>
        <v>0</v>
      </c>
      <c r="M91" s="148">
        <f>0+táj.2!M91</f>
        <v>0</v>
      </c>
      <c r="N91" s="148">
        <f>0+táj.2!N91</f>
        <v>0</v>
      </c>
      <c r="O91" s="148">
        <f>0+táj.2!O91</f>
        <v>0</v>
      </c>
      <c r="P91" s="148">
        <f>0+táj.2!P91</f>
        <v>0</v>
      </c>
      <c r="Q91" s="148">
        <f t="shared" si="7"/>
        <v>3275</v>
      </c>
    </row>
    <row r="92" spans="1:17" ht="14.1" customHeight="1" x14ac:dyDescent="0.2">
      <c r="A92" s="174"/>
      <c r="B92" s="174"/>
      <c r="C92" s="194"/>
      <c r="D92" s="190" t="s">
        <v>424</v>
      </c>
      <c r="E92" s="185">
        <v>2</v>
      </c>
      <c r="F92" s="148">
        <v>131330</v>
      </c>
      <c r="G92" s="148">
        <f>0+táj.2!G92</f>
        <v>0</v>
      </c>
      <c r="H92" s="148">
        <f>0+táj.2!H92</f>
        <v>0</v>
      </c>
      <c r="I92" s="148">
        <f>0+táj.2!I92</f>
        <v>0</v>
      </c>
      <c r="J92" s="148">
        <f>0+táj.2!J92</f>
        <v>0</v>
      </c>
      <c r="K92" s="148">
        <f>2000+táj.2!K92</f>
        <v>2000</v>
      </c>
      <c r="L92" s="148">
        <f>0+táj.2!L92</f>
        <v>0</v>
      </c>
      <c r="M92" s="148">
        <f>0+táj.2!M92</f>
        <v>0</v>
      </c>
      <c r="N92" s="148">
        <f>0+táj.2!N92</f>
        <v>0</v>
      </c>
      <c r="O92" s="148">
        <f>0+táj.2!O92</f>
        <v>0</v>
      </c>
      <c r="P92" s="148">
        <f>0+táj.2!P92</f>
        <v>0</v>
      </c>
      <c r="Q92" s="148">
        <f t="shared" si="7"/>
        <v>2000</v>
      </c>
    </row>
    <row r="93" spans="1:17" ht="14.1" customHeight="1" x14ac:dyDescent="0.2">
      <c r="A93" s="174"/>
      <c r="B93" s="174"/>
      <c r="C93" s="194"/>
      <c r="D93" s="190" t="s">
        <v>425</v>
      </c>
      <c r="E93" s="185">
        <v>2</v>
      </c>
      <c r="F93" s="148">
        <v>131507</v>
      </c>
      <c r="G93" s="148">
        <f>0+táj.2!G93</f>
        <v>0</v>
      </c>
      <c r="H93" s="148">
        <f>0+táj.2!H93</f>
        <v>0</v>
      </c>
      <c r="I93" s="148">
        <f>0+táj.2!I93</f>
        <v>0</v>
      </c>
      <c r="J93" s="148">
        <f>0+táj.2!J93</f>
        <v>0</v>
      </c>
      <c r="K93" s="148">
        <f>2000+táj.2!K93</f>
        <v>2000</v>
      </c>
      <c r="L93" s="148">
        <f>0+táj.2!L93</f>
        <v>0</v>
      </c>
      <c r="M93" s="148">
        <f>0+táj.2!M93</f>
        <v>0</v>
      </c>
      <c r="N93" s="148">
        <f>0+táj.2!N93</f>
        <v>0</v>
      </c>
      <c r="O93" s="148">
        <f>0+táj.2!O93</f>
        <v>0</v>
      </c>
      <c r="P93" s="148">
        <f>0+táj.2!P93</f>
        <v>0</v>
      </c>
      <c r="Q93" s="148">
        <f t="shared" si="7"/>
        <v>2000</v>
      </c>
    </row>
    <row r="94" spans="1:17" ht="14.1" customHeight="1" x14ac:dyDescent="0.2">
      <c r="A94" s="174"/>
      <c r="B94" s="174"/>
      <c r="C94" s="222"/>
      <c r="D94" s="224" t="s">
        <v>426</v>
      </c>
      <c r="E94" s="185">
        <v>2</v>
      </c>
      <c r="F94" s="148">
        <v>171943</v>
      </c>
      <c r="G94" s="148">
        <f>0+táj.2!G94</f>
        <v>0</v>
      </c>
      <c r="H94" s="148">
        <f>0+táj.2!H94</f>
        <v>0</v>
      </c>
      <c r="I94" s="148">
        <f>0+táj.2!I94</f>
        <v>0</v>
      </c>
      <c r="J94" s="148">
        <f>0+táj.2!J94</f>
        <v>0</v>
      </c>
      <c r="K94" s="148">
        <f>400+táj.2!K94</f>
        <v>400</v>
      </c>
      <c r="L94" s="148">
        <f>0+táj.2!L94</f>
        <v>0</v>
      </c>
      <c r="M94" s="148">
        <f>0+táj.2!M94</f>
        <v>0</v>
      </c>
      <c r="N94" s="148">
        <f>0+táj.2!N94</f>
        <v>0</v>
      </c>
      <c r="O94" s="148">
        <f>0+táj.2!O94</f>
        <v>0</v>
      </c>
      <c r="P94" s="148">
        <f>0+táj.2!P94</f>
        <v>0</v>
      </c>
      <c r="Q94" s="148">
        <f t="shared" si="7"/>
        <v>400</v>
      </c>
    </row>
    <row r="95" spans="1:17" ht="14.1" customHeight="1" x14ac:dyDescent="0.2">
      <c r="A95" s="174"/>
      <c r="B95" s="174"/>
      <c r="C95" s="194"/>
      <c r="D95" s="213" t="s">
        <v>427</v>
      </c>
      <c r="E95" s="217"/>
      <c r="F95" s="217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</row>
    <row r="96" spans="1:17" ht="14.1" customHeight="1" x14ac:dyDescent="0.2">
      <c r="A96" s="174"/>
      <c r="B96" s="174"/>
      <c r="C96" s="194"/>
      <c r="D96" s="213" t="s">
        <v>428</v>
      </c>
      <c r="E96" s="225">
        <v>2</v>
      </c>
      <c r="F96" s="226">
        <v>131502</v>
      </c>
      <c r="G96" s="148">
        <f>0+táj.2!G96</f>
        <v>0</v>
      </c>
      <c r="H96" s="148">
        <f>0+táj.2!H96</f>
        <v>0</v>
      </c>
      <c r="I96" s="148">
        <f>0+táj.2!I96</f>
        <v>0</v>
      </c>
      <c r="J96" s="148">
        <f>500+táj.2!J96</f>
        <v>500</v>
      </c>
      <c r="K96" s="148">
        <f>0+táj.2!K96</f>
        <v>0</v>
      </c>
      <c r="L96" s="148">
        <f>0+táj.2!L96</f>
        <v>0</v>
      </c>
      <c r="M96" s="148">
        <f>0+táj.2!M96</f>
        <v>0</v>
      </c>
      <c r="N96" s="148">
        <f>0+táj.2!N96</f>
        <v>0</v>
      </c>
      <c r="O96" s="148">
        <f>0+táj.2!O96</f>
        <v>0</v>
      </c>
      <c r="P96" s="148">
        <f>0+táj.2!P96</f>
        <v>0</v>
      </c>
      <c r="Q96" s="148">
        <f>SUM(G96:P96)</f>
        <v>500</v>
      </c>
    </row>
    <row r="97" spans="1:17" ht="14.1" customHeight="1" x14ac:dyDescent="0.2">
      <c r="A97" s="915"/>
      <c r="B97" s="915"/>
      <c r="C97" s="879"/>
      <c r="D97" s="904" t="s">
        <v>1351</v>
      </c>
      <c r="E97" s="916">
        <v>2</v>
      </c>
      <c r="F97" s="878">
        <v>131304</v>
      </c>
      <c r="G97" s="148">
        <f>0+táj.2!G97</f>
        <v>0</v>
      </c>
      <c r="H97" s="148">
        <f>0+táj.2!H97</f>
        <v>0</v>
      </c>
      <c r="I97" s="148">
        <f>0+táj.2!I97</f>
        <v>0</v>
      </c>
      <c r="J97" s="148">
        <f>0+táj.2!J97</f>
        <v>0</v>
      </c>
      <c r="K97" s="148">
        <f>0+táj.2!K97</f>
        <v>7500</v>
      </c>
      <c r="L97" s="148">
        <f>0+táj.2!L97</f>
        <v>0</v>
      </c>
      <c r="M97" s="148">
        <f>0+táj.2!M97</f>
        <v>0</v>
      </c>
      <c r="N97" s="148">
        <f>0+táj.2!N97</f>
        <v>0</v>
      </c>
      <c r="O97" s="148">
        <f>0+táj.2!O97</f>
        <v>0</v>
      </c>
      <c r="P97" s="148">
        <f>0+táj.2!P97</f>
        <v>0</v>
      </c>
      <c r="Q97" s="148">
        <f>SUM(G97:P97)</f>
        <v>7500</v>
      </c>
    </row>
    <row r="98" spans="1:17" ht="14.1" customHeight="1" x14ac:dyDescent="0.2">
      <c r="A98" s="174"/>
      <c r="B98" s="174"/>
      <c r="C98" s="194"/>
      <c r="D98" s="918" t="s">
        <v>1093</v>
      </c>
      <c r="E98" s="225"/>
      <c r="F98" s="226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</row>
    <row r="99" spans="1:17" ht="14.1" customHeight="1" x14ac:dyDescent="0.2">
      <c r="A99" s="174"/>
      <c r="B99" s="174"/>
      <c r="C99" s="194"/>
      <c r="D99" s="213" t="s">
        <v>1117</v>
      </c>
      <c r="E99" s="225">
        <v>1</v>
      </c>
      <c r="F99" s="226">
        <v>131508</v>
      </c>
      <c r="G99" s="148">
        <f>0+táj.2!G99</f>
        <v>0</v>
      </c>
      <c r="H99" s="148">
        <f>0+táj.2!H99</f>
        <v>0</v>
      </c>
      <c r="I99" s="148">
        <f>0+táj.2!I99</f>
        <v>0</v>
      </c>
      <c r="J99" s="148">
        <f>0+táj.2!J99</f>
        <v>0</v>
      </c>
      <c r="K99" s="148">
        <f>288500+táj.2!K99</f>
        <v>288500</v>
      </c>
      <c r="L99" s="148">
        <f>0+táj.2!L99</f>
        <v>0</v>
      </c>
      <c r="M99" s="148">
        <f>0+táj.2!M99</f>
        <v>0</v>
      </c>
      <c r="N99" s="148">
        <f>0+táj.2!N99</f>
        <v>0</v>
      </c>
      <c r="O99" s="148">
        <f>0+táj.2!O99</f>
        <v>0</v>
      </c>
      <c r="P99" s="148">
        <f>0+táj.2!P99</f>
        <v>0</v>
      </c>
      <c r="Q99" s="148">
        <f t="shared" ref="Q99:Q100" si="8">SUM(G99:P99)</f>
        <v>288500</v>
      </c>
    </row>
    <row r="100" spans="1:17" ht="14.1" customHeight="1" x14ac:dyDescent="0.2">
      <c r="A100" s="174"/>
      <c r="B100" s="174"/>
      <c r="C100" s="194"/>
      <c r="D100" s="213" t="s">
        <v>1118</v>
      </c>
      <c r="E100" s="225">
        <v>1</v>
      </c>
      <c r="F100" s="226">
        <v>131509</v>
      </c>
      <c r="G100" s="148">
        <f>0+táj.2!G100</f>
        <v>0</v>
      </c>
      <c r="H100" s="148">
        <f>0+táj.2!H100</f>
        <v>0</v>
      </c>
      <c r="I100" s="148">
        <f>0+táj.2!I100</f>
        <v>0</v>
      </c>
      <c r="J100" s="148">
        <f>0+táj.2!J100</f>
        <v>0</v>
      </c>
      <c r="K100" s="148">
        <f>65000+táj.2!K100</f>
        <v>65000</v>
      </c>
      <c r="L100" s="148">
        <f>0+táj.2!L100</f>
        <v>0</v>
      </c>
      <c r="M100" s="148">
        <f>0+táj.2!M100</f>
        <v>0</v>
      </c>
      <c r="N100" s="148">
        <f>0+táj.2!N100</f>
        <v>0</v>
      </c>
      <c r="O100" s="148">
        <f>0+táj.2!O100</f>
        <v>0</v>
      </c>
      <c r="P100" s="148">
        <f>0+táj.2!P100</f>
        <v>0</v>
      </c>
      <c r="Q100" s="148">
        <f t="shared" si="8"/>
        <v>65000</v>
      </c>
    </row>
    <row r="101" spans="1:17" ht="14.1" customHeight="1" x14ac:dyDescent="0.2">
      <c r="A101" s="174"/>
      <c r="B101" s="174"/>
      <c r="C101" s="194"/>
      <c r="D101" s="514" t="s">
        <v>429</v>
      </c>
      <c r="E101" s="227"/>
      <c r="F101" s="228"/>
      <c r="G101" s="148"/>
      <c r="H101" s="148"/>
      <c r="I101" s="148"/>
      <c r="J101" s="148"/>
      <c r="K101" s="148"/>
      <c r="L101" s="148"/>
      <c r="M101" s="148"/>
      <c r="N101" s="148"/>
      <c r="O101" s="148"/>
      <c r="P101" s="148"/>
      <c r="Q101" s="229"/>
    </row>
    <row r="102" spans="1:17" ht="14.1" customHeight="1" x14ac:dyDescent="0.2">
      <c r="A102" s="231"/>
      <c r="B102" s="231"/>
      <c r="C102" s="232"/>
      <c r="D102" s="186" t="s">
        <v>430</v>
      </c>
      <c r="E102" s="234"/>
      <c r="F102" s="235"/>
      <c r="G102" s="148"/>
      <c r="H102" s="148"/>
      <c r="I102" s="148"/>
      <c r="J102" s="148"/>
      <c r="K102" s="148"/>
      <c r="L102" s="148"/>
      <c r="M102" s="148"/>
      <c r="N102" s="148"/>
      <c r="O102" s="148"/>
      <c r="P102" s="148"/>
      <c r="Q102" s="229"/>
    </row>
    <row r="103" spans="1:17" ht="14.1" customHeight="1" x14ac:dyDescent="0.2">
      <c r="A103" s="231"/>
      <c r="B103" s="231"/>
      <c r="C103" s="232"/>
      <c r="D103" s="233" t="s">
        <v>1119</v>
      </c>
      <c r="E103" s="235">
        <v>1</v>
      </c>
      <c r="F103" s="229">
        <v>131703</v>
      </c>
      <c r="G103" s="148">
        <f>0+táj.2!G103</f>
        <v>0</v>
      </c>
      <c r="H103" s="148">
        <f>0+táj.2!H103</f>
        <v>0</v>
      </c>
      <c r="I103" s="148">
        <f>10500+táj.2!I103</f>
        <v>10500</v>
      </c>
      <c r="J103" s="148">
        <f>0+táj.2!J103</f>
        <v>0</v>
      </c>
      <c r="K103" s="148">
        <f>0+táj.2!K103</f>
        <v>0</v>
      </c>
      <c r="L103" s="148">
        <f>0+táj.2!L103</f>
        <v>0</v>
      </c>
      <c r="M103" s="148">
        <f>0+táj.2!M103</f>
        <v>0</v>
      </c>
      <c r="N103" s="148">
        <f>0+táj.2!N103</f>
        <v>0</v>
      </c>
      <c r="O103" s="148">
        <f>0+táj.2!O103</f>
        <v>0</v>
      </c>
      <c r="P103" s="148">
        <f>0+táj.2!P103</f>
        <v>0</v>
      </c>
      <c r="Q103" s="229">
        <f>SUM(G103:P103)</f>
        <v>10500</v>
      </c>
    </row>
    <row r="104" spans="1:17" ht="15" customHeight="1" x14ac:dyDescent="0.2">
      <c r="A104" s="231"/>
      <c r="B104" s="231"/>
      <c r="C104" s="232"/>
      <c r="D104" s="236" t="s">
        <v>432</v>
      </c>
      <c r="E104" s="235">
        <v>1</v>
      </c>
      <c r="F104" s="229">
        <v>121319</v>
      </c>
      <c r="G104" s="148">
        <f>0+táj.2!G104</f>
        <v>0</v>
      </c>
      <c r="H104" s="148">
        <f>0+táj.2!H104</f>
        <v>0</v>
      </c>
      <c r="I104" s="148">
        <f>0+táj.2!I104</f>
        <v>0</v>
      </c>
      <c r="J104" s="148">
        <f>0+táj.2!J104</f>
        <v>0</v>
      </c>
      <c r="K104" s="148">
        <f>3863+táj.2!K104</f>
        <v>3863</v>
      </c>
      <c r="L104" s="148">
        <f>0+táj.2!L104</f>
        <v>0</v>
      </c>
      <c r="M104" s="148">
        <f>0+táj.2!M104</f>
        <v>0</v>
      </c>
      <c r="N104" s="148">
        <f>0+táj.2!N104</f>
        <v>0</v>
      </c>
      <c r="O104" s="148">
        <f>0+táj.2!O104</f>
        <v>0</v>
      </c>
      <c r="P104" s="148">
        <f>0+táj.2!P104</f>
        <v>0</v>
      </c>
      <c r="Q104" s="229">
        <f>SUM(G104:P104)</f>
        <v>3863</v>
      </c>
    </row>
    <row r="105" spans="1:17" ht="27" customHeight="1" x14ac:dyDescent="0.2">
      <c r="A105" s="231"/>
      <c r="B105" s="231"/>
      <c r="C105" s="232"/>
      <c r="D105" s="237" t="s">
        <v>433</v>
      </c>
      <c r="E105" s="229"/>
      <c r="F105" s="229"/>
      <c r="G105" s="148"/>
      <c r="H105" s="148"/>
      <c r="I105" s="148"/>
      <c r="J105" s="148"/>
      <c r="K105" s="148"/>
      <c r="L105" s="148"/>
      <c r="M105" s="148"/>
      <c r="N105" s="148"/>
      <c r="O105" s="148"/>
      <c r="P105" s="148"/>
      <c r="Q105" s="229"/>
    </row>
    <row r="106" spans="1:17" ht="16.5" customHeight="1" x14ac:dyDescent="0.2">
      <c r="A106" s="231"/>
      <c r="B106" s="231"/>
      <c r="C106" s="232"/>
      <c r="D106" s="237" t="s">
        <v>434</v>
      </c>
      <c r="E106" s="229">
        <v>2</v>
      </c>
      <c r="F106" s="229">
        <v>131506</v>
      </c>
      <c r="G106" s="148">
        <f>400+táj.2!G106</f>
        <v>400</v>
      </c>
      <c r="H106" s="148">
        <f>144+táj.2!H106</f>
        <v>144</v>
      </c>
      <c r="I106" s="148">
        <f>141+táj.2!I106</f>
        <v>141</v>
      </c>
      <c r="J106" s="148">
        <f>0+táj.2!J106</f>
        <v>0</v>
      </c>
      <c r="K106" s="148">
        <f>0+táj.2!K106</f>
        <v>0</v>
      </c>
      <c r="L106" s="148">
        <f>0+táj.2!L106</f>
        <v>0</v>
      </c>
      <c r="M106" s="148">
        <f>0+táj.2!M106</f>
        <v>0</v>
      </c>
      <c r="N106" s="148">
        <f>0+táj.2!N106</f>
        <v>0</v>
      </c>
      <c r="O106" s="148">
        <f>0+táj.2!O106</f>
        <v>0</v>
      </c>
      <c r="P106" s="148">
        <f>0+táj.2!P106</f>
        <v>0</v>
      </c>
      <c r="Q106" s="229">
        <f>SUM(G106:P106)</f>
        <v>685</v>
      </c>
    </row>
    <row r="107" spans="1:17" ht="15" customHeight="1" x14ac:dyDescent="0.2">
      <c r="A107" s="231"/>
      <c r="B107" s="231"/>
      <c r="C107" s="232"/>
      <c r="D107" s="239" t="s">
        <v>435</v>
      </c>
      <c r="E107" s="229"/>
      <c r="F107" s="229"/>
      <c r="G107" s="148"/>
      <c r="H107" s="148"/>
      <c r="I107" s="148"/>
      <c r="J107" s="148"/>
      <c r="K107" s="148"/>
      <c r="L107" s="148"/>
      <c r="M107" s="148"/>
      <c r="N107" s="148"/>
      <c r="O107" s="148"/>
      <c r="P107" s="148"/>
      <c r="Q107" s="229"/>
    </row>
    <row r="108" spans="1:17" ht="15" customHeight="1" x14ac:dyDescent="0.2">
      <c r="A108" s="231"/>
      <c r="B108" s="231"/>
      <c r="C108" s="232"/>
      <c r="D108" s="239" t="s">
        <v>1009</v>
      </c>
      <c r="E108" s="229">
        <v>2</v>
      </c>
      <c r="F108" s="229">
        <v>131707</v>
      </c>
      <c r="G108" s="148">
        <f>0+táj.2!G108</f>
        <v>0</v>
      </c>
      <c r="H108" s="148">
        <f>0+táj.2!H108</f>
        <v>0</v>
      </c>
      <c r="I108" s="148">
        <f>0+táj.2!I108</f>
        <v>0</v>
      </c>
      <c r="J108" s="148">
        <f>0+táj.2!J108</f>
        <v>0</v>
      </c>
      <c r="K108" s="148">
        <f>11500+táj.2!K108</f>
        <v>11500</v>
      </c>
      <c r="L108" s="148">
        <f>0+táj.2!L108</f>
        <v>0</v>
      </c>
      <c r="M108" s="148">
        <f>0+táj.2!M108</f>
        <v>0</v>
      </c>
      <c r="N108" s="148">
        <f>0+táj.2!N108</f>
        <v>0</v>
      </c>
      <c r="O108" s="148">
        <f>0+táj.2!O108</f>
        <v>0</v>
      </c>
      <c r="P108" s="148">
        <f>0+táj.2!P108</f>
        <v>0</v>
      </c>
      <c r="Q108" s="229">
        <f>SUM(G108:P108)</f>
        <v>11500</v>
      </c>
    </row>
    <row r="109" spans="1:17" ht="15" customHeight="1" x14ac:dyDescent="0.2">
      <c r="A109" s="556"/>
      <c r="B109" s="556"/>
      <c r="C109" s="557"/>
      <c r="D109" s="558" t="s">
        <v>436</v>
      </c>
      <c r="E109" s="229">
        <v>2</v>
      </c>
      <c r="F109" s="229">
        <v>131713</v>
      </c>
      <c r="G109" s="148">
        <f>0+táj.2!G109</f>
        <v>0</v>
      </c>
      <c r="H109" s="148">
        <f>0+táj.2!H109</f>
        <v>0</v>
      </c>
      <c r="I109" s="148">
        <f>0+táj.2!I109</f>
        <v>0</v>
      </c>
      <c r="J109" s="148">
        <f>0+táj.2!J109</f>
        <v>0</v>
      </c>
      <c r="K109" s="148">
        <f>3000+táj.2!K109</f>
        <v>3000</v>
      </c>
      <c r="L109" s="148">
        <f>0+táj.2!L109</f>
        <v>0</v>
      </c>
      <c r="M109" s="148">
        <f>0+táj.2!M109</f>
        <v>0</v>
      </c>
      <c r="N109" s="148">
        <f>0+táj.2!N109</f>
        <v>0</v>
      </c>
      <c r="O109" s="148">
        <f>0+táj.2!O109</f>
        <v>0</v>
      </c>
      <c r="P109" s="148">
        <f>0+táj.2!P109</f>
        <v>0</v>
      </c>
      <c r="Q109" s="229">
        <f>SUM(G109:P109)</f>
        <v>3000</v>
      </c>
    </row>
    <row r="110" spans="1:17" ht="16.5" customHeight="1" x14ac:dyDescent="0.2">
      <c r="A110" s="231"/>
      <c r="B110" s="231"/>
      <c r="C110" s="232"/>
      <c r="D110" s="145" t="s">
        <v>375</v>
      </c>
      <c r="E110" s="240"/>
      <c r="F110" s="241"/>
      <c r="G110" s="148"/>
      <c r="H110" s="148"/>
      <c r="I110" s="148"/>
      <c r="J110" s="148"/>
      <c r="K110" s="148"/>
      <c r="L110" s="148"/>
      <c r="M110" s="148"/>
      <c r="N110" s="148"/>
      <c r="O110" s="148"/>
      <c r="P110" s="148"/>
      <c r="Q110" s="229"/>
    </row>
    <row r="111" spans="1:17" ht="15" customHeight="1" x14ac:dyDescent="0.2">
      <c r="A111" s="231"/>
      <c r="B111" s="231"/>
      <c r="C111" s="232"/>
      <c r="D111" s="239" t="s">
        <v>437</v>
      </c>
      <c r="E111" s="143">
        <v>2</v>
      </c>
      <c r="F111" s="229">
        <v>131706</v>
      </c>
      <c r="G111" s="148">
        <f>300+táj.2!G111</f>
        <v>300</v>
      </c>
      <c r="H111" s="148">
        <f>108+táj.2!H111</f>
        <v>108</v>
      </c>
      <c r="I111" s="148">
        <f>342+táj.2!I111</f>
        <v>342</v>
      </c>
      <c r="J111" s="148">
        <f>0+táj.2!J111</f>
        <v>0</v>
      </c>
      <c r="K111" s="148">
        <f>1850+táj.2!K111</f>
        <v>1850</v>
      </c>
      <c r="L111" s="148">
        <f>0+táj.2!L111</f>
        <v>0</v>
      </c>
      <c r="M111" s="148">
        <f>0+táj.2!M111</f>
        <v>0</v>
      </c>
      <c r="N111" s="148">
        <f>0+táj.2!N111</f>
        <v>0</v>
      </c>
      <c r="O111" s="148">
        <f>0+táj.2!O111</f>
        <v>0</v>
      </c>
      <c r="P111" s="148">
        <f>0+táj.2!P111</f>
        <v>0</v>
      </c>
      <c r="Q111" s="229">
        <f>SUM(G111:P111)</f>
        <v>2600</v>
      </c>
    </row>
    <row r="112" spans="1:17" ht="15" customHeight="1" x14ac:dyDescent="0.2">
      <c r="A112" s="231"/>
      <c r="B112" s="231"/>
      <c r="C112" s="232"/>
      <c r="D112" s="239" t="s">
        <v>438</v>
      </c>
      <c r="E112" s="143">
        <v>2</v>
      </c>
      <c r="F112" s="229">
        <v>131712</v>
      </c>
      <c r="G112" s="148">
        <f>0+táj.2!G112</f>
        <v>0</v>
      </c>
      <c r="H112" s="148">
        <f>0+táj.2!H112</f>
        <v>0</v>
      </c>
      <c r="I112" s="148">
        <f>1900+táj.2!I112</f>
        <v>1900</v>
      </c>
      <c r="J112" s="148">
        <f>0+táj.2!J112</f>
        <v>0</v>
      </c>
      <c r="K112" s="148">
        <f>0+táj.2!K112</f>
        <v>0</v>
      </c>
      <c r="L112" s="148">
        <f>0+táj.2!L112</f>
        <v>0</v>
      </c>
      <c r="M112" s="148">
        <f>0+táj.2!M112</f>
        <v>0</v>
      </c>
      <c r="N112" s="148">
        <f>0+táj.2!N112</f>
        <v>0</v>
      </c>
      <c r="O112" s="148">
        <f>0+táj.2!O112</f>
        <v>0</v>
      </c>
      <c r="P112" s="148">
        <f>0+táj.2!P112</f>
        <v>0</v>
      </c>
      <c r="Q112" s="229">
        <f>SUM(G112:P112)</f>
        <v>1900</v>
      </c>
    </row>
    <row r="113" spans="1:18" ht="15" customHeight="1" x14ac:dyDescent="0.2">
      <c r="A113" s="231"/>
      <c r="B113" s="231"/>
      <c r="C113" s="232"/>
      <c r="D113" s="145" t="s">
        <v>439</v>
      </c>
      <c r="E113" s="143">
        <v>2</v>
      </c>
      <c r="F113" s="229">
        <v>131714</v>
      </c>
      <c r="G113" s="148">
        <f>0+táj.2!G113</f>
        <v>0</v>
      </c>
      <c r="H113" s="148">
        <f>0+táj.2!H113</f>
        <v>0</v>
      </c>
      <c r="I113" s="148">
        <f>0+táj.2!I113</f>
        <v>0</v>
      </c>
      <c r="J113" s="148">
        <f>0+táj.2!J113</f>
        <v>0</v>
      </c>
      <c r="K113" s="148">
        <f>200+táj.2!K113</f>
        <v>200</v>
      </c>
      <c r="L113" s="148">
        <f>0+táj.2!L113</f>
        <v>0</v>
      </c>
      <c r="M113" s="148">
        <f>0+táj.2!M113</f>
        <v>0</v>
      </c>
      <c r="N113" s="148">
        <f>0+táj.2!N113</f>
        <v>0</v>
      </c>
      <c r="O113" s="148">
        <f>0+táj.2!O113</f>
        <v>0</v>
      </c>
      <c r="P113" s="148">
        <f>0+táj.2!P113</f>
        <v>0</v>
      </c>
      <c r="Q113" s="229">
        <f>SUM(G113:P113)</f>
        <v>200</v>
      </c>
    </row>
    <row r="114" spans="1:18" ht="20.25" customHeight="1" x14ac:dyDescent="0.2">
      <c r="A114" s="578"/>
      <c r="B114" s="578"/>
      <c r="C114" s="579"/>
      <c r="D114" s="580" t="s">
        <v>1026</v>
      </c>
      <c r="E114" s="584"/>
      <c r="F114" s="582"/>
      <c r="G114" s="148"/>
      <c r="H114" s="582"/>
      <c r="I114" s="582"/>
      <c r="J114" s="582"/>
      <c r="K114" s="582"/>
      <c r="L114" s="582"/>
      <c r="M114" s="582"/>
      <c r="N114" s="582"/>
      <c r="O114" s="582"/>
      <c r="P114" s="582"/>
      <c r="Q114" s="229"/>
    </row>
    <row r="115" spans="1:18" ht="15" customHeight="1" x14ac:dyDescent="0.2">
      <c r="A115" s="578"/>
      <c r="B115" s="578"/>
      <c r="C115" s="579"/>
      <c r="D115" s="580" t="s">
        <v>1020</v>
      </c>
      <c r="E115" s="584">
        <v>1</v>
      </c>
      <c r="F115" s="610">
        <v>131716</v>
      </c>
      <c r="G115" s="148">
        <f>0+táj.2!G115</f>
        <v>0</v>
      </c>
      <c r="H115" s="148">
        <f>0+táj.2!H115</f>
        <v>0</v>
      </c>
      <c r="I115" s="148">
        <f>3993+táj.2!I115</f>
        <v>3993</v>
      </c>
      <c r="J115" s="148">
        <f>0+táj.2!J115</f>
        <v>0</v>
      </c>
      <c r="K115" s="148">
        <f>2000+táj.2!K115</f>
        <v>2000</v>
      </c>
      <c r="L115" s="148">
        <f>0+táj.2!L115</f>
        <v>0</v>
      </c>
      <c r="M115" s="148">
        <f>0+táj.2!M115</f>
        <v>0</v>
      </c>
      <c r="N115" s="148">
        <f>0+táj.2!N115</f>
        <v>0</v>
      </c>
      <c r="O115" s="148">
        <f>0+táj.2!O115</f>
        <v>0</v>
      </c>
      <c r="P115" s="148">
        <f>0+táj.2!P115</f>
        <v>0</v>
      </c>
      <c r="Q115" s="229">
        <f t="shared" ref="Q115" si="9">SUM(G115:P115)</f>
        <v>5993</v>
      </c>
    </row>
    <row r="116" spans="1:18" ht="15" customHeight="1" x14ac:dyDescent="0.2">
      <c r="A116" s="231"/>
      <c r="B116" s="231"/>
      <c r="C116" s="232"/>
      <c r="D116" s="148" t="s">
        <v>419</v>
      </c>
      <c r="E116" s="242"/>
      <c r="F116" s="229"/>
      <c r="G116" s="148"/>
      <c r="H116" s="148"/>
      <c r="I116" s="148"/>
      <c r="J116" s="148"/>
      <c r="K116" s="148"/>
      <c r="L116" s="148"/>
      <c r="M116" s="148"/>
      <c r="N116" s="148"/>
      <c r="O116" s="148"/>
      <c r="P116" s="148"/>
      <c r="Q116" s="229"/>
    </row>
    <row r="117" spans="1:18" ht="15" customHeight="1" x14ac:dyDescent="0.2">
      <c r="A117" s="231"/>
      <c r="B117" s="231"/>
      <c r="C117" s="232"/>
      <c r="D117" s="239" t="s">
        <v>440</v>
      </c>
      <c r="E117" s="143">
        <v>2</v>
      </c>
      <c r="F117" s="229">
        <v>128901</v>
      </c>
      <c r="G117" s="148">
        <f>0+táj.2!G117</f>
        <v>0</v>
      </c>
      <c r="H117" s="148">
        <f>0+táj.2!H117</f>
        <v>0</v>
      </c>
      <c r="I117" s="148">
        <f>0+táj.2!I117</f>
        <v>0</v>
      </c>
      <c r="J117" s="148">
        <f>0+táj.2!J117</f>
        <v>0</v>
      </c>
      <c r="K117" s="148">
        <f>1250+táj.2!K117</f>
        <v>1130</v>
      </c>
      <c r="L117" s="148">
        <f>0+táj.2!L117</f>
        <v>0</v>
      </c>
      <c r="M117" s="148">
        <f>0+táj.2!M117</f>
        <v>0</v>
      </c>
      <c r="N117" s="148">
        <f>0+táj.2!N117</f>
        <v>120</v>
      </c>
      <c r="O117" s="148">
        <f>0+táj.2!O117</f>
        <v>0</v>
      </c>
      <c r="P117" s="148">
        <f>0+táj.2!P117</f>
        <v>0</v>
      </c>
      <c r="Q117" s="229">
        <f>SUM(G117:P117)</f>
        <v>1250</v>
      </c>
    </row>
    <row r="118" spans="1:18" ht="15" customHeight="1" x14ac:dyDescent="0.2">
      <c r="A118" s="231"/>
      <c r="B118" s="231"/>
      <c r="C118" s="232"/>
      <c r="D118" s="243" t="s">
        <v>441</v>
      </c>
      <c r="E118" s="229"/>
      <c r="F118" s="229"/>
      <c r="G118" s="148"/>
      <c r="H118" s="148"/>
      <c r="I118" s="148"/>
      <c r="J118" s="148"/>
      <c r="K118" s="148"/>
      <c r="L118" s="148"/>
      <c r="M118" s="148"/>
      <c r="N118" s="148"/>
      <c r="O118" s="148"/>
      <c r="P118" s="148"/>
      <c r="Q118" s="229"/>
    </row>
    <row r="119" spans="1:18" ht="15" customHeight="1" x14ac:dyDescent="0.2">
      <c r="A119" s="231"/>
      <c r="B119" s="231"/>
      <c r="C119" s="232"/>
      <c r="D119" s="236" t="s">
        <v>442</v>
      </c>
      <c r="E119" s="235"/>
      <c r="F119" s="235"/>
      <c r="G119" s="148"/>
      <c r="H119" s="148"/>
      <c r="I119" s="148"/>
      <c r="J119" s="148"/>
      <c r="K119" s="148"/>
      <c r="L119" s="148"/>
      <c r="M119" s="148"/>
      <c r="N119" s="148"/>
      <c r="O119" s="148"/>
      <c r="P119" s="148"/>
      <c r="Q119" s="229"/>
    </row>
    <row r="120" spans="1:18" ht="15" customHeight="1" x14ac:dyDescent="0.2">
      <c r="A120" s="231"/>
      <c r="B120" s="231"/>
      <c r="C120" s="232"/>
      <c r="D120" s="239" t="s">
        <v>443</v>
      </c>
      <c r="E120" s="229">
        <v>2</v>
      </c>
      <c r="F120" s="229">
        <v>131803</v>
      </c>
      <c r="G120" s="148">
        <f>0+táj.2!G120</f>
        <v>0</v>
      </c>
      <c r="H120" s="148">
        <f>0+táj.2!H120</f>
        <v>0</v>
      </c>
      <c r="I120" s="148">
        <f>0+táj.2!I120</f>
        <v>0</v>
      </c>
      <c r="J120" s="148">
        <f>0+táj.2!J120</f>
        <v>0</v>
      </c>
      <c r="K120" s="148">
        <f>150000+táj.2!K120</f>
        <v>150000</v>
      </c>
      <c r="L120" s="148">
        <f>0+táj.2!L120</f>
        <v>0</v>
      </c>
      <c r="M120" s="148">
        <f>0+táj.2!M120</f>
        <v>0</v>
      </c>
      <c r="N120" s="148">
        <f>0+táj.2!N120</f>
        <v>0</v>
      </c>
      <c r="O120" s="148">
        <f>0+táj.2!O120</f>
        <v>0</v>
      </c>
      <c r="P120" s="148">
        <f>0+táj.2!P120</f>
        <v>0</v>
      </c>
      <c r="Q120" s="229">
        <f>SUM(G120:P120)</f>
        <v>150000</v>
      </c>
    </row>
    <row r="121" spans="1:18" ht="15" customHeight="1" x14ac:dyDescent="0.2">
      <c r="A121" s="231"/>
      <c r="B121" s="231"/>
      <c r="C121" s="232"/>
      <c r="D121" s="239" t="s">
        <v>444</v>
      </c>
      <c r="E121" s="229">
        <v>2</v>
      </c>
      <c r="F121" s="229">
        <v>131804</v>
      </c>
      <c r="G121" s="148">
        <f>0+táj.2!G121</f>
        <v>0</v>
      </c>
      <c r="H121" s="148">
        <f>0+táj.2!H121</f>
        <v>0</v>
      </c>
      <c r="I121" s="148">
        <f>0+táj.2!I121</f>
        <v>0</v>
      </c>
      <c r="J121" s="148">
        <f>0+táj.2!J121</f>
        <v>0</v>
      </c>
      <c r="K121" s="148">
        <f>75000+táj.2!K121</f>
        <v>75000</v>
      </c>
      <c r="L121" s="148">
        <f>0+táj.2!L121</f>
        <v>0</v>
      </c>
      <c r="M121" s="148">
        <f>0+táj.2!M121</f>
        <v>0</v>
      </c>
      <c r="N121" s="148">
        <f>0+táj.2!N121</f>
        <v>0</v>
      </c>
      <c r="O121" s="148">
        <f>0+táj.2!O121</f>
        <v>0</v>
      </c>
      <c r="P121" s="148">
        <f>0+táj.2!P121</f>
        <v>0</v>
      </c>
      <c r="Q121" s="229">
        <f>SUM(G121:P121)</f>
        <v>75000</v>
      </c>
    </row>
    <row r="122" spans="1:18" ht="15" customHeight="1" x14ac:dyDescent="0.2">
      <c r="A122" s="231"/>
      <c r="B122" s="231"/>
      <c r="C122" s="232"/>
      <c r="D122" s="239" t="s">
        <v>445</v>
      </c>
      <c r="E122" s="229">
        <v>2</v>
      </c>
      <c r="F122" s="229">
        <v>131805</v>
      </c>
      <c r="G122" s="148">
        <f>0+táj.2!G122</f>
        <v>0</v>
      </c>
      <c r="H122" s="148">
        <f>0+táj.2!H122</f>
        <v>0</v>
      </c>
      <c r="I122" s="148">
        <f>0+táj.2!I122</f>
        <v>0</v>
      </c>
      <c r="J122" s="148">
        <f>0+táj.2!J122</f>
        <v>0</v>
      </c>
      <c r="K122" s="148">
        <f>5000+táj.2!K122</f>
        <v>5000</v>
      </c>
      <c r="L122" s="148">
        <f>0+táj.2!L122</f>
        <v>0</v>
      </c>
      <c r="M122" s="148">
        <f>0+táj.2!M122</f>
        <v>0</v>
      </c>
      <c r="N122" s="148">
        <f>0+táj.2!N122</f>
        <v>0</v>
      </c>
      <c r="O122" s="148">
        <f>0+táj.2!O122</f>
        <v>0</v>
      </c>
      <c r="P122" s="148">
        <f>0+táj.2!P122</f>
        <v>0</v>
      </c>
      <c r="Q122" s="229">
        <f>SUM(G122:P122)</f>
        <v>5000</v>
      </c>
    </row>
    <row r="123" spans="1:18" ht="15" customHeight="1" x14ac:dyDescent="0.2">
      <c r="A123" s="231"/>
      <c r="B123" s="231"/>
      <c r="C123" s="232"/>
      <c r="D123" s="236" t="s">
        <v>446</v>
      </c>
      <c r="E123" s="235"/>
      <c r="F123" s="235"/>
      <c r="G123" s="148"/>
      <c r="H123" s="148"/>
      <c r="I123" s="148"/>
      <c r="J123" s="148"/>
      <c r="K123" s="148"/>
      <c r="L123" s="148"/>
      <c r="M123" s="148"/>
      <c r="N123" s="148"/>
      <c r="O123" s="148"/>
      <c r="P123" s="148"/>
      <c r="Q123" s="229"/>
    </row>
    <row r="124" spans="1:18" ht="15" customHeight="1" x14ac:dyDescent="0.2">
      <c r="A124" s="231"/>
      <c r="B124" s="231"/>
      <c r="C124" s="232"/>
      <c r="D124" s="239" t="s">
        <v>447</v>
      </c>
      <c r="E124" s="235">
        <v>1</v>
      </c>
      <c r="F124" s="229">
        <v>131808</v>
      </c>
      <c r="G124" s="148">
        <f>180+táj.2!G124</f>
        <v>180</v>
      </c>
      <c r="H124" s="148">
        <f>65+táj.2!H124</f>
        <v>65</v>
      </c>
      <c r="I124" s="148">
        <f>630+táj.2!I124</f>
        <v>630</v>
      </c>
      <c r="J124" s="148">
        <f>0+táj.2!J124</f>
        <v>0</v>
      </c>
      <c r="K124" s="148">
        <f>0+táj.2!K124</f>
        <v>0</v>
      </c>
      <c r="L124" s="148">
        <f>0+táj.2!L124</f>
        <v>0</v>
      </c>
      <c r="M124" s="148">
        <f>0+táj.2!M124</f>
        <v>0</v>
      </c>
      <c r="N124" s="148">
        <f>0+táj.2!N124</f>
        <v>0</v>
      </c>
      <c r="O124" s="148">
        <f>0+táj.2!O124</f>
        <v>0</v>
      </c>
      <c r="P124" s="148">
        <f>0+táj.2!P124</f>
        <v>0</v>
      </c>
      <c r="Q124" s="229">
        <f>SUM(G124:P124)</f>
        <v>875</v>
      </c>
    </row>
    <row r="125" spans="1:18" ht="15" customHeight="1" x14ac:dyDescent="0.2">
      <c r="A125" s="231"/>
      <c r="B125" s="231"/>
      <c r="C125" s="232"/>
      <c r="D125" s="239" t="s">
        <v>448</v>
      </c>
      <c r="E125" s="229">
        <v>1</v>
      </c>
      <c r="F125" s="229">
        <v>131807</v>
      </c>
      <c r="G125" s="148">
        <f>160+táj.2!G125</f>
        <v>160</v>
      </c>
      <c r="H125" s="148">
        <f>58+táj.2!H125</f>
        <v>58</v>
      </c>
      <c r="I125" s="148">
        <f>507+táj.2!I125</f>
        <v>507</v>
      </c>
      <c r="J125" s="148">
        <f>0+táj.2!J125</f>
        <v>0</v>
      </c>
      <c r="K125" s="148">
        <f>0+táj.2!K125</f>
        <v>0</v>
      </c>
      <c r="L125" s="148">
        <f>0+táj.2!L125</f>
        <v>0</v>
      </c>
      <c r="M125" s="148">
        <f>0+táj.2!M125</f>
        <v>0</v>
      </c>
      <c r="N125" s="148">
        <f>0+táj.2!N125</f>
        <v>0</v>
      </c>
      <c r="O125" s="148">
        <f>0+táj.2!O125</f>
        <v>0</v>
      </c>
      <c r="P125" s="148">
        <f>0+táj.2!P125</f>
        <v>0</v>
      </c>
      <c r="Q125" s="229">
        <f>SUM(G125:P125)</f>
        <v>725</v>
      </c>
    </row>
    <row r="126" spans="1:18" ht="15" customHeight="1" x14ac:dyDescent="0.2">
      <c r="A126" s="231"/>
      <c r="B126" s="231"/>
      <c r="C126" s="232"/>
      <c r="D126" s="239" t="s">
        <v>449</v>
      </c>
      <c r="E126" s="235">
        <v>1</v>
      </c>
      <c r="F126" s="229">
        <v>131809</v>
      </c>
      <c r="G126" s="148">
        <f>0+táj.2!G126</f>
        <v>0</v>
      </c>
      <c r="H126" s="148">
        <f>0+táj.2!H126</f>
        <v>0</v>
      </c>
      <c r="I126" s="148">
        <f>0+táj.2!I126</f>
        <v>0</v>
      </c>
      <c r="J126" s="148">
        <f>0+táj.2!J126</f>
        <v>0</v>
      </c>
      <c r="K126" s="148">
        <f>400+táj.2!K126</f>
        <v>400</v>
      </c>
      <c r="L126" s="148">
        <f>0+táj.2!L126</f>
        <v>0</v>
      </c>
      <c r="M126" s="148">
        <f>0+táj.2!M126</f>
        <v>0</v>
      </c>
      <c r="N126" s="148">
        <f>0+táj.2!N126</f>
        <v>0</v>
      </c>
      <c r="O126" s="148">
        <f>0+táj.2!O126</f>
        <v>0</v>
      </c>
      <c r="P126" s="148">
        <f>0+táj.2!P126</f>
        <v>0</v>
      </c>
      <c r="Q126" s="229">
        <f>SUM(G126:P126)</f>
        <v>400</v>
      </c>
      <c r="R126" s="15"/>
    </row>
    <row r="127" spans="1:18" ht="15" customHeight="1" x14ac:dyDescent="0.2">
      <c r="A127" s="231"/>
      <c r="B127" s="231"/>
      <c r="C127" s="232"/>
      <c r="D127" s="236" t="s">
        <v>450</v>
      </c>
      <c r="E127" s="235"/>
      <c r="F127" s="235"/>
      <c r="G127" s="148"/>
      <c r="H127" s="148"/>
      <c r="I127" s="148"/>
      <c r="J127" s="148"/>
      <c r="K127" s="148"/>
      <c r="L127" s="148"/>
      <c r="M127" s="148"/>
      <c r="N127" s="148"/>
      <c r="O127" s="148"/>
      <c r="P127" s="148"/>
      <c r="Q127" s="229"/>
    </row>
    <row r="128" spans="1:18" ht="15" customHeight="1" x14ac:dyDescent="0.2">
      <c r="A128" s="231"/>
      <c r="B128" s="231"/>
      <c r="C128" s="232"/>
      <c r="D128" s="239" t="s">
        <v>451</v>
      </c>
      <c r="E128" s="229">
        <v>1</v>
      </c>
      <c r="F128" s="229">
        <v>131811</v>
      </c>
      <c r="G128" s="148">
        <f>0+táj.2!G128</f>
        <v>0</v>
      </c>
      <c r="H128" s="148">
        <f>0+táj.2!H128</f>
        <v>0</v>
      </c>
      <c r="I128" s="148">
        <f>0+táj.2!I128</f>
        <v>0</v>
      </c>
      <c r="J128" s="148">
        <f>0+táj.2!J128</f>
        <v>0</v>
      </c>
      <c r="K128" s="148">
        <f>5000+táj.2!K128</f>
        <v>5000</v>
      </c>
      <c r="L128" s="148">
        <f>0+táj.2!L128</f>
        <v>0</v>
      </c>
      <c r="M128" s="148">
        <f>0+táj.2!M128</f>
        <v>0</v>
      </c>
      <c r="N128" s="148">
        <f>0+táj.2!N128</f>
        <v>0</v>
      </c>
      <c r="O128" s="148">
        <f>0+táj.2!O128</f>
        <v>0</v>
      </c>
      <c r="P128" s="148">
        <f>0+táj.2!P128</f>
        <v>0</v>
      </c>
      <c r="Q128" s="229">
        <f t="shared" ref="Q128:Q136" si="10">SUM(G128:P128)</f>
        <v>5000</v>
      </c>
    </row>
    <row r="129" spans="1:17" ht="15" customHeight="1" x14ac:dyDescent="0.2">
      <c r="A129" s="231"/>
      <c r="B129" s="231"/>
      <c r="C129" s="232"/>
      <c r="D129" s="239" t="s">
        <v>452</v>
      </c>
      <c r="E129" s="229">
        <v>1</v>
      </c>
      <c r="F129" s="229">
        <v>131812</v>
      </c>
      <c r="G129" s="148">
        <f>0+táj.2!G129</f>
        <v>0</v>
      </c>
      <c r="H129" s="148">
        <f>0+táj.2!H129</f>
        <v>0</v>
      </c>
      <c r="I129" s="148">
        <f>0+táj.2!I129</f>
        <v>0</v>
      </c>
      <c r="J129" s="148">
        <f>0+táj.2!J129</f>
        <v>0</v>
      </c>
      <c r="K129" s="148">
        <f>3500+táj.2!K129</f>
        <v>3500</v>
      </c>
      <c r="L129" s="148">
        <f>0+táj.2!L129</f>
        <v>0</v>
      </c>
      <c r="M129" s="148">
        <f>0+táj.2!M129</f>
        <v>0</v>
      </c>
      <c r="N129" s="148">
        <f>0+táj.2!N129</f>
        <v>0</v>
      </c>
      <c r="O129" s="148">
        <f>0+táj.2!O129</f>
        <v>0</v>
      </c>
      <c r="P129" s="148">
        <f>0+táj.2!P129</f>
        <v>0</v>
      </c>
      <c r="Q129" s="229">
        <f t="shared" si="10"/>
        <v>3500</v>
      </c>
    </row>
    <row r="130" spans="1:17" ht="15" customHeight="1" x14ac:dyDescent="0.2">
      <c r="A130" s="231"/>
      <c r="B130" s="231"/>
      <c r="C130" s="232"/>
      <c r="D130" s="239" t="s">
        <v>453</v>
      </c>
      <c r="E130" s="229">
        <v>1</v>
      </c>
      <c r="F130" s="229">
        <v>131813</v>
      </c>
      <c r="G130" s="148">
        <f>0+táj.2!G130</f>
        <v>0</v>
      </c>
      <c r="H130" s="148">
        <f>0+táj.2!H130</f>
        <v>0</v>
      </c>
      <c r="I130" s="148">
        <f>0+táj.2!I130</f>
        <v>0</v>
      </c>
      <c r="J130" s="148">
        <f>0+táj.2!J130</f>
        <v>0</v>
      </c>
      <c r="K130" s="148">
        <f>900+táj.2!K130</f>
        <v>900</v>
      </c>
      <c r="L130" s="148">
        <f>0+táj.2!L130</f>
        <v>0</v>
      </c>
      <c r="M130" s="148">
        <f>0+táj.2!M130</f>
        <v>0</v>
      </c>
      <c r="N130" s="148">
        <f>0+táj.2!N130</f>
        <v>0</v>
      </c>
      <c r="O130" s="148">
        <f>0+táj.2!O130</f>
        <v>0</v>
      </c>
      <c r="P130" s="148">
        <f>0+táj.2!P130</f>
        <v>0</v>
      </c>
      <c r="Q130" s="229">
        <f t="shared" si="10"/>
        <v>900</v>
      </c>
    </row>
    <row r="131" spans="1:17" ht="15" customHeight="1" x14ac:dyDescent="0.2">
      <c r="A131" s="231"/>
      <c r="B131" s="231"/>
      <c r="C131" s="232"/>
      <c r="D131" s="239" t="s">
        <v>454</v>
      </c>
      <c r="E131" s="229">
        <v>1</v>
      </c>
      <c r="F131" s="229">
        <v>131816</v>
      </c>
      <c r="G131" s="148">
        <f>0+táj.2!G131</f>
        <v>0</v>
      </c>
      <c r="H131" s="148">
        <f>0+táj.2!H131</f>
        <v>0</v>
      </c>
      <c r="I131" s="148">
        <f>0+táj.2!I131</f>
        <v>0</v>
      </c>
      <c r="J131" s="148">
        <f>0+táj.2!J131</f>
        <v>0</v>
      </c>
      <c r="K131" s="148">
        <f>700+táj.2!K131</f>
        <v>3200</v>
      </c>
      <c r="L131" s="148">
        <f>0+táj.2!L131</f>
        <v>0</v>
      </c>
      <c r="M131" s="148">
        <f>0+táj.2!M131</f>
        <v>0</v>
      </c>
      <c r="N131" s="148">
        <f>0+táj.2!N131</f>
        <v>0</v>
      </c>
      <c r="O131" s="148">
        <f>0+táj.2!O131</f>
        <v>0</v>
      </c>
      <c r="P131" s="148">
        <f>0+táj.2!P131</f>
        <v>0</v>
      </c>
      <c r="Q131" s="229">
        <f t="shared" si="10"/>
        <v>3200</v>
      </c>
    </row>
    <row r="132" spans="1:17" ht="15" customHeight="1" x14ac:dyDescent="0.2">
      <c r="A132" s="231"/>
      <c r="B132" s="231"/>
      <c r="C132" s="232"/>
      <c r="D132" s="239" t="s">
        <v>455</v>
      </c>
      <c r="E132" s="229">
        <v>1</v>
      </c>
      <c r="F132" s="229">
        <v>131817</v>
      </c>
      <c r="G132" s="148">
        <f>0+táj.2!G132</f>
        <v>0</v>
      </c>
      <c r="H132" s="148">
        <f>0+táj.2!H132</f>
        <v>0</v>
      </c>
      <c r="I132" s="148">
        <f>0+táj.2!I132</f>
        <v>0</v>
      </c>
      <c r="J132" s="148">
        <f>0+táj.2!J132</f>
        <v>0</v>
      </c>
      <c r="K132" s="148">
        <f>495+táj.2!K132</f>
        <v>495</v>
      </c>
      <c r="L132" s="148">
        <f>0+táj.2!L132</f>
        <v>0</v>
      </c>
      <c r="M132" s="148">
        <f>0+táj.2!M132</f>
        <v>0</v>
      </c>
      <c r="N132" s="148">
        <f>0+táj.2!N132</f>
        <v>0</v>
      </c>
      <c r="O132" s="148">
        <f>0+táj.2!O132</f>
        <v>0</v>
      </c>
      <c r="P132" s="148">
        <f>0+táj.2!P132</f>
        <v>0</v>
      </c>
      <c r="Q132" s="229">
        <f t="shared" si="10"/>
        <v>495</v>
      </c>
    </row>
    <row r="133" spans="1:17" ht="15" customHeight="1" x14ac:dyDescent="0.2">
      <c r="A133" s="231"/>
      <c r="B133" s="231"/>
      <c r="C133" s="232"/>
      <c r="D133" s="239" t="s">
        <v>456</v>
      </c>
      <c r="E133" s="229">
        <v>1</v>
      </c>
      <c r="F133" s="229">
        <v>131818</v>
      </c>
      <c r="G133" s="148">
        <f>0+táj.2!G133</f>
        <v>0</v>
      </c>
      <c r="H133" s="148">
        <f>0+táj.2!H133</f>
        <v>0</v>
      </c>
      <c r="I133" s="148">
        <f>0+táj.2!I133</f>
        <v>0</v>
      </c>
      <c r="J133" s="148">
        <f>0+táj.2!J133</f>
        <v>0</v>
      </c>
      <c r="K133" s="148">
        <f>200+táj.2!K133</f>
        <v>200</v>
      </c>
      <c r="L133" s="148">
        <f>0+táj.2!L133</f>
        <v>0</v>
      </c>
      <c r="M133" s="148">
        <f>0+táj.2!M133</f>
        <v>0</v>
      </c>
      <c r="N133" s="148">
        <f>0+táj.2!N133</f>
        <v>0</v>
      </c>
      <c r="O133" s="148">
        <f>0+táj.2!O133</f>
        <v>0</v>
      </c>
      <c r="P133" s="148">
        <f>0+táj.2!P133</f>
        <v>0</v>
      </c>
      <c r="Q133" s="229">
        <f t="shared" si="10"/>
        <v>200</v>
      </c>
    </row>
    <row r="134" spans="1:17" ht="15" customHeight="1" x14ac:dyDescent="0.2">
      <c r="A134" s="231"/>
      <c r="B134" s="231"/>
      <c r="C134" s="232"/>
      <c r="D134" s="239" t="s">
        <v>457</v>
      </c>
      <c r="E134" s="229">
        <v>1</v>
      </c>
      <c r="F134" s="229">
        <v>131819</v>
      </c>
      <c r="G134" s="148">
        <f>0+táj.2!G134</f>
        <v>0</v>
      </c>
      <c r="H134" s="148">
        <f>0+táj.2!H134</f>
        <v>0</v>
      </c>
      <c r="I134" s="148">
        <f>0+táj.2!I134</f>
        <v>0</v>
      </c>
      <c r="J134" s="148">
        <f>0+táj.2!J134</f>
        <v>0</v>
      </c>
      <c r="K134" s="148">
        <f>200+táj.2!K134</f>
        <v>200</v>
      </c>
      <c r="L134" s="148">
        <f>0+táj.2!L134</f>
        <v>0</v>
      </c>
      <c r="M134" s="148">
        <f>0+táj.2!M134</f>
        <v>0</v>
      </c>
      <c r="N134" s="148">
        <f>0+táj.2!N134</f>
        <v>0</v>
      </c>
      <c r="O134" s="148">
        <f>0+táj.2!O134</f>
        <v>0</v>
      </c>
      <c r="P134" s="148">
        <f>0+táj.2!P134</f>
        <v>0</v>
      </c>
      <c r="Q134" s="229">
        <f t="shared" si="10"/>
        <v>200</v>
      </c>
    </row>
    <row r="135" spans="1:17" ht="15" customHeight="1" x14ac:dyDescent="0.2">
      <c r="A135" s="231"/>
      <c r="B135" s="231"/>
      <c r="C135" s="232"/>
      <c r="D135" s="239" t="s">
        <v>458</v>
      </c>
      <c r="E135" s="229">
        <v>1</v>
      </c>
      <c r="F135" s="229">
        <v>131832</v>
      </c>
      <c r="G135" s="148">
        <f>0+táj.2!G135</f>
        <v>0</v>
      </c>
      <c r="H135" s="148">
        <f>0+táj.2!H135</f>
        <v>0</v>
      </c>
      <c r="I135" s="148">
        <f>0+táj.2!I135</f>
        <v>0</v>
      </c>
      <c r="J135" s="148">
        <f>0+táj.2!J135</f>
        <v>0</v>
      </c>
      <c r="K135" s="148">
        <f>113+táj.2!K135</f>
        <v>113</v>
      </c>
      <c r="L135" s="148">
        <f>0+táj.2!L135</f>
        <v>0</v>
      </c>
      <c r="M135" s="148">
        <f>0+táj.2!M135</f>
        <v>0</v>
      </c>
      <c r="N135" s="148">
        <f>0+táj.2!N135</f>
        <v>0</v>
      </c>
      <c r="O135" s="148">
        <f>0+táj.2!O135</f>
        <v>0</v>
      </c>
      <c r="P135" s="148">
        <f>0+táj.2!P135</f>
        <v>0</v>
      </c>
      <c r="Q135" s="229">
        <f t="shared" si="10"/>
        <v>113</v>
      </c>
    </row>
    <row r="136" spans="1:17" ht="15" customHeight="1" x14ac:dyDescent="0.2">
      <c r="A136" s="231"/>
      <c r="B136" s="231"/>
      <c r="C136" s="232"/>
      <c r="D136" s="239" t="s">
        <v>459</v>
      </c>
      <c r="E136" s="229">
        <v>1</v>
      </c>
      <c r="F136" s="229">
        <v>131820</v>
      </c>
      <c r="G136" s="148">
        <f>100+táj.2!G136</f>
        <v>100</v>
      </c>
      <c r="H136" s="148">
        <f>36+táj.2!H136</f>
        <v>36</v>
      </c>
      <c r="I136" s="148">
        <f>744+táj.2!I136</f>
        <v>694</v>
      </c>
      <c r="J136" s="148">
        <f>0+táj.2!J136</f>
        <v>0</v>
      </c>
      <c r="K136" s="148">
        <f>1000+táj.2!K136</f>
        <v>1050</v>
      </c>
      <c r="L136" s="148">
        <f>120+táj.2!L136</f>
        <v>120</v>
      </c>
      <c r="M136" s="148">
        <f>0+táj.2!M136</f>
        <v>0</v>
      </c>
      <c r="N136" s="148">
        <f>500+táj.2!N136</f>
        <v>500</v>
      </c>
      <c r="O136" s="148">
        <f>0+táj.2!O136</f>
        <v>0</v>
      </c>
      <c r="P136" s="148">
        <f>0+táj.2!P136</f>
        <v>0</v>
      </c>
      <c r="Q136" s="229">
        <f t="shared" si="10"/>
        <v>2500</v>
      </c>
    </row>
    <row r="137" spans="1:17" ht="15" customHeight="1" x14ac:dyDescent="0.2">
      <c r="A137" s="231"/>
      <c r="B137" s="231"/>
      <c r="C137" s="232"/>
      <c r="D137" s="239" t="s">
        <v>460</v>
      </c>
      <c r="E137" s="229"/>
      <c r="F137" s="229"/>
      <c r="G137" s="148"/>
      <c r="H137" s="148"/>
      <c r="I137" s="148"/>
      <c r="J137" s="148"/>
      <c r="K137" s="148"/>
      <c r="L137" s="148"/>
      <c r="M137" s="148"/>
      <c r="N137" s="148"/>
      <c r="O137" s="148"/>
      <c r="P137" s="148"/>
      <c r="Q137" s="229"/>
    </row>
    <row r="138" spans="1:17" ht="15" customHeight="1" x14ac:dyDescent="0.2">
      <c r="A138" s="231"/>
      <c r="B138" s="231"/>
      <c r="C138" s="232"/>
      <c r="D138" s="239" t="s">
        <v>461</v>
      </c>
      <c r="E138" s="235">
        <v>2</v>
      </c>
      <c r="F138" s="229">
        <v>131821</v>
      </c>
      <c r="G138" s="148">
        <f>0+táj.2!G138</f>
        <v>0</v>
      </c>
      <c r="H138" s="148">
        <f>0+táj.2!H138</f>
        <v>0</v>
      </c>
      <c r="I138" s="148">
        <f>0+táj.2!I138</f>
        <v>0</v>
      </c>
      <c r="J138" s="148">
        <f>0+táj.2!J138</f>
        <v>0</v>
      </c>
      <c r="K138" s="148">
        <f>3500+táj.2!K138</f>
        <v>3500</v>
      </c>
      <c r="L138" s="148">
        <f>0+táj.2!L138</f>
        <v>0</v>
      </c>
      <c r="M138" s="148">
        <f>0+táj.2!M138</f>
        <v>0</v>
      </c>
      <c r="N138" s="148">
        <f>0+táj.2!N138</f>
        <v>0</v>
      </c>
      <c r="O138" s="148">
        <f>0+táj.2!O138</f>
        <v>0</v>
      </c>
      <c r="P138" s="148">
        <f>0+táj.2!P138</f>
        <v>0</v>
      </c>
      <c r="Q138" s="229">
        <f t="shared" ref="Q138:Q165" si="11">SUM(G138:P138)</f>
        <v>3500</v>
      </c>
    </row>
    <row r="139" spans="1:17" ht="15" customHeight="1" x14ac:dyDescent="0.2">
      <c r="A139" s="231"/>
      <c r="B139" s="231"/>
      <c r="C139" s="232"/>
      <c r="D139" s="239" t="s">
        <v>462</v>
      </c>
      <c r="E139" s="235">
        <v>2</v>
      </c>
      <c r="F139" s="229">
        <v>131822</v>
      </c>
      <c r="G139" s="148">
        <f>0+táj.2!G139</f>
        <v>0</v>
      </c>
      <c r="H139" s="148">
        <f>0+táj.2!H139</f>
        <v>0</v>
      </c>
      <c r="I139" s="148">
        <f>0+táj.2!I139</f>
        <v>0</v>
      </c>
      <c r="J139" s="148">
        <f>0+táj.2!J139</f>
        <v>0</v>
      </c>
      <c r="K139" s="148">
        <f>225+táj.2!K139</f>
        <v>225</v>
      </c>
      <c r="L139" s="148">
        <f>0+táj.2!L139</f>
        <v>0</v>
      </c>
      <c r="M139" s="148">
        <f>0+táj.2!M139</f>
        <v>0</v>
      </c>
      <c r="N139" s="148">
        <f>0+táj.2!N139</f>
        <v>0</v>
      </c>
      <c r="O139" s="148">
        <f>0+táj.2!O139</f>
        <v>0</v>
      </c>
      <c r="P139" s="148">
        <f>0+táj.2!P139</f>
        <v>0</v>
      </c>
      <c r="Q139" s="229">
        <f t="shared" si="11"/>
        <v>225</v>
      </c>
    </row>
    <row r="140" spans="1:17" ht="15" customHeight="1" x14ac:dyDescent="0.2">
      <c r="A140" s="231"/>
      <c r="B140" s="231"/>
      <c r="C140" s="232"/>
      <c r="D140" s="245" t="s">
        <v>463</v>
      </c>
      <c r="E140" s="246">
        <v>2</v>
      </c>
      <c r="F140" s="229">
        <v>131823</v>
      </c>
      <c r="G140" s="148">
        <f>0+táj.2!G140</f>
        <v>0</v>
      </c>
      <c r="H140" s="148">
        <f>0+táj.2!H140</f>
        <v>0</v>
      </c>
      <c r="I140" s="148">
        <f>0+táj.2!I140</f>
        <v>0</v>
      </c>
      <c r="J140" s="148">
        <f>0+táj.2!J140</f>
        <v>0</v>
      </c>
      <c r="K140" s="148">
        <f>15000+táj.2!K140</f>
        <v>16250</v>
      </c>
      <c r="L140" s="148">
        <f>0+táj.2!L140</f>
        <v>0</v>
      </c>
      <c r="M140" s="148">
        <f>0+táj.2!M140</f>
        <v>0</v>
      </c>
      <c r="N140" s="148">
        <f>0+táj.2!N140</f>
        <v>0</v>
      </c>
      <c r="O140" s="148">
        <f>0+táj.2!O140</f>
        <v>0</v>
      </c>
      <c r="P140" s="148">
        <f>0+táj.2!P140</f>
        <v>0</v>
      </c>
      <c r="Q140" s="229">
        <f t="shared" si="11"/>
        <v>16250</v>
      </c>
    </row>
    <row r="141" spans="1:17" ht="15" customHeight="1" x14ac:dyDescent="0.2">
      <c r="A141" s="231"/>
      <c r="B141" s="231"/>
      <c r="C141" s="232"/>
      <c r="D141" s="245" t="s">
        <v>464</v>
      </c>
      <c r="E141" s="246">
        <v>2</v>
      </c>
      <c r="F141" s="229">
        <v>131846</v>
      </c>
      <c r="G141" s="148">
        <f>0+táj.2!G141</f>
        <v>0</v>
      </c>
      <c r="H141" s="148">
        <f>0+táj.2!H141</f>
        <v>0</v>
      </c>
      <c r="I141" s="148">
        <f>0+táj.2!I141</f>
        <v>0</v>
      </c>
      <c r="J141" s="148">
        <f>0+táj.2!J141</f>
        <v>0</v>
      </c>
      <c r="K141" s="148">
        <f>5000+táj.2!K141</f>
        <v>2500</v>
      </c>
      <c r="L141" s="148">
        <f>0+táj.2!L141</f>
        <v>0</v>
      </c>
      <c r="M141" s="148">
        <f>0+táj.2!M141</f>
        <v>0</v>
      </c>
      <c r="N141" s="148">
        <f>0+táj.2!N141</f>
        <v>0</v>
      </c>
      <c r="O141" s="148">
        <f>0+táj.2!O141</f>
        <v>0</v>
      </c>
      <c r="P141" s="148">
        <f>0+táj.2!P141</f>
        <v>0</v>
      </c>
      <c r="Q141" s="229">
        <f t="shared" si="11"/>
        <v>2500</v>
      </c>
    </row>
    <row r="142" spans="1:17" ht="15" customHeight="1" x14ac:dyDescent="0.2">
      <c r="A142" s="231"/>
      <c r="B142" s="231"/>
      <c r="C142" s="232"/>
      <c r="D142" s="245" t="s">
        <v>465</v>
      </c>
      <c r="E142" s="247">
        <v>2</v>
      </c>
      <c r="F142" s="229">
        <v>131824</v>
      </c>
      <c r="G142" s="148">
        <f>0+táj.2!G142</f>
        <v>0</v>
      </c>
      <c r="H142" s="148">
        <f>0+táj.2!H142</f>
        <v>0</v>
      </c>
      <c r="I142" s="148">
        <f>0+táj.2!I142</f>
        <v>0</v>
      </c>
      <c r="J142" s="148">
        <f>0+táj.2!J142</f>
        <v>0</v>
      </c>
      <c r="K142" s="148">
        <f>1125+táj.2!K142</f>
        <v>1125</v>
      </c>
      <c r="L142" s="148">
        <f>0+táj.2!L142</f>
        <v>0</v>
      </c>
      <c r="M142" s="148">
        <f>0+táj.2!M142</f>
        <v>0</v>
      </c>
      <c r="N142" s="148">
        <f>0+táj.2!N142</f>
        <v>0</v>
      </c>
      <c r="O142" s="148">
        <f>0+táj.2!O142</f>
        <v>0</v>
      </c>
      <c r="P142" s="148">
        <f>0+táj.2!P142</f>
        <v>0</v>
      </c>
      <c r="Q142" s="229">
        <f t="shared" si="11"/>
        <v>1125</v>
      </c>
    </row>
    <row r="143" spans="1:17" ht="15" customHeight="1" x14ac:dyDescent="0.2">
      <c r="A143" s="231"/>
      <c r="B143" s="231"/>
      <c r="C143" s="232"/>
      <c r="D143" s="245" t="s">
        <v>466</v>
      </c>
      <c r="E143" s="247">
        <v>2</v>
      </c>
      <c r="F143" s="248">
        <v>131833</v>
      </c>
      <c r="G143" s="148">
        <f>0+táj.2!G143</f>
        <v>0</v>
      </c>
      <c r="H143" s="148">
        <f>0+táj.2!H143</f>
        <v>0</v>
      </c>
      <c r="I143" s="148">
        <f>0+táj.2!I143</f>
        <v>0</v>
      </c>
      <c r="J143" s="148">
        <f>0+táj.2!J143</f>
        <v>0</v>
      </c>
      <c r="K143" s="148">
        <f>2850+táj.2!K143</f>
        <v>2850</v>
      </c>
      <c r="L143" s="148">
        <f>0+táj.2!L143</f>
        <v>0</v>
      </c>
      <c r="M143" s="148">
        <f>0+táj.2!M143</f>
        <v>0</v>
      </c>
      <c r="N143" s="148">
        <f>0+táj.2!N143</f>
        <v>0</v>
      </c>
      <c r="O143" s="148">
        <f>0+táj.2!O143</f>
        <v>0</v>
      </c>
      <c r="P143" s="148">
        <f>0+táj.2!P143</f>
        <v>0</v>
      </c>
      <c r="Q143" s="229">
        <f t="shared" si="11"/>
        <v>2850</v>
      </c>
    </row>
    <row r="144" spans="1:17" ht="15" customHeight="1" x14ac:dyDescent="0.2">
      <c r="A144" s="231"/>
      <c r="B144" s="231"/>
      <c r="C144" s="232"/>
      <c r="D144" s="245" t="s">
        <v>467</v>
      </c>
      <c r="E144" s="247">
        <v>2</v>
      </c>
      <c r="F144" s="248">
        <v>131834</v>
      </c>
      <c r="G144" s="148">
        <f>0+táj.2!G144</f>
        <v>0</v>
      </c>
      <c r="H144" s="148">
        <f>0+táj.2!H144</f>
        <v>0</v>
      </c>
      <c r="I144" s="148">
        <f>0+táj.2!I144</f>
        <v>0</v>
      </c>
      <c r="J144" s="148">
        <f>0+táj.2!J144</f>
        <v>0</v>
      </c>
      <c r="K144" s="148">
        <f>1800+táj.2!K144</f>
        <v>1800</v>
      </c>
      <c r="L144" s="148">
        <f>0+táj.2!L144</f>
        <v>0</v>
      </c>
      <c r="M144" s="148">
        <f>0+táj.2!M144</f>
        <v>0</v>
      </c>
      <c r="N144" s="148">
        <f>0+táj.2!N144</f>
        <v>0</v>
      </c>
      <c r="O144" s="148">
        <f>0+táj.2!O144</f>
        <v>0</v>
      </c>
      <c r="P144" s="148">
        <f>0+táj.2!P144</f>
        <v>0</v>
      </c>
      <c r="Q144" s="229">
        <f t="shared" si="11"/>
        <v>1800</v>
      </c>
    </row>
    <row r="145" spans="1:17" ht="15" customHeight="1" x14ac:dyDescent="0.2">
      <c r="A145" s="231"/>
      <c r="B145" s="231"/>
      <c r="C145" s="232"/>
      <c r="D145" s="245" t="s">
        <v>468</v>
      </c>
      <c r="E145" s="247">
        <v>2</v>
      </c>
      <c r="F145" s="248">
        <v>131836</v>
      </c>
      <c r="G145" s="148">
        <f>0+táj.2!G145</f>
        <v>0</v>
      </c>
      <c r="H145" s="148">
        <f>0+táj.2!H145</f>
        <v>0</v>
      </c>
      <c r="I145" s="148">
        <f>0+táj.2!I145</f>
        <v>0</v>
      </c>
      <c r="J145" s="148">
        <f>0+táj.2!J145</f>
        <v>0</v>
      </c>
      <c r="K145" s="148">
        <f>4500+táj.2!K145</f>
        <v>4500</v>
      </c>
      <c r="L145" s="148">
        <f>0+táj.2!L145</f>
        <v>0</v>
      </c>
      <c r="M145" s="148">
        <f>0+táj.2!M145</f>
        <v>0</v>
      </c>
      <c r="N145" s="148">
        <f>0+táj.2!N145</f>
        <v>0</v>
      </c>
      <c r="O145" s="148">
        <f>0+táj.2!O145</f>
        <v>0</v>
      </c>
      <c r="P145" s="148">
        <f>0+táj.2!P145</f>
        <v>0</v>
      </c>
      <c r="Q145" s="229">
        <f t="shared" si="11"/>
        <v>4500</v>
      </c>
    </row>
    <row r="146" spans="1:17" ht="15" customHeight="1" x14ac:dyDescent="0.2">
      <c r="A146" s="231"/>
      <c r="B146" s="231"/>
      <c r="C146" s="232"/>
      <c r="D146" s="245" t="s">
        <v>469</v>
      </c>
      <c r="E146" s="247">
        <v>2</v>
      </c>
      <c r="F146" s="248">
        <v>131837</v>
      </c>
      <c r="G146" s="148">
        <f>0+táj.2!G146</f>
        <v>0</v>
      </c>
      <c r="H146" s="148">
        <f>0+táj.2!H146</f>
        <v>0</v>
      </c>
      <c r="I146" s="148">
        <f>0+táj.2!I146</f>
        <v>0</v>
      </c>
      <c r="J146" s="148">
        <f>0+táj.2!J146</f>
        <v>0</v>
      </c>
      <c r="K146" s="148">
        <f>4000+táj.2!K146</f>
        <v>4000</v>
      </c>
      <c r="L146" s="148">
        <f>0+táj.2!L146</f>
        <v>0</v>
      </c>
      <c r="M146" s="148">
        <f>0+táj.2!M146</f>
        <v>0</v>
      </c>
      <c r="N146" s="148">
        <f>0+táj.2!N146</f>
        <v>0</v>
      </c>
      <c r="O146" s="148">
        <f>0+táj.2!O146</f>
        <v>0</v>
      </c>
      <c r="P146" s="148">
        <f>0+táj.2!P146</f>
        <v>0</v>
      </c>
      <c r="Q146" s="229">
        <f t="shared" si="11"/>
        <v>4000</v>
      </c>
    </row>
    <row r="147" spans="1:17" ht="15" customHeight="1" x14ac:dyDescent="0.2">
      <c r="A147" s="231"/>
      <c r="B147" s="231"/>
      <c r="C147" s="232"/>
      <c r="D147" s="245" t="s">
        <v>470</v>
      </c>
      <c r="E147" s="247">
        <v>2</v>
      </c>
      <c r="F147" s="248">
        <v>131838</v>
      </c>
      <c r="G147" s="148">
        <f>0+táj.2!G147</f>
        <v>0</v>
      </c>
      <c r="H147" s="148">
        <f>0+táj.2!H147</f>
        <v>0</v>
      </c>
      <c r="I147" s="148">
        <f>0+táj.2!I147</f>
        <v>0</v>
      </c>
      <c r="J147" s="148">
        <f>0+táj.2!J147</f>
        <v>0</v>
      </c>
      <c r="K147" s="148">
        <f>20000+táj.2!K147</f>
        <v>20000</v>
      </c>
      <c r="L147" s="148">
        <f>0+táj.2!L147</f>
        <v>0</v>
      </c>
      <c r="M147" s="148">
        <f>0+táj.2!M147</f>
        <v>0</v>
      </c>
      <c r="N147" s="148">
        <f>0+táj.2!N147</f>
        <v>0</v>
      </c>
      <c r="O147" s="148">
        <f>0+táj.2!O147</f>
        <v>0</v>
      </c>
      <c r="P147" s="148">
        <f>0+táj.2!P147</f>
        <v>0</v>
      </c>
      <c r="Q147" s="229">
        <f t="shared" si="11"/>
        <v>20000</v>
      </c>
    </row>
    <row r="148" spans="1:17" ht="15" customHeight="1" x14ac:dyDescent="0.2">
      <c r="A148" s="231"/>
      <c r="B148" s="231"/>
      <c r="C148" s="232"/>
      <c r="D148" s="245" t="s">
        <v>471</v>
      </c>
      <c r="E148" s="247">
        <v>2</v>
      </c>
      <c r="F148" s="248">
        <v>131840</v>
      </c>
      <c r="G148" s="148">
        <f>0+táj.2!G148</f>
        <v>0</v>
      </c>
      <c r="H148" s="148">
        <f>0+táj.2!H148</f>
        <v>0</v>
      </c>
      <c r="I148" s="148">
        <f>0+táj.2!I148</f>
        <v>0</v>
      </c>
      <c r="J148" s="148">
        <f>0+táj.2!J148</f>
        <v>0</v>
      </c>
      <c r="K148" s="148">
        <f>675+táj.2!K148</f>
        <v>675</v>
      </c>
      <c r="L148" s="148">
        <f>0+táj.2!L148</f>
        <v>0</v>
      </c>
      <c r="M148" s="148">
        <f>0+táj.2!M148</f>
        <v>0</v>
      </c>
      <c r="N148" s="148">
        <f>0+táj.2!N148</f>
        <v>0</v>
      </c>
      <c r="O148" s="148">
        <f>0+táj.2!O148</f>
        <v>0</v>
      </c>
      <c r="P148" s="148">
        <f>0+táj.2!P148</f>
        <v>0</v>
      </c>
      <c r="Q148" s="229">
        <f t="shared" si="11"/>
        <v>675</v>
      </c>
    </row>
    <row r="149" spans="1:17" ht="15" customHeight="1" x14ac:dyDescent="0.2">
      <c r="A149" s="231"/>
      <c r="B149" s="231"/>
      <c r="C149" s="232"/>
      <c r="D149" s="245" t="s">
        <v>472</v>
      </c>
      <c r="E149" s="247">
        <v>2</v>
      </c>
      <c r="F149" s="248">
        <v>131841</v>
      </c>
      <c r="G149" s="148">
        <f>0+táj.2!G149</f>
        <v>0</v>
      </c>
      <c r="H149" s="148">
        <f>0+táj.2!H149</f>
        <v>0</v>
      </c>
      <c r="I149" s="148">
        <f>0+táj.2!I149</f>
        <v>0</v>
      </c>
      <c r="J149" s="148">
        <f>0+táj.2!J149</f>
        <v>0</v>
      </c>
      <c r="K149" s="148">
        <f>0+táj.2!K149</f>
        <v>0</v>
      </c>
      <c r="L149" s="148">
        <f>0+táj.2!L149</f>
        <v>0</v>
      </c>
      <c r="M149" s="148">
        <f>0+táj.2!M149</f>
        <v>0</v>
      </c>
      <c r="N149" s="148">
        <f>0+táj.2!N149</f>
        <v>0</v>
      </c>
      <c r="O149" s="148">
        <f>0+táj.2!O149</f>
        <v>0</v>
      </c>
      <c r="P149" s="148">
        <f>0+táj.2!P149</f>
        <v>0</v>
      </c>
      <c r="Q149" s="229">
        <f t="shared" si="11"/>
        <v>0</v>
      </c>
    </row>
    <row r="150" spans="1:17" ht="15" customHeight="1" x14ac:dyDescent="0.2">
      <c r="A150" s="231"/>
      <c r="B150" s="231"/>
      <c r="C150" s="232"/>
      <c r="D150" s="245" t="s">
        <v>473</v>
      </c>
      <c r="E150" s="247">
        <v>2</v>
      </c>
      <c r="F150" s="248">
        <v>131842</v>
      </c>
      <c r="G150" s="148">
        <f>0+táj.2!G150</f>
        <v>0</v>
      </c>
      <c r="H150" s="148">
        <f>0+táj.2!H150</f>
        <v>0</v>
      </c>
      <c r="I150" s="148">
        <f>0+táj.2!I150</f>
        <v>0</v>
      </c>
      <c r="J150" s="148">
        <f>0+táj.2!J150</f>
        <v>0</v>
      </c>
      <c r="K150" s="148">
        <f>0+táj.2!K150</f>
        <v>0</v>
      </c>
      <c r="L150" s="148">
        <f>0+táj.2!L150</f>
        <v>0</v>
      </c>
      <c r="M150" s="148">
        <f>0+táj.2!M150</f>
        <v>0</v>
      </c>
      <c r="N150" s="148">
        <f>0+táj.2!N150</f>
        <v>0</v>
      </c>
      <c r="O150" s="148">
        <f>0+táj.2!O150</f>
        <v>0</v>
      </c>
      <c r="P150" s="148">
        <f>0+táj.2!P150</f>
        <v>0</v>
      </c>
      <c r="Q150" s="229">
        <f t="shared" si="11"/>
        <v>0</v>
      </c>
    </row>
    <row r="151" spans="1:17" ht="15" customHeight="1" x14ac:dyDescent="0.2">
      <c r="A151" s="231"/>
      <c r="B151" s="231"/>
      <c r="C151" s="232"/>
      <c r="D151" s="245" t="s">
        <v>474</v>
      </c>
      <c r="E151" s="247">
        <v>2</v>
      </c>
      <c r="F151" s="248">
        <v>131843</v>
      </c>
      <c r="G151" s="148">
        <f>0+táj.2!G151</f>
        <v>0</v>
      </c>
      <c r="H151" s="148">
        <f>0+táj.2!H151</f>
        <v>0</v>
      </c>
      <c r="I151" s="148">
        <f>0+táj.2!I151</f>
        <v>0</v>
      </c>
      <c r="J151" s="148">
        <f>0+táj.2!J151</f>
        <v>0</v>
      </c>
      <c r="K151" s="148">
        <f>1125+táj.2!K151</f>
        <v>1125</v>
      </c>
      <c r="L151" s="148">
        <f>0+táj.2!L151</f>
        <v>0</v>
      </c>
      <c r="M151" s="148">
        <f>0+táj.2!M151</f>
        <v>0</v>
      </c>
      <c r="N151" s="148">
        <f>0+táj.2!N151</f>
        <v>0</v>
      </c>
      <c r="O151" s="148">
        <f>0+táj.2!O151</f>
        <v>0</v>
      </c>
      <c r="P151" s="148">
        <f>0+táj.2!P151</f>
        <v>0</v>
      </c>
      <c r="Q151" s="229">
        <f t="shared" si="11"/>
        <v>1125</v>
      </c>
    </row>
    <row r="152" spans="1:17" ht="15" customHeight="1" x14ac:dyDescent="0.2">
      <c r="A152" s="231"/>
      <c r="B152" s="231"/>
      <c r="C152" s="231"/>
      <c r="D152" s="229" t="s">
        <v>475</v>
      </c>
      <c r="E152" s="247">
        <v>2</v>
      </c>
      <c r="F152" s="248">
        <v>131847</v>
      </c>
      <c r="G152" s="148">
        <f>0+táj.2!G152</f>
        <v>0</v>
      </c>
      <c r="H152" s="148">
        <f>0+táj.2!H152</f>
        <v>0</v>
      </c>
      <c r="I152" s="148">
        <f>0+táj.2!I152</f>
        <v>0</v>
      </c>
      <c r="J152" s="148">
        <f>0+táj.2!J152</f>
        <v>0</v>
      </c>
      <c r="K152" s="148">
        <f>1375+táj.2!K152</f>
        <v>1375</v>
      </c>
      <c r="L152" s="148">
        <f>0+táj.2!L152</f>
        <v>0</v>
      </c>
      <c r="M152" s="148">
        <f>0+táj.2!M152</f>
        <v>0</v>
      </c>
      <c r="N152" s="148">
        <f>0+táj.2!N152</f>
        <v>0</v>
      </c>
      <c r="O152" s="148">
        <f>0+táj.2!O152</f>
        <v>0</v>
      </c>
      <c r="P152" s="148">
        <f>0+táj.2!P152</f>
        <v>0</v>
      </c>
      <c r="Q152" s="229">
        <f t="shared" si="11"/>
        <v>1375</v>
      </c>
    </row>
    <row r="153" spans="1:17" ht="15" customHeight="1" x14ac:dyDescent="0.2">
      <c r="A153" s="231"/>
      <c r="B153" s="231"/>
      <c r="C153" s="231"/>
      <c r="D153" s="250" t="s">
        <v>476</v>
      </c>
      <c r="E153" s="251">
        <v>2</v>
      </c>
      <c r="F153" s="252">
        <v>131848</v>
      </c>
      <c r="G153" s="148">
        <f>0+táj.2!G153</f>
        <v>0</v>
      </c>
      <c r="H153" s="148">
        <f>0+táj.2!H153</f>
        <v>0</v>
      </c>
      <c r="I153" s="148">
        <f>0+táj.2!I153</f>
        <v>0</v>
      </c>
      <c r="J153" s="148">
        <f>0+táj.2!J153</f>
        <v>0</v>
      </c>
      <c r="K153" s="148">
        <f>225+táj.2!K153</f>
        <v>225</v>
      </c>
      <c r="L153" s="148">
        <f>0+táj.2!L153</f>
        <v>0</v>
      </c>
      <c r="M153" s="148">
        <f>0+táj.2!M153</f>
        <v>0</v>
      </c>
      <c r="N153" s="148">
        <f>0+táj.2!N153</f>
        <v>0</v>
      </c>
      <c r="O153" s="148">
        <f>0+táj.2!O153</f>
        <v>0</v>
      </c>
      <c r="P153" s="148">
        <f>0+táj.2!P153</f>
        <v>0</v>
      </c>
      <c r="Q153" s="148">
        <f t="shared" si="11"/>
        <v>225</v>
      </c>
    </row>
    <row r="154" spans="1:17" ht="15" customHeight="1" x14ac:dyDescent="0.2">
      <c r="A154" s="174"/>
      <c r="B154" s="174"/>
      <c r="C154" s="174"/>
      <c r="D154" s="250" t="s">
        <v>477</v>
      </c>
      <c r="E154" s="251">
        <v>2</v>
      </c>
      <c r="F154" s="252">
        <v>131850</v>
      </c>
      <c r="G154" s="148">
        <f>0+táj.2!G154</f>
        <v>0</v>
      </c>
      <c r="H154" s="148">
        <f>0+táj.2!H154</f>
        <v>0</v>
      </c>
      <c r="I154" s="148">
        <f>0+táj.2!I154</f>
        <v>0</v>
      </c>
      <c r="J154" s="148">
        <f>0+táj.2!J154</f>
        <v>0</v>
      </c>
      <c r="K154" s="148">
        <f>450+táj.2!K154</f>
        <v>450</v>
      </c>
      <c r="L154" s="148">
        <f>0+táj.2!L154</f>
        <v>0</v>
      </c>
      <c r="M154" s="148">
        <f>0+táj.2!M154</f>
        <v>0</v>
      </c>
      <c r="N154" s="148">
        <f>0+táj.2!N154</f>
        <v>0</v>
      </c>
      <c r="O154" s="148">
        <f>0+táj.2!O154</f>
        <v>0</v>
      </c>
      <c r="P154" s="148">
        <f>0+táj.2!P154</f>
        <v>0</v>
      </c>
      <c r="Q154" s="148">
        <f t="shared" si="11"/>
        <v>450</v>
      </c>
    </row>
    <row r="155" spans="1:17" ht="15" customHeight="1" x14ac:dyDescent="0.2">
      <c r="A155" s="174"/>
      <c r="B155" s="174"/>
      <c r="C155" s="174"/>
      <c r="D155" s="250" t="s">
        <v>478</v>
      </c>
      <c r="E155" s="251">
        <v>2</v>
      </c>
      <c r="F155" s="252">
        <v>131851</v>
      </c>
      <c r="G155" s="148">
        <f>0+táj.2!G155</f>
        <v>0</v>
      </c>
      <c r="H155" s="148">
        <f>0+táj.2!H155</f>
        <v>0</v>
      </c>
      <c r="I155" s="148">
        <f>0+táj.2!I155</f>
        <v>0</v>
      </c>
      <c r="J155" s="148">
        <f>0+táj.2!J155</f>
        <v>0</v>
      </c>
      <c r="K155" s="148">
        <f>360+táj.2!K155</f>
        <v>360</v>
      </c>
      <c r="L155" s="148">
        <f>0+táj.2!L155</f>
        <v>0</v>
      </c>
      <c r="M155" s="148">
        <f>0+táj.2!M155</f>
        <v>0</v>
      </c>
      <c r="N155" s="148">
        <f>0+táj.2!N155</f>
        <v>0</v>
      </c>
      <c r="O155" s="148">
        <f>0+táj.2!O155</f>
        <v>0</v>
      </c>
      <c r="P155" s="148">
        <f>0+táj.2!P155</f>
        <v>0</v>
      </c>
      <c r="Q155" s="148">
        <f t="shared" si="11"/>
        <v>360</v>
      </c>
    </row>
    <row r="156" spans="1:17" ht="15" customHeight="1" x14ac:dyDescent="0.2">
      <c r="A156" s="174"/>
      <c r="B156" s="174"/>
      <c r="C156" s="174"/>
      <c r="D156" s="224" t="s">
        <v>479</v>
      </c>
      <c r="E156" s="251">
        <v>2</v>
      </c>
      <c r="F156" s="252">
        <v>131852</v>
      </c>
      <c r="G156" s="148">
        <f>0+táj.2!G156</f>
        <v>0</v>
      </c>
      <c r="H156" s="148">
        <f>0+táj.2!H156</f>
        <v>0</v>
      </c>
      <c r="I156" s="148">
        <f>0+táj.2!I156</f>
        <v>0</v>
      </c>
      <c r="J156" s="148">
        <f>0+táj.2!J156</f>
        <v>0</v>
      </c>
      <c r="K156" s="148">
        <f>2500+táj.2!K156</f>
        <v>2500</v>
      </c>
      <c r="L156" s="148">
        <f>0+táj.2!L156</f>
        <v>0</v>
      </c>
      <c r="M156" s="148">
        <f>0+táj.2!M156</f>
        <v>0</v>
      </c>
      <c r="N156" s="148">
        <f>0+táj.2!N156</f>
        <v>0</v>
      </c>
      <c r="O156" s="148">
        <f>0+táj.2!O156</f>
        <v>0</v>
      </c>
      <c r="P156" s="148">
        <f>0+táj.2!P156</f>
        <v>0</v>
      </c>
      <c r="Q156" s="148">
        <f t="shared" si="11"/>
        <v>2500</v>
      </c>
    </row>
    <row r="157" spans="1:17" ht="40.5" customHeight="1" x14ac:dyDescent="0.2">
      <c r="A157" s="174"/>
      <c r="B157" s="174"/>
      <c r="C157" s="174"/>
      <c r="D157" s="254" t="s">
        <v>480</v>
      </c>
      <c r="E157" s="255">
        <v>2</v>
      </c>
      <c r="F157" s="226">
        <v>131853</v>
      </c>
      <c r="G157" s="148">
        <f>0+táj.2!G157</f>
        <v>0</v>
      </c>
      <c r="H157" s="148">
        <f>0+táj.2!H157</f>
        <v>0</v>
      </c>
      <c r="I157" s="148">
        <f>0+táj.2!I157</f>
        <v>0</v>
      </c>
      <c r="J157" s="148">
        <f>0+táj.2!J157</f>
        <v>0</v>
      </c>
      <c r="K157" s="148">
        <f>3500+táj.2!K157</f>
        <v>3500</v>
      </c>
      <c r="L157" s="148">
        <f>0+táj.2!L157</f>
        <v>0</v>
      </c>
      <c r="M157" s="148">
        <f>0+táj.2!M157</f>
        <v>0</v>
      </c>
      <c r="N157" s="148">
        <f>0+táj.2!N157</f>
        <v>0</v>
      </c>
      <c r="O157" s="148">
        <f>0+táj.2!O157</f>
        <v>0</v>
      </c>
      <c r="P157" s="148">
        <f>0+táj.2!P157</f>
        <v>0</v>
      </c>
      <c r="Q157" s="148">
        <f t="shared" si="11"/>
        <v>3500</v>
      </c>
    </row>
    <row r="158" spans="1:17" ht="26.25" customHeight="1" x14ac:dyDescent="0.2">
      <c r="A158" s="174"/>
      <c r="B158" s="174"/>
      <c r="C158" s="174"/>
      <c r="D158" s="254" t="s">
        <v>481</v>
      </c>
      <c r="E158" s="255">
        <v>2</v>
      </c>
      <c r="F158" s="226">
        <v>131862</v>
      </c>
      <c r="G158" s="148">
        <f>0+táj.2!G158</f>
        <v>0</v>
      </c>
      <c r="H158" s="148">
        <f>0+táj.2!H158</f>
        <v>0</v>
      </c>
      <c r="I158" s="148">
        <f>0+táj.2!I158</f>
        <v>0</v>
      </c>
      <c r="J158" s="148">
        <f>0+táj.2!J158</f>
        <v>0</v>
      </c>
      <c r="K158" s="148">
        <f>2000+táj.2!K158</f>
        <v>2000</v>
      </c>
      <c r="L158" s="148">
        <f>0+táj.2!L158</f>
        <v>0</v>
      </c>
      <c r="M158" s="148">
        <f>0+táj.2!M158</f>
        <v>0</v>
      </c>
      <c r="N158" s="148">
        <f>0+táj.2!N158</f>
        <v>0</v>
      </c>
      <c r="O158" s="148">
        <f>0+táj.2!O158</f>
        <v>0</v>
      </c>
      <c r="P158" s="148">
        <f>0+táj.2!P158</f>
        <v>0</v>
      </c>
      <c r="Q158" s="148">
        <f t="shared" si="11"/>
        <v>2000</v>
      </c>
    </row>
    <row r="159" spans="1:17" ht="15" customHeight="1" x14ac:dyDescent="0.2">
      <c r="A159" s="174"/>
      <c r="B159" s="174"/>
      <c r="C159" s="174"/>
      <c r="D159" s="148" t="s">
        <v>482</v>
      </c>
      <c r="E159" s="251">
        <v>2</v>
      </c>
      <c r="F159" s="252">
        <v>131856</v>
      </c>
      <c r="G159" s="148">
        <f>0+táj.2!G159</f>
        <v>0</v>
      </c>
      <c r="H159" s="148">
        <f>0+táj.2!H159</f>
        <v>0</v>
      </c>
      <c r="I159" s="148">
        <f>0+táj.2!I159</f>
        <v>0</v>
      </c>
      <c r="J159" s="148">
        <f>0+táj.2!J159</f>
        <v>0</v>
      </c>
      <c r="K159" s="148">
        <f>50+táj.2!K159</f>
        <v>50</v>
      </c>
      <c r="L159" s="148">
        <f>0+táj.2!L159</f>
        <v>0</v>
      </c>
      <c r="M159" s="148">
        <f>0+táj.2!M159</f>
        <v>0</v>
      </c>
      <c r="N159" s="148">
        <f>0+táj.2!N159</f>
        <v>0</v>
      </c>
      <c r="O159" s="148">
        <f>0+táj.2!O159</f>
        <v>0</v>
      </c>
      <c r="P159" s="148">
        <f>0+táj.2!P159</f>
        <v>0</v>
      </c>
      <c r="Q159" s="148">
        <f t="shared" si="11"/>
        <v>50</v>
      </c>
    </row>
    <row r="160" spans="1:17" ht="15" customHeight="1" x14ac:dyDescent="0.2">
      <c r="A160" s="174"/>
      <c r="B160" s="174"/>
      <c r="C160" s="174"/>
      <c r="D160" s="256" t="s">
        <v>483</v>
      </c>
      <c r="E160" s="251">
        <v>2</v>
      </c>
      <c r="F160" s="252">
        <v>131859</v>
      </c>
      <c r="G160" s="148">
        <f>0+táj.2!G160</f>
        <v>0</v>
      </c>
      <c r="H160" s="148">
        <f>0+táj.2!H160</f>
        <v>0</v>
      </c>
      <c r="I160" s="148">
        <f>0+táj.2!I160</f>
        <v>0</v>
      </c>
      <c r="J160" s="148">
        <f>0+táj.2!J160</f>
        <v>0</v>
      </c>
      <c r="K160" s="148">
        <f>50+táj.2!K160</f>
        <v>50</v>
      </c>
      <c r="L160" s="148">
        <f>0+táj.2!L160</f>
        <v>0</v>
      </c>
      <c r="M160" s="148">
        <f>0+táj.2!M160</f>
        <v>0</v>
      </c>
      <c r="N160" s="148">
        <f>0+táj.2!N160</f>
        <v>0</v>
      </c>
      <c r="O160" s="148">
        <f>0+táj.2!O160</f>
        <v>0</v>
      </c>
      <c r="P160" s="148">
        <f>0+táj.2!P160</f>
        <v>0</v>
      </c>
      <c r="Q160" s="148">
        <f t="shared" si="11"/>
        <v>50</v>
      </c>
    </row>
    <row r="161" spans="1:17" ht="15" customHeight="1" x14ac:dyDescent="0.2">
      <c r="A161" s="174"/>
      <c r="B161" s="174"/>
      <c r="C161" s="174"/>
      <c r="D161" s="256" t="s">
        <v>484</v>
      </c>
      <c r="E161" s="251">
        <v>2</v>
      </c>
      <c r="F161" s="252">
        <v>131860</v>
      </c>
      <c r="G161" s="148">
        <f>0+táj.2!G161</f>
        <v>0</v>
      </c>
      <c r="H161" s="148">
        <f>0+táj.2!H161</f>
        <v>0</v>
      </c>
      <c r="I161" s="148">
        <f>0+táj.2!I161</f>
        <v>0</v>
      </c>
      <c r="J161" s="148">
        <f>0+táj.2!J161</f>
        <v>0</v>
      </c>
      <c r="K161" s="148">
        <f>50+táj.2!K161</f>
        <v>50</v>
      </c>
      <c r="L161" s="148">
        <f>0+táj.2!L161</f>
        <v>0</v>
      </c>
      <c r="M161" s="148">
        <f>0+táj.2!M161</f>
        <v>0</v>
      </c>
      <c r="N161" s="148">
        <f>0+táj.2!N161</f>
        <v>0</v>
      </c>
      <c r="O161" s="148">
        <f>0+táj.2!O161</f>
        <v>0</v>
      </c>
      <c r="P161" s="148">
        <f>0+táj.2!P161</f>
        <v>0</v>
      </c>
      <c r="Q161" s="148">
        <f t="shared" si="11"/>
        <v>50</v>
      </c>
    </row>
    <row r="162" spans="1:17" ht="15" customHeight="1" x14ac:dyDescent="0.2">
      <c r="A162" s="174"/>
      <c r="B162" s="174"/>
      <c r="C162" s="174"/>
      <c r="D162" s="829" t="s">
        <v>485</v>
      </c>
      <c r="E162" s="830">
        <v>2</v>
      </c>
      <c r="F162" s="831">
        <v>131861</v>
      </c>
      <c r="G162" s="148">
        <f>0+táj.2!G162</f>
        <v>0</v>
      </c>
      <c r="H162" s="148">
        <f>0+táj.2!H162</f>
        <v>0</v>
      </c>
      <c r="I162" s="148">
        <f>0+táj.2!I162</f>
        <v>0</v>
      </c>
      <c r="J162" s="148">
        <f>0+táj.2!J162</f>
        <v>0</v>
      </c>
      <c r="K162" s="148">
        <f>50+táj.2!K162</f>
        <v>50</v>
      </c>
      <c r="L162" s="148">
        <f>0+táj.2!L162</f>
        <v>0</v>
      </c>
      <c r="M162" s="148">
        <f>0+táj.2!M162</f>
        <v>0</v>
      </c>
      <c r="N162" s="148">
        <f>0+táj.2!N162</f>
        <v>0</v>
      </c>
      <c r="O162" s="148">
        <f>0+táj.2!O162</f>
        <v>0</v>
      </c>
      <c r="P162" s="148">
        <f>0+táj.2!P162</f>
        <v>0</v>
      </c>
      <c r="Q162" s="148">
        <f t="shared" si="11"/>
        <v>50</v>
      </c>
    </row>
    <row r="163" spans="1:17" ht="15" customHeight="1" x14ac:dyDescent="0.2">
      <c r="A163" s="824"/>
      <c r="B163" s="824"/>
      <c r="C163" s="824"/>
      <c r="D163" s="832" t="s">
        <v>1283</v>
      </c>
      <c r="E163" s="833">
        <v>2</v>
      </c>
      <c r="F163" s="834">
        <v>131865</v>
      </c>
      <c r="G163" s="148">
        <f>0+táj.2!G163</f>
        <v>0</v>
      </c>
      <c r="H163" s="148">
        <f>0+táj.2!H163</f>
        <v>0</v>
      </c>
      <c r="I163" s="148">
        <f>0+táj.2!I163</f>
        <v>0</v>
      </c>
      <c r="J163" s="148">
        <f>0+táj.2!J163</f>
        <v>0</v>
      </c>
      <c r="K163" s="148">
        <f>725+táj.2!K163</f>
        <v>725</v>
      </c>
      <c r="L163" s="148">
        <f>0+táj.2!L163</f>
        <v>0</v>
      </c>
      <c r="M163" s="148">
        <f>0+táj.2!M163</f>
        <v>0</v>
      </c>
      <c r="N163" s="148">
        <f>0+táj.2!N163</f>
        <v>0</v>
      </c>
      <c r="O163" s="148">
        <f>0+táj.2!O163</f>
        <v>0</v>
      </c>
      <c r="P163" s="148">
        <f>0+táj.2!P163</f>
        <v>0</v>
      </c>
      <c r="Q163" s="148">
        <f t="shared" si="11"/>
        <v>725</v>
      </c>
    </row>
    <row r="164" spans="1:17" ht="15" customHeight="1" x14ac:dyDescent="0.2">
      <c r="A164" s="824"/>
      <c r="B164" s="824"/>
      <c r="C164" s="824"/>
      <c r="D164" s="832" t="s">
        <v>1284</v>
      </c>
      <c r="E164" s="833">
        <v>2</v>
      </c>
      <c r="F164" s="834">
        <v>131866</v>
      </c>
      <c r="G164" s="148">
        <f>0+táj.2!G164</f>
        <v>0</v>
      </c>
      <c r="H164" s="148">
        <f>0+táj.2!H164</f>
        <v>0</v>
      </c>
      <c r="I164" s="148">
        <f>0+táj.2!I164</f>
        <v>0</v>
      </c>
      <c r="J164" s="148">
        <f>0+táj.2!J164</f>
        <v>0</v>
      </c>
      <c r="K164" s="148">
        <f>2000+táj.2!K164</f>
        <v>2000</v>
      </c>
      <c r="L164" s="148">
        <f>0+táj.2!L164</f>
        <v>0</v>
      </c>
      <c r="M164" s="148">
        <f>0+táj.2!M164</f>
        <v>0</v>
      </c>
      <c r="N164" s="148">
        <f>0+táj.2!N164</f>
        <v>0</v>
      </c>
      <c r="O164" s="148">
        <f>0+táj.2!O164</f>
        <v>0</v>
      </c>
      <c r="P164" s="148">
        <f>0+táj.2!P164</f>
        <v>0</v>
      </c>
      <c r="Q164" s="148">
        <f t="shared" si="11"/>
        <v>2000</v>
      </c>
    </row>
    <row r="165" spans="1:17" ht="15" customHeight="1" x14ac:dyDescent="0.2">
      <c r="A165" s="174"/>
      <c r="B165" s="174"/>
      <c r="C165" s="174"/>
      <c r="D165" s="189" t="s">
        <v>486</v>
      </c>
      <c r="E165" s="185">
        <v>2</v>
      </c>
      <c r="F165" s="148">
        <v>131829</v>
      </c>
      <c r="G165" s="148">
        <f>400+táj.2!G165</f>
        <v>400</v>
      </c>
      <c r="H165" s="148">
        <f>145+táj.2!H165</f>
        <v>145</v>
      </c>
      <c r="I165" s="148">
        <f>355+táj.2!I165</f>
        <v>355</v>
      </c>
      <c r="J165" s="148">
        <f>0+táj.2!J165</f>
        <v>0</v>
      </c>
      <c r="K165" s="148">
        <f>1800+táj.2!K165</f>
        <v>1800</v>
      </c>
      <c r="L165" s="148">
        <f>0+táj.2!L165</f>
        <v>0</v>
      </c>
      <c r="M165" s="148">
        <f>0+táj.2!M165</f>
        <v>0</v>
      </c>
      <c r="N165" s="148">
        <f>0+táj.2!N165</f>
        <v>0</v>
      </c>
      <c r="O165" s="148">
        <f>0+táj.2!O165</f>
        <v>0</v>
      </c>
      <c r="P165" s="148">
        <f>0+táj.2!P165</f>
        <v>0</v>
      </c>
      <c r="Q165" s="148">
        <f t="shared" si="11"/>
        <v>2700</v>
      </c>
    </row>
    <row r="166" spans="1:17" ht="15" customHeight="1" x14ac:dyDescent="0.2">
      <c r="A166" s="174"/>
      <c r="B166" s="174"/>
      <c r="C166" s="174"/>
      <c r="D166" s="148" t="s">
        <v>487</v>
      </c>
      <c r="E166" s="185"/>
      <c r="F166" s="148"/>
      <c r="G166" s="148"/>
      <c r="H166" s="148"/>
      <c r="I166" s="148"/>
      <c r="J166" s="148"/>
      <c r="K166" s="148"/>
      <c r="L166" s="148"/>
      <c r="M166" s="148"/>
      <c r="N166" s="148"/>
      <c r="O166" s="148"/>
      <c r="P166" s="148"/>
      <c r="Q166" s="148"/>
    </row>
    <row r="167" spans="1:17" ht="15" customHeight="1" x14ac:dyDescent="0.2">
      <c r="A167" s="174"/>
      <c r="B167" s="174"/>
      <c r="C167" s="194"/>
      <c r="D167" s="190" t="s">
        <v>488</v>
      </c>
      <c r="E167" s="185">
        <v>1</v>
      </c>
      <c r="F167" s="148">
        <v>131827</v>
      </c>
      <c r="G167" s="148">
        <f>0+táj.2!G167</f>
        <v>0</v>
      </c>
      <c r="H167" s="148">
        <f>0+táj.2!H167</f>
        <v>0</v>
      </c>
      <c r="I167" s="148">
        <f>14827+táj.2!I167</f>
        <v>14827</v>
      </c>
      <c r="J167" s="148">
        <f>0+táj.2!J167</f>
        <v>0</v>
      </c>
      <c r="K167" s="148">
        <f>28000+táj.2!K167</f>
        <v>28000</v>
      </c>
      <c r="L167" s="148">
        <f>0+táj.2!L167</f>
        <v>0</v>
      </c>
      <c r="M167" s="148">
        <f>0+táj.2!M167</f>
        <v>0</v>
      </c>
      <c r="N167" s="148">
        <f>0+táj.2!N167</f>
        <v>0</v>
      </c>
      <c r="O167" s="148">
        <f>0+táj.2!O167</f>
        <v>0</v>
      </c>
      <c r="P167" s="148">
        <f>0+táj.2!P167</f>
        <v>0</v>
      </c>
      <c r="Q167" s="148">
        <f>SUM(G167:P167)</f>
        <v>42827</v>
      </c>
    </row>
    <row r="168" spans="1:17" ht="15" customHeight="1" x14ac:dyDescent="0.2">
      <c r="A168" s="174"/>
      <c r="B168" s="174"/>
      <c r="C168" s="194"/>
      <c r="D168" s="190" t="s">
        <v>489</v>
      </c>
      <c r="E168" s="148">
        <v>2</v>
      </c>
      <c r="F168" s="148">
        <v>131857</v>
      </c>
      <c r="G168" s="148">
        <f>0+táj.2!G168</f>
        <v>0</v>
      </c>
      <c r="H168" s="148">
        <f>0+táj.2!H168</f>
        <v>0</v>
      </c>
      <c r="I168" s="148">
        <f>0+táj.2!I168</f>
        <v>0</v>
      </c>
      <c r="J168" s="148">
        <f>0+táj.2!J168</f>
        <v>0</v>
      </c>
      <c r="K168" s="148">
        <f>13000+táj.2!K168</f>
        <v>8000</v>
      </c>
      <c r="L168" s="148">
        <f>0+táj.2!L168</f>
        <v>0</v>
      </c>
      <c r="M168" s="148">
        <f>0+táj.2!M168</f>
        <v>0</v>
      </c>
      <c r="N168" s="148">
        <f>0+táj.2!N168</f>
        <v>0</v>
      </c>
      <c r="O168" s="148">
        <f>0+táj.2!O168</f>
        <v>0</v>
      </c>
      <c r="P168" s="148">
        <f>0+táj.2!P168</f>
        <v>0</v>
      </c>
      <c r="Q168" s="148">
        <f>SUM(G168:P168)</f>
        <v>8000</v>
      </c>
    </row>
    <row r="169" spans="1:17" ht="15" customHeight="1" x14ac:dyDescent="0.2">
      <c r="A169" s="174"/>
      <c r="B169" s="174"/>
      <c r="C169" s="194"/>
      <c r="D169" s="257" t="s">
        <v>490</v>
      </c>
      <c r="E169" s="148">
        <v>2</v>
      </c>
      <c r="F169" s="148">
        <v>131844</v>
      </c>
      <c r="G169" s="148">
        <f>0+táj.2!G169</f>
        <v>0</v>
      </c>
      <c r="H169" s="148">
        <f>0+táj.2!H169</f>
        <v>0</v>
      </c>
      <c r="I169" s="148">
        <f>0+táj.2!I169</f>
        <v>0</v>
      </c>
      <c r="J169" s="148">
        <f>0+táj.2!J169</f>
        <v>0</v>
      </c>
      <c r="K169" s="148">
        <f>12889+táj.2!K169</f>
        <v>12889</v>
      </c>
      <c r="L169" s="148">
        <f>0+táj.2!L169</f>
        <v>0</v>
      </c>
      <c r="M169" s="148">
        <f>0+táj.2!M169</f>
        <v>0</v>
      </c>
      <c r="N169" s="148">
        <f>0+táj.2!N169</f>
        <v>0</v>
      </c>
      <c r="O169" s="148">
        <f>0+táj.2!O169</f>
        <v>0</v>
      </c>
      <c r="P169" s="148">
        <f>0+táj.2!P169</f>
        <v>0</v>
      </c>
      <c r="Q169" s="148">
        <f>SUM(G169:P169)</f>
        <v>12889</v>
      </c>
    </row>
    <row r="170" spans="1:17" ht="12" customHeight="1" x14ac:dyDescent="0.2">
      <c r="A170" s="200"/>
      <c r="B170" s="200"/>
      <c r="C170" s="201"/>
      <c r="D170" s="202" t="s">
        <v>491</v>
      </c>
      <c r="E170" s="203"/>
      <c r="F170" s="204"/>
      <c r="G170" s="258">
        <f t="shared" ref="G170:Q170" si="12">SUM(G50:G169)</f>
        <v>3339</v>
      </c>
      <c r="H170" s="258">
        <f t="shared" si="12"/>
        <v>1247</v>
      </c>
      <c r="I170" s="258">
        <f t="shared" si="12"/>
        <v>39766</v>
      </c>
      <c r="J170" s="258">
        <f t="shared" si="12"/>
        <v>6000</v>
      </c>
      <c r="K170" s="258">
        <f t="shared" si="12"/>
        <v>935640</v>
      </c>
      <c r="L170" s="258">
        <f t="shared" si="12"/>
        <v>120</v>
      </c>
      <c r="M170" s="258">
        <f t="shared" si="12"/>
        <v>0</v>
      </c>
      <c r="N170" s="258">
        <f t="shared" si="12"/>
        <v>620</v>
      </c>
      <c r="O170" s="258">
        <f t="shared" si="12"/>
        <v>0</v>
      </c>
      <c r="P170" s="258">
        <f t="shared" si="12"/>
        <v>0</v>
      </c>
      <c r="Q170" s="258">
        <f t="shared" si="12"/>
        <v>986732</v>
      </c>
    </row>
    <row r="171" spans="1:17" ht="12" customHeight="1" x14ac:dyDescent="0.2">
      <c r="A171" s="206"/>
      <c r="B171" s="206"/>
      <c r="C171" s="259"/>
      <c r="D171" s="260" t="s">
        <v>378</v>
      </c>
      <c r="E171" s="209"/>
      <c r="F171" s="210"/>
      <c r="G171" s="261"/>
      <c r="H171" s="261"/>
      <c r="I171" s="261"/>
      <c r="J171" s="261"/>
      <c r="K171" s="261"/>
      <c r="L171" s="261"/>
      <c r="M171" s="261"/>
      <c r="N171" s="261"/>
      <c r="O171" s="261"/>
      <c r="P171" s="261"/>
      <c r="Q171" s="261"/>
    </row>
    <row r="172" spans="1:17" ht="15" customHeight="1" x14ac:dyDescent="0.2">
      <c r="A172" s="206"/>
      <c r="B172" s="206"/>
      <c r="C172" s="263" t="s">
        <v>100</v>
      </c>
      <c r="D172" s="264" t="s">
        <v>388</v>
      </c>
      <c r="E172" s="209"/>
      <c r="F172" s="210"/>
      <c r="G172" s="261"/>
      <c r="H172" s="261"/>
      <c r="I172" s="261"/>
      <c r="J172" s="261"/>
      <c r="K172" s="261"/>
      <c r="L172" s="261"/>
      <c r="M172" s="261"/>
      <c r="N172" s="261"/>
      <c r="O172" s="261"/>
      <c r="P172" s="261"/>
      <c r="Q172" s="261"/>
    </row>
    <row r="173" spans="1:17" ht="15" customHeight="1" x14ac:dyDescent="0.2">
      <c r="A173" s="206"/>
      <c r="B173" s="206"/>
      <c r="C173" s="265" t="s">
        <v>492</v>
      </c>
      <c r="D173" s="266" t="s">
        <v>493</v>
      </c>
      <c r="E173" s="267"/>
      <c r="F173" s="210"/>
      <c r="G173" s="268"/>
      <c r="H173" s="268"/>
      <c r="I173" s="268"/>
      <c r="J173" s="268"/>
      <c r="K173" s="268"/>
      <c r="L173" s="268"/>
      <c r="M173" s="268"/>
      <c r="N173" s="268"/>
      <c r="O173" s="268"/>
      <c r="P173" s="268"/>
      <c r="Q173" s="268"/>
    </row>
    <row r="174" spans="1:17" ht="42.75" customHeight="1" x14ac:dyDescent="0.2">
      <c r="A174" s="206"/>
      <c r="B174" s="206"/>
      <c r="C174" s="269" t="s">
        <v>494</v>
      </c>
      <c r="D174" s="684" t="s">
        <v>1120</v>
      </c>
      <c r="E174" s="207"/>
      <c r="F174" s="148">
        <v>132903</v>
      </c>
      <c r="G174" s="198">
        <f>0+táj.2!G174</f>
        <v>0</v>
      </c>
      <c r="H174" s="198">
        <f>0+táj.2!H174</f>
        <v>0</v>
      </c>
      <c r="I174" s="198">
        <f>0+táj.2!I174</f>
        <v>0</v>
      </c>
      <c r="J174" s="198">
        <f>0+táj.2!J174</f>
        <v>0</v>
      </c>
      <c r="K174" s="198">
        <f>0+táj.2!K174</f>
        <v>0</v>
      </c>
      <c r="L174" s="198">
        <f>3100+táj.2!L174</f>
        <v>3100</v>
      </c>
      <c r="M174" s="198">
        <f>0+táj.2!M174</f>
        <v>0</v>
      </c>
      <c r="N174" s="198">
        <f>11345+táj.2!N174</f>
        <v>11345</v>
      </c>
      <c r="O174" s="198">
        <f>0+táj.2!O174</f>
        <v>0</v>
      </c>
      <c r="P174" s="198">
        <f>0+táj.2!P174</f>
        <v>0</v>
      </c>
      <c r="Q174" s="268">
        <f t="shared" ref="Q174:Q182" si="13">SUM(G174:P174)</f>
        <v>14445</v>
      </c>
    </row>
    <row r="175" spans="1:17" ht="17.100000000000001" customHeight="1" x14ac:dyDescent="0.2">
      <c r="A175" s="206"/>
      <c r="B175" s="206"/>
      <c r="C175" s="269" t="s">
        <v>495</v>
      </c>
      <c r="D175" s="685" t="s">
        <v>496</v>
      </c>
      <c r="E175" s="207"/>
      <c r="F175" s="148">
        <v>134920</v>
      </c>
      <c r="G175" s="198">
        <f>0+táj.2!G175</f>
        <v>0</v>
      </c>
      <c r="H175" s="198">
        <f>0+táj.2!H175</f>
        <v>0</v>
      </c>
      <c r="I175" s="198">
        <f>0+táj.2!I175</f>
        <v>0</v>
      </c>
      <c r="J175" s="198">
        <f>0+táj.2!J175</f>
        <v>0</v>
      </c>
      <c r="K175" s="198">
        <f>0+táj.2!K175</f>
        <v>0</v>
      </c>
      <c r="L175" s="198">
        <f>0+táj.2!L175</f>
        <v>0</v>
      </c>
      <c r="M175" s="198">
        <f>0+táj.2!M175</f>
        <v>0</v>
      </c>
      <c r="N175" s="198">
        <f>300+táj.2!N175</f>
        <v>300</v>
      </c>
      <c r="O175" s="198">
        <f>0+táj.2!O175</f>
        <v>0</v>
      </c>
      <c r="P175" s="198">
        <f>0+táj.2!P175</f>
        <v>0</v>
      </c>
      <c r="Q175" s="268">
        <f t="shared" si="13"/>
        <v>300</v>
      </c>
    </row>
    <row r="176" spans="1:17" ht="17.100000000000001" customHeight="1" x14ac:dyDescent="0.2">
      <c r="A176" s="206"/>
      <c r="B176" s="206"/>
      <c r="C176" s="269" t="s">
        <v>497</v>
      </c>
      <c r="D176" s="686" t="s">
        <v>498</v>
      </c>
      <c r="E176" s="270"/>
      <c r="F176" s="148">
        <v>134995</v>
      </c>
      <c r="G176" s="198">
        <f>0+táj.2!G176</f>
        <v>0</v>
      </c>
      <c r="H176" s="198">
        <f>0+táj.2!H176</f>
        <v>0</v>
      </c>
      <c r="I176" s="198">
        <f>0+táj.2!I176</f>
        <v>0</v>
      </c>
      <c r="J176" s="198">
        <f>0+táj.2!J176</f>
        <v>0</v>
      </c>
      <c r="K176" s="198">
        <f>0+táj.2!K176</f>
        <v>0</v>
      </c>
      <c r="L176" s="198">
        <f>0+táj.2!L176</f>
        <v>0</v>
      </c>
      <c r="M176" s="198">
        <f>0+táj.2!M176</f>
        <v>0</v>
      </c>
      <c r="N176" s="198">
        <f>250+táj.2!N176</f>
        <v>250</v>
      </c>
      <c r="O176" s="198">
        <f>0+táj.2!O176</f>
        <v>0</v>
      </c>
      <c r="P176" s="198">
        <f>0+táj.2!P176</f>
        <v>0</v>
      </c>
      <c r="Q176" s="268">
        <f t="shared" si="13"/>
        <v>250</v>
      </c>
    </row>
    <row r="177" spans="1:17" ht="17.100000000000001" customHeight="1" x14ac:dyDescent="0.2">
      <c r="A177" s="206"/>
      <c r="B177" s="206"/>
      <c r="C177" s="269" t="s">
        <v>499</v>
      </c>
      <c r="D177" s="687" t="s">
        <v>1121</v>
      </c>
      <c r="E177" s="270"/>
      <c r="F177" s="148">
        <v>134943</v>
      </c>
      <c r="G177" s="198">
        <f>0+táj.2!G177</f>
        <v>0</v>
      </c>
      <c r="H177" s="198">
        <f>0+táj.2!H177</f>
        <v>0</v>
      </c>
      <c r="I177" s="198">
        <f>0+táj.2!I177</f>
        <v>0</v>
      </c>
      <c r="J177" s="198">
        <f>0+táj.2!J177</f>
        <v>0</v>
      </c>
      <c r="K177" s="198">
        <f>0+táj.2!K177</f>
        <v>0</v>
      </c>
      <c r="L177" s="198">
        <f>0+táj.2!L177</f>
        <v>0</v>
      </c>
      <c r="M177" s="198">
        <f>0+táj.2!M177</f>
        <v>0</v>
      </c>
      <c r="N177" s="198">
        <f>500+táj.2!N177</f>
        <v>500</v>
      </c>
      <c r="O177" s="198">
        <f>0+táj.2!O177</f>
        <v>0</v>
      </c>
      <c r="P177" s="198">
        <f>0+táj.2!P177</f>
        <v>0</v>
      </c>
      <c r="Q177" s="268">
        <f t="shared" si="13"/>
        <v>500</v>
      </c>
    </row>
    <row r="178" spans="1:17" ht="17.100000000000001" customHeight="1" x14ac:dyDescent="0.2">
      <c r="A178" s="206"/>
      <c r="B178" s="206"/>
      <c r="C178" s="269" t="s">
        <v>500</v>
      </c>
      <c r="D178" s="687" t="s">
        <v>1122</v>
      </c>
      <c r="E178" s="270"/>
      <c r="F178" s="148">
        <v>134944</v>
      </c>
      <c r="G178" s="198">
        <f>0+táj.2!G178</f>
        <v>0</v>
      </c>
      <c r="H178" s="198">
        <f>0+táj.2!H178</f>
        <v>0</v>
      </c>
      <c r="I178" s="198">
        <f>0+táj.2!I178</f>
        <v>0</v>
      </c>
      <c r="J178" s="198">
        <f>0+táj.2!J178</f>
        <v>0</v>
      </c>
      <c r="K178" s="198">
        <f>0+táj.2!K178</f>
        <v>0</v>
      </c>
      <c r="L178" s="198">
        <f>0+táj.2!L178</f>
        <v>0</v>
      </c>
      <c r="M178" s="198">
        <f>0+táj.2!M178</f>
        <v>0</v>
      </c>
      <c r="N178" s="198">
        <f>600+táj.2!N178</f>
        <v>600</v>
      </c>
      <c r="O178" s="198">
        <f>0+táj.2!O178</f>
        <v>0</v>
      </c>
      <c r="P178" s="198">
        <f>0+táj.2!P178</f>
        <v>0</v>
      </c>
      <c r="Q178" s="268">
        <f t="shared" si="13"/>
        <v>600</v>
      </c>
    </row>
    <row r="179" spans="1:17" ht="24" customHeight="1" x14ac:dyDescent="0.2">
      <c r="A179" s="206"/>
      <c r="B179" s="206"/>
      <c r="C179" s="269" t="s">
        <v>501</v>
      </c>
      <c r="D179" s="686" t="s">
        <v>504</v>
      </c>
      <c r="E179" s="207"/>
      <c r="F179" s="148">
        <v>132904</v>
      </c>
      <c r="G179" s="198">
        <f>0+táj.2!G179</f>
        <v>0</v>
      </c>
      <c r="H179" s="198">
        <f>0+táj.2!H179</f>
        <v>0</v>
      </c>
      <c r="I179" s="198">
        <f>0+táj.2!I179</f>
        <v>0</v>
      </c>
      <c r="J179" s="198">
        <f>0+táj.2!J179</f>
        <v>0</v>
      </c>
      <c r="K179" s="198">
        <f>0+táj.2!K179</f>
        <v>0</v>
      </c>
      <c r="L179" s="198">
        <f>0+táj.2!L179</f>
        <v>0</v>
      </c>
      <c r="M179" s="198">
        <f>0+táj.2!M179</f>
        <v>0</v>
      </c>
      <c r="N179" s="198">
        <f>3026+táj.2!N179</f>
        <v>3026</v>
      </c>
      <c r="O179" s="198">
        <f>0+táj.2!O179</f>
        <v>0</v>
      </c>
      <c r="P179" s="198">
        <f>0+táj.2!P179</f>
        <v>0</v>
      </c>
      <c r="Q179" s="268">
        <f t="shared" si="13"/>
        <v>3026</v>
      </c>
    </row>
    <row r="180" spans="1:17" ht="18.75" customHeight="1" x14ac:dyDescent="0.2">
      <c r="A180" s="206"/>
      <c r="B180" s="206"/>
      <c r="C180" s="269" t="s">
        <v>502</v>
      </c>
      <c r="D180" s="686" t="s">
        <v>506</v>
      </c>
      <c r="E180" s="207"/>
      <c r="F180" s="148">
        <v>134908</v>
      </c>
      <c r="G180" s="198">
        <f>0+táj.2!G180</f>
        <v>0</v>
      </c>
      <c r="H180" s="198">
        <f>0+táj.2!H180</f>
        <v>0</v>
      </c>
      <c r="I180" s="198">
        <f>277+táj.2!I180</f>
        <v>277</v>
      </c>
      <c r="J180" s="198">
        <f>0+táj.2!J180</f>
        <v>0</v>
      </c>
      <c r="K180" s="198">
        <f>0+táj.2!K180</f>
        <v>0</v>
      </c>
      <c r="L180" s="198">
        <f>0+táj.2!L180</f>
        <v>0</v>
      </c>
      <c r="M180" s="198">
        <f>2460+táj.2!M180</f>
        <v>1951</v>
      </c>
      <c r="N180" s="198">
        <f>0+táj.2!N180</f>
        <v>0</v>
      </c>
      <c r="O180" s="198">
        <f>0+táj.2!O180</f>
        <v>0</v>
      </c>
      <c r="P180" s="198">
        <f>0+táj.2!P180</f>
        <v>0</v>
      </c>
      <c r="Q180" s="268">
        <f t="shared" si="13"/>
        <v>2228</v>
      </c>
    </row>
    <row r="181" spans="1:17" ht="17.25" customHeight="1" x14ac:dyDescent="0.2">
      <c r="A181" s="206"/>
      <c r="B181" s="206"/>
      <c r="C181" s="269" t="s">
        <v>503</v>
      </c>
      <c r="D181" s="686" t="s">
        <v>1021</v>
      </c>
      <c r="E181" s="207"/>
      <c r="F181" s="148">
        <v>134938</v>
      </c>
      <c r="G181" s="198">
        <f>0+táj.2!G181</f>
        <v>0</v>
      </c>
      <c r="H181" s="198">
        <f>0+táj.2!H181</f>
        <v>0</v>
      </c>
      <c r="I181" s="198">
        <f>0+táj.2!I181</f>
        <v>0</v>
      </c>
      <c r="J181" s="198">
        <f>0+táj.2!J181</f>
        <v>0</v>
      </c>
      <c r="K181" s="198">
        <f>0+táj.2!K181</f>
        <v>0</v>
      </c>
      <c r="L181" s="198">
        <f>0+táj.2!L181</f>
        <v>0</v>
      </c>
      <c r="M181" s="198">
        <f>0+táj.2!M181</f>
        <v>0</v>
      </c>
      <c r="N181" s="198">
        <f>500+táj.2!N181</f>
        <v>500</v>
      </c>
      <c r="O181" s="198">
        <f>0+táj.2!O181</f>
        <v>0</v>
      </c>
      <c r="P181" s="198">
        <f>0+táj.2!P181</f>
        <v>0</v>
      </c>
      <c r="Q181" s="268">
        <f t="shared" si="13"/>
        <v>500</v>
      </c>
    </row>
    <row r="182" spans="1:17" ht="18" customHeight="1" x14ac:dyDescent="0.2">
      <c r="A182" s="206"/>
      <c r="B182" s="206"/>
      <c r="C182" s="269" t="s">
        <v>505</v>
      </c>
      <c r="D182" s="686" t="s">
        <v>1123</v>
      </c>
      <c r="E182" s="207"/>
      <c r="F182" s="148">
        <v>134942</v>
      </c>
      <c r="G182" s="198">
        <f>0+táj.2!G182</f>
        <v>0</v>
      </c>
      <c r="H182" s="198">
        <f>0+táj.2!H182</f>
        <v>0</v>
      </c>
      <c r="I182" s="198">
        <f>0+táj.2!I182</f>
        <v>0</v>
      </c>
      <c r="J182" s="198">
        <f>0+táj.2!J182</f>
        <v>0</v>
      </c>
      <c r="K182" s="198">
        <f>0+táj.2!K182</f>
        <v>0</v>
      </c>
      <c r="L182" s="198">
        <f>0+táj.2!L182</f>
        <v>4177</v>
      </c>
      <c r="M182" s="198">
        <f>13758+táj.2!M182</f>
        <v>10090</v>
      </c>
      <c r="N182" s="198">
        <f>0+táj.2!N182</f>
        <v>0</v>
      </c>
      <c r="O182" s="198">
        <f>0+táj.2!O182</f>
        <v>0</v>
      </c>
      <c r="P182" s="198">
        <f>0+táj.2!P182</f>
        <v>0</v>
      </c>
      <c r="Q182" s="268">
        <f t="shared" si="13"/>
        <v>14267</v>
      </c>
    </row>
    <row r="183" spans="1:17" ht="15" customHeight="1" x14ac:dyDescent="0.2">
      <c r="A183" s="206"/>
      <c r="B183" s="206"/>
      <c r="C183" s="259" t="s">
        <v>507</v>
      </c>
      <c r="D183" s="271" t="s">
        <v>508</v>
      </c>
      <c r="E183" s="207"/>
      <c r="F183" s="148"/>
      <c r="G183" s="198"/>
      <c r="H183" s="198"/>
      <c r="I183" s="198"/>
      <c r="J183" s="198"/>
      <c r="K183" s="198"/>
      <c r="L183" s="198"/>
      <c r="M183" s="198"/>
      <c r="N183" s="198"/>
      <c r="O183" s="198"/>
      <c r="P183" s="198"/>
      <c r="Q183" s="268"/>
    </row>
    <row r="184" spans="1:17" ht="26.25" customHeight="1" x14ac:dyDescent="0.2">
      <c r="A184" s="206"/>
      <c r="B184" s="206"/>
      <c r="C184" s="272" t="s">
        <v>509</v>
      </c>
      <c r="D184" s="688" t="s">
        <v>510</v>
      </c>
      <c r="E184" s="587"/>
      <c r="F184" s="582">
        <v>134928</v>
      </c>
      <c r="G184" s="198">
        <f>0+táj.2!G184</f>
        <v>0</v>
      </c>
      <c r="H184" s="198">
        <f>0+táj.2!H184</f>
        <v>0</v>
      </c>
      <c r="I184" s="198">
        <f>0+táj.2!I184</f>
        <v>0</v>
      </c>
      <c r="J184" s="198">
        <f>0+táj.2!J184</f>
        <v>0</v>
      </c>
      <c r="K184" s="198">
        <f>0+táj.2!K184</f>
        <v>0</v>
      </c>
      <c r="L184" s="198">
        <f>0+táj.2!L184</f>
        <v>0</v>
      </c>
      <c r="M184" s="198">
        <f>1239+táj.2!M184</f>
        <v>1239</v>
      </c>
      <c r="N184" s="198">
        <f>300+táj.2!N184</f>
        <v>300</v>
      </c>
      <c r="O184" s="198">
        <f>0+táj.2!O184</f>
        <v>0</v>
      </c>
      <c r="P184" s="198">
        <f>0+táj.2!P184</f>
        <v>0</v>
      </c>
      <c r="Q184" s="268">
        <f>SUM(G184:P184)</f>
        <v>1539</v>
      </c>
    </row>
    <row r="185" spans="1:17" ht="15" customHeight="1" x14ac:dyDescent="0.2">
      <c r="A185" s="206"/>
      <c r="B185" s="206"/>
      <c r="C185" s="272" t="s">
        <v>511</v>
      </c>
      <c r="D185" s="689" t="s">
        <v>512</v>
      </c>
      <c r="E185" s="587"/>
      <c r="F185" s="582">
        <v>134914</v>
      </c>
      <c r="G185" s="198">
        <f>0+táj.2!G185</f>
        <v>0</v>
      </c>
      <c r="H185" s="198">
        <f>0+táj.2!H185</f>
        <v>0</v>
      </c>
      <c r="I185" s="198">
        <f>0+táj.2!I185</f>
        <v>0</v>
      </c>
      <c r="J185" s="198">
        <f>0+táj.2!J185</f>
        <v>0</v>
      </c>
      <c r="K185" s="198">
        <f>0+táj.2!K185</f>
        <v>0</v>
      </c>
      <c r="L185" s="198">
        <f>0+táj.2!L185</f>
        <v>0</v>
      </c>
      <c r="M185" s="198">
        <f>0+táj.2!M185</f>
        <v>0</v>
      </c>
      <c r="N185" s="198">
        <f>500+táj.2!N185</f>
        <v>500</v>
      </c>
      <c r="O185" s="198">
        <f>0+táj.2!O185</f>
        <v>0</v>
      </c>
      <c r="P185" s="198">
        <f>0+táj.2!P185</f>
        <v>0</v>
      </c>
      <c r="Q185" s="268">
        <f t="shared" ref="Q185:Q190" si="14">SUM(L185:P185)</f>
        <v>500</v>
      </c>
    </row>
    <row r="186" spans="1:17" ht="15" customHeight="1" x14ac:dyDescent="0.2">
      <c r="A186" s="206"/>
      <c r="B186" s="206"/>
      <c r="C186" s="272" t="s">
        <v>513</v>
      </c>
      <c r="D186" s="690" t="s">
        <v>514</v>
      </c>
      <c r="E186" s="587"/>
      <c r="F186" s="582">
        <v>132905</v>
      </c>
      <c r="G186" s="198">
        <f>0+táj.2!G186</f>
        <v>0</v>
      </c>
      <c r="H186" s="198">
        <f>0+táj.2!H186</f>
        <v>0</v>
      </c>
      <c r="I186" s="198">
        <f>0+táj.2!I186</f>
        <v>0</v>
      </c>
      <c r="J186" s="198">
        <f>0+táj.2!J186</f>
        <v>0</v>
      </c>
      <c r="K186" s="198">
        <f>0+táj.2!K186</f>
        <v>0</v>
      </c>
      <c r="L186" s="198">
        <f>0+táj.2!L186</f>
        <v>0</v>
      </c>
      <c r="M186" s="198">
        <f>0+táj.2!M186</f>
        <v>0</v>
      </c>
      <c r="N186" s="198">
        <f>500+táj.2!N186</f>
        <v>500</v>
      </c>
      <c r="O186" s="198">
        <f>0+táj.2!O186</f>
        <v>0</v>
      </c>
      <c r="P186" s="198">
        <f>0+táj.2!P186</f>
        <v>0</v>
      </c>
      <c r="Q186" s="268">
        <f t="shared" si="14"/>
        <v>500</v>
      </c>
    </row>
    <row r="187" spans="1:17" ht="15" customHeight="1" x14ac:dyDescent="0.2">
      <c r="A187" s="206"/>
      <c r="B187" s="206"/>
      <c r="C187" s="272" t="s">
        <v>515</v>
      </c>
      <c r="D187" s="691" t="s">
        <v>1124</v>
      </c>
      <c r="E187" s="587"/>
      <c r="F187" s="582">
        <v>134945</v>
      </c>
      <c r="G187" s="198">
        <f>0+táj.2!G187</f>
        <v>0</v>
      </c>
      <c r="H187" s="198">
        <f>0+táj.2!H187</f>
        <v>0</v>
      </c>
      <c r="I187" s="198">
        <f>0+táj.2!I187</f>
        <v>0</v>
      </c>
      <c r="J187" s="198">
        <f>0+táj.2!J187</f>
        <v>0</v>
      </c>
      <c r="K187" s="198">
        <f>0+táj.2!K187</f>
        <v>0</v>
      </c>
      <c r="L187" s="198">
        <f>0+táj.2!L187</f>
        <v>0</v>
      </c>
      <c r="M187" s="198">
        <f>0+táj.2!M187</f>
        <v>0</v>
      </c>
      <c r="N187" s="198">
        <f>500+táj.2!N187</f>
        <v>500</v>
      </c>
      <c r="O187" s="198">
        <f>0+táj.2!O187</f>
        <v>0</v>
      </c>
      <c r="P187" s="198">
        <f>0+táj.2!P187</f>
        <v>0</v>
      </c>
      <c r="Q187" s="268">
        <f t="shared" si="14"/>
        <v>500</v>
      </c>
    </row>
    <row r="188" spans="1:17" ht="21" customHeight="1" x14ac:dyDescent="0.2">
      <c r="A188" s="206"/>
      <c r="B188" s="206"/>
      <c r="C188" s="272" t="s">
        <v>516</v>
      </c>
      <c r="D188" s="689" t="s">
        <v>999</v>
      </c>
      <c r="E188" s="587"/>
      <c r="F188" s="582">
        <v>134930</v>
      </c>
      <c r="G188" s="198">
        <f>0+táj.2!G188</f>
        <v>0</v>
      </c>
      <c r="H188" s="198">
        <f>0+táj.2!H188</f>
        <v>0</v>
      </c>
      <c r="I188" s="198">
        <f>0+táj.2!I188</f>
        <v>0</v>
      </c>
      <c r="J188" s="198">
        <f>0+táj.2!J188</f>
        <v>0</v>
      </c>
      <c r="K188" s="198">
        <f>0+táj.2!K188</f>
        <v>0</v>
      </c>
      <c r="L188" s="198">
        <f>0+táj.2!L188</f>
        <v>0</v>
      </c>
      <c r="M188" s="198">
        <f>5400+táj.2!M188</f>
        <v>5400</v>
      </c>
      <c r="N188" s="198">
        <f>0+táj.2!N188</f>
        <v>2699</v>
      </c>
      <c r="O188" s="198">
        <f>0+táj.2!O188</f>
        <v>0</v>
      </c>
      <c r="P188" s="198">
        <f>0+táj.2!P188</f>
        <v>0</v>
      </c>
      <c r="Q188" s="268">
        <f t="shared" si="14"/>
        <v>8099</v>
      </c>
    </row>
    <row r="189" spans="1:17" ht="26.25" customHeight="1" x14ac:dyDescent="0.2">
      <c r="A189" s="206"/>
      <c r="B189" s="206"/>
      <c r="C189" s="272" t="s">
        <v>517</v>
      </c>
      <c r="D189" s="689" t="s">
        <v>1008</v>
      </c>
      <c r="E189" s="587"/>
      <c r="F189" s="582">
        <v>132933</v>
      </c>
      <c r="G189" s="198">
        <f>0+táj.2!G189</f>
        <v>0</v>
      </c>
      <c r="H189" s="198">
        <f>0+táj.2!H189</f>
        <v>0</v>
      </c>
      <c r="I189" s="198">
        <f>0+táj.2!I189</f>
        <v>0</v>
      </c>
      <c r="J189" s="198">
        <f>0+táj.2!J189</f>
        <v>0</v>
      </c>
      <c r="K189" s="198">
        <f>0+táj.2!K189</f>
        <v>0</v>
      </c>
      <c r="L189" s="198">
        <f>5032+táj.2!L189</f>
        <v>5032</v>
      </c>
      <c r="M189" s="198">
        <f>0+táj.2!M189</f>
        <v>0</v>
      </c>
      <c r="N189" s="198">
        <f>0+táj.2!N189</f>
        <v>0</v>
      </c>
      <c r="O189" s="198">
        <f>0+táj.2!O189</f>
        <v>0</v>
      </c>
      <c r="P189" s="198">
        <f>0+táj.2!P189</f>
        <v>0</v>
      </c>
      <c r="Q189" s="268">
        <f t="shared" si="14"/>
        <v>5032</v>
      </c>
    </row>
    <row r="190" spans="1:17" ht="26.25" customHeight="1" x14ac:dyDescent="0.2">
      <c r="A190" s="585"/>
      <c r="B190" s="585"/>
      <c r="C190" s="579" t="s">
        <v>1285</v>
      </c>
      <c r="D190" s="689" t="s">
        <v>1286</v>
      </c>
      <c r="E190" s="587"/>
      <c r="F190" s="582">
        <v>134965</v>
      </c>
      <c r="G190" s="198">
        <f>0+táj.2!G190</f>
        <v>0</v>
      </c>
      <c r="H190" s="198">
        <f>0+táj.2!H190</f>
        <v>0</v>
      </c>
      <c r="I190" s="198">
        <f>0+táj.2!I190</f>
        <v>0</v>
      </c>
      <c r="J190" s="198">
        <f>0+táj.2!J190</f>
        <v>0</v>
      </c>
      <c r="K190" s="198">
        <f>0+táj.2!K190</f>
        <v>0</v>
      </c>
      <c r="L190" s="198">
        <f>0+táj.2!L190</f>
        <v>0</v>
      </c>
      <c r="M190" s="198">
        <f>1000+táj.2!M190</f>
        <v>1000</v>
      </c>
      <c r="N190" s="198">
        <f>0+táj.2!N190</f>
        <v>0</v>
      </c>
      <c r="O190" s="198">
        <f>0+táj.2!O190</f>
        <v>0</v>
      </c>
      <c r="P190" s="198">
        <f>0+táj.2!P190</f>
        <v>0</v>
      </c>
      <c r="Q190" s="268">
        <f t="shared" si="14"/>
        <v>1000</v>
      </c>
    </row>
    <row r="191" spans="1:17" ht="15" customHeight="1" x14ac:dyDescent="0.2">
      <c r="A191" s="206"/>
      <c r="B191" s="206"/>
      <c r="C191" s="274" t="s">
        <v>99</v>
      </c>
      <c r="D191" s="263" t="s">
        <v>395</v>
      </c>
      <c r="E191" s="209"/>
      <c r="F191" s="148"/>
      <c r="G191" s="198"/>
      <c r="H191" s="198"/>
      <c r="I191" s="198"/>
      <c r="J191" s="198"/>
      <c r="K191" s="198"/>
      <c r="L191" s="198"/>
      <c r="M191" s="198"/>
      <c r="N191" s="198"/>
      <c r="O191" s="198"/>
      <c r="P191" s="198"/>
      <c r="Q191" s="268"/>
    </row>
    <row r="192" spans="1:17" ht="24" customHeight="1" x14ac:dyDescent="0.2">
      <c r="A192" s="206"/>
      <c r="B192" s="206"/>
      <c r="C192" s="579" t="s">
        <v>518</v>
      </c>
      <c r="D192" s="580" t="s">
        <v>1125</v>
      </c>
      <c r="E192" s="692"/>
      <c r="F192" s="582">
        <v>134946</v>
      </c>
      <c r="G192" s="198">
        <f>0+táj.2!G192</f>
        <v>0</v>
      </c>
      <c r="H192" s="198">
        <f>0+táj.2!H192</f>
        <v>0</v>
      </c>
      <c r="I192" s="198">
        <f>0+táj.2!I192</f>
        <v>0</v>
      </c>
      <c r="J192" s="198">
        <f>0+táj.2!J192</f>
        <v>0</v>
      </c>
      <c r="K192" s="198">
        <f>0+táj.2!K192</f>
        <v>0</v>
      </c>
      <c r="L192" s="198">
        <f>0+táj.2!L192</f>
        <v>0</v>
      </c>
      <c r="M192" s="198">
        <f>0+táj.2!M192</f>
        <v>0</v>
      </c>
      <c r="N192" s="198">
        <f>1000+táj.2!N192</f>
        <v>1000</v>
      </c>
      <c r="O192" s="198">
        <f>0+táj.2!O192</f>
        <v>0</v>
      </c>
      <c r="P192" s="198">
        <f>0+táj.2!P192</f>
        <v>0</v>
      </c>
      <c r="Q192" s="268">
        <f>SUM(G192:P192)</f>
        <v>1000</v>
      </c>
    </row>
    <row r="193" spans="1:17" ht="17.25" customHeight="1" x14ac:dyDescent="0.2">
      <c r="A193" s="206"/>
      <c r="B193" s="206"/>
      <c r="C193" s="579" t="s">
        <v>519</v>
      </c>
      <c r="D193" s="694" t="s">
        <v>1126</v>
      </c>
      <c r="E193" s="692"/>
      <c r="F193" s="582">
        <v>134947</v>
      </c>
      <c r="G193" s="198">
        <f>0+táj.2!G193</f>
        <v>0</v>
      </c>
      <c r="H193" s="198">
        <f>0+táj.2!H193</f>
        <v>0</v>
      </c>
      <c r="I193" s="198">
        <f>0+táj.2!I193</f>
        <v>0</v>
      </c>
      <c r="J193" s="198">
        <f>0+táj.2!J193</f>
        <v>0</v>
      </c>
      <c r="K193" s="198">
        <f>0+táj.2!K193</f>
        <v>0</v>
      </c>
      <c r="L193" s="198">
        <f>0+táj.2!L193</f>
        <v>0</v>
      </c>
      <c r="M193" s="198">
        <f>24000+táj.2!M193</f>
        <v>29785</v>
      </c>
      <c r="N193" s="198">
        <f>0+táj.2!N193</f>
        <v>0</v>
      </c>
      <c r="O193" s="198">
        <f>0+táj.2!O193</f>
        <v>0</v>
      </c>
      <c r="P193" s="198">
        <f>0+táj.2!P193</f>
        <v>0</v>
      </c>
      <c r="Q193" s="268">
        <f>SUM(G193:P193)</f>
        <v>29785</v>
      </c>
    </row>
    <row r="194" spans="1:17" ht="25.5" customHeight="1" x14ac:dyDescent="0.2">
      <c r="A194" s="206"/>
      <c r="B194" s="206"/>
      <c r="C194" s="579" t="s">
        <v>1005</v>
      </c>
      <c r="D194" s="580" t="s">
        <v>1127</v>
      </c>
      <c r="E194" s="692"/>
      <c r="F194" s="582">
        <v>134948</v>
      </c>
      <c r="G194" s="198">
        <f>0+táj.2!G194</f>
        <v>0</v>
      </c>
      <c r="H194" s="198">
        <f>0+táj.2!H194</f>
        <v>0</v>
      </c>
      <c r="I194" s="198">
        <f>0+táj.2!I194</f>
        <v>0</v>
      </c>
      <c r="J194" s="198">
        <f>0+táj.2!J194</f>
        <v>0</v>
      </c>
      <c r="K194" s="198">
        <f>0+táj.2!K194</f>
        <v>0</v>
      </c>
      <c r="L194" s="198">
        <f>0+táj.2!L194</f>
        <v>0</v>
      </c>
      <c r="M194" s="198">
        <f>1021+táj.2!M194</f>
        <v>1021</v>
      </c>
      <c r="N194" s="198">
        <f>0+táj.2!N194</f>
        <v>0</v>
      </c>
      <c r="O194" s="198">
        <f>0+táj.2!O194</f>
        <v>0</v>
      </c>
      <c r="P194" s="198">
        <f>0+táj.2!P194</f>
        <v>0</v>
      </c>
      <c r="Q194" s="268">
        <f>SUM(G194:P194)</f>
        <v>1021</v>
      </c>
    </row>
    <row r="195" spans="1:17" ht="24" customHeight="1" x14ac:dyDescent="0.2">
      <c r="A195" s="585"/>
      <c r="B195" s="585"/>
      <c r="C195" s="579" t="s">
        <v>1128</v>
      </c>
      <c r="D195" s="580" t="s">
        <v>1129</v>
      </c>
      <c r="E195" s="587"/>
      <c r="F195" s="582">
        <v>134949</v>
      </c>
      <c r="G195" s="198">
        <f>0+táj.2!G195</f>
        <v>0</v>
      </c>
      <c r="H195" s="198">
        <f>0+táj.2!H195</f>
        <v>0</v>
      </c>
      <c r="I195" s="198">
        <f>0+táj.2!I195</f>
        <v>0</v>
      </c>
      <c r="J195" s="198">
        <f>0+táj.2!J195</f>
        <v>0</v>
      </c>
      <c r="K195" s="198">
        <f>0+táj.2!K195</f>
        <v>0</v>
      </c>
      <c r="L195" s="198">
        <f>0+táj.2!L195</f>
        <v>0</v>
      </c>
      <c r="M195" s="198">
        <f>0+táj.2!M195</f>
        <v>0</v>
      </c>
      <c r="N195" s="198">
        <f>4000+táj.2!N195</f>
        <v>4000</v>
      </c>
      <c r="O195" s="198">
        <f>0+táj.2!O195</f>
        <v>0</v>
      </c>
      <c r="P195" s="198">
        <f>0+táj.2!P195</f>
        <v>0</v>
      </c>
      <c r="Q195" s="268">
        <f t="shared" ref="Q195:Q201" si="15">SUM(G195:P195)</f>
        <v>4000</v>
      </c>
    </row>
    <row r="196" spans="1:17" ht="17.25" customHeight="1" x14ac:dyDescent="0.2">
      <c r="A196" s="585"/>
      <c r="B196" s="585"/>
      <c r="C196" s="579" t="s">
        <v>1130</v>
      </c>
      <c r="D196" s="347" t="s">
        <v>1131</v>
      </c>
      <c r="E196" s="692"/>
      <c r="F196" s="582">
        <v>132913</v>
      </c>
      <c r="G196" s="198">
        <f>0+táj.2!G196</f>
        <v>0</v>
      </c>
      <c r="H196" s="198">
        <f>0+táj.2!H196</f>
        <v>0</v>
      </c>
      <c r="I196" s="198">
        <f>0+táj.2!I196</f>
        <v>0</v>
      </c>
      <c r="J196" s="198">
        <f>0+táj.2!J196</f>
        <v>0</v>
      </c>
      <c r="K196" s="198">
        <f>0+táj.2!K196</f>
        <v>0</v>
      </c>
      <c r="L196" s="198">
        <f>23876+táj.2!L196</f>
        <v>25273</v>
      </c>
      <c r="M196" s="198">
        <f>0+táj.2!M196</f>
        <v>0</v>
      </c>
      <c r="N196" s="198">
        <f>0+táj.2!N196</f>
        <v>0</v>
      </c>
      <c r="O196" s="198">
        <f>0+táj.2!O196</f>
        <v>0</v>
      </c>
      <c r="P196" s="198">
        <f>0+táj.2!P196</f>
        <v>0</v>
      </c>
      <c r="Q196" s="268">
        <f t="shared" si="15"/>
        <v>25273</v>
      </c>
    </row>
    <row r="197" spans="1:17" ht="17.25" customHeight="1" x14ac:dyDescent="0.2">
      <c r="A197" s="585"/>
      <c r="B197" s="585"/>
      <c r="C197" s="578" t="s">
        <v>1287</v>
      </c>
      <c r="D197" s="347" t="s">
        <v>1288</v>
      </c>
      <c r="E197" s="692"/>
      <c r="F197" s="582">
        <v>132917</v>
      </c>
      <c r="G197" s="198">
        <f>0+táj.2!G197</f>
        <v>0</v>
      </c>
      <c r="H197" s="198">
        <f>0+táj.2!H197</f>
        <v>0</v>
      </c>
      <c r="I197" s="198">
        <f>0+táj.2!I197</f>
        <v>540</v>
      </c>
      <c r="J197" s="198">
        <f>0+táj.2!J197</f>
        <v>0</v>
      </c>
      <c r="K197" s="198">
        <f>0+táj.2!K197</f>
        <v>0</v>
      </c>
      <c r="L197" s="198">
        <f>2540+táj.2!L197</f>
        <v>2000</v>
      </c>
      <c r="M197" s="198">
        <f>0+táj.2!M197</f>
        <v>0</v>
      </c>
      <c r="N197" s="198">
        <f>0+táj.2!N197</f>
        <v>0</v>
      </c>
      <c r="O197" s="198">
        <f>0+táj.2!O197</f>
        <v>0</v>
      </c>
      <c r="P197" s="198">
        <f>0+táj.2!P197</f>
        <v>0</v>
      </c>
      <c r="Q197" s="268">
        <f t="shared" si="15"/>
        <v>2540</v>
      </c>
    </row>
    <row r="198" spans="1:17" ht="17.25" customHeight="1" x14ac:dyDescent="0.2">
      <c r="A198" s="585"/>
      <c r="B198" s="585"/>
      <c r="C198" s="578" t="s">
        <v>1289</v>
      </c>
      <c r="D198" s="347" t="s">
        <v>1290</v>
      </c>
      <c r="E198" s="692"/>
      <c r="F198" s="582">
        <v>132918</v>
      </c>
      <c r="G198" s="198">
        <f>0+táj.2!G198</f>
        <v>0</v>
      </c>
      <c r="H198" s="198">
        <f>0+táj.2!H198</f>
        <v>0</v>
      </c>
      <c r="I198" s="198">
        <f>0+táj.2!I198</f>
        <v>0</v>
      </c>
      <c r="J198" s="198">
        <f>0+táj.2!J198</f>
        <v>0</v>
      </c>
      <c r="K198" s="198">
        <f>0+táj.2!K198</f>
        <v>0</v>
      </c>
      <c r="L198" s="198">
        <f>432+táj.2!L198</f>
        <v>432</v>
      </c>
      <c r="M198" s="198">
        <f>0+táj.2!M198</f>
        <v>0</v>
      </c>
      <c r="N198" s="198">
        <f>0+táj.2!N198</f>
        <v>0</v>
      </c>
      <c r="O198" s="198">
        <f>0+táj.2!O198</f>
        <v>0</v>
      </c>
      <c r="P198" s="198">
        <f>0+táj.2!P198</f>
        <v>0</v>
      </c>
      <c r="Q198" s="268">
        <f t="shared" si="15"/>
        <v>432</v>
      </c>
    </row>
    <row r="199" spans="1:17" ht="17.25" customHeight="1" x14ac:dyDescent="0.2">
      <c r="A199" s="585"/>
      <c r="B199" s="585"/>
      <c r="C199" s="578" t="s">
        <v>1291</v>
      </c>
      <c r="D199" s="347" t="s">
        <v>1292</v>
      </c>
      <c r="E199" s="692"/>
      <c r="F199" s="582">
        <v>132919</v>
      </c>
      <c r="G199" s="198">
        <f>0+táj.2!G199</f>
        <v>0</v>
      </c>
      <c r="H199" s="198">
        <f>0+táj.2!H199</f>
        <v>0</v>
      </c>
      <c r="I199" s="198">
        <f>0+táj.2!I199</f>
        <v>0</v>
      </c>
      <c r="J199" s="198">
        <f>0+táj.2!J199</f>
        <v>0</v>
      </c>
      <c r="K199" s="198">
        <f>0+táj.2!K199</f>
        <v>0</v>
      </c>
      <c r="L199" s="198">
        <f>46000+táj.2!L199</f>
        <v>46000</v>
      </c>
      <c r="M199" s="198">
        <f>0+táj.2!M199</f>
        <v>0</v>
      </c>
      <c r="N199" s="198">
        <f>0+táj.2!N199</f>
        <v>0</v>
      </c>
      <c r="O199" s="198">
        <f>0+táj.2!O199</f>
        <v>0</v>
      </c>
      <c r="P199" s="198">
        <f>0+táj.2!P199</f>
        <v>0</v>
      </c>
      <c r="Q199" s="268">
        <f t="shared" si="15"/>
        <v>46000</v>
      </c>
    </row>
    <row r="200" spans="1:17" ht="17.25" customHeight="1" x14ac:dyDescent="0.2">
      <c r="A200" s="585"/>
      <c r="B200" s="585"/>
      <c r="C200" s="578" t="s">
        <v>1293</v>
      </c>
      <c r="D200" s="347" t="s">
        <v>1294</v>
      </c>
      <c r="E200" s="692"/>
      <c r="F200" s="582">
        <v>134966</v>
      </c>
      <c r="G200" s="198">
        <f>0+táj.2!G200</f>
        <v>0</v>
      </c>
      <c r="H200" s="198">
        <f>0+táj.2!H200</f>
        <v>0</v>
      </c>
      <c r="I200" s="198">
        <f>0+táj.2!I200</f>
        <v>0</v>
      </c>
      <c r="J200" s="198">
        <f>0+táj.2!J200</f>
        <v>0</v>
      </c>
      <c r="K200" s="198">
        <f>0+táj.2!K200</f>
        <v>0</v>
      </c>
      <c r="L200" s="198">
        <f>0+táj.2!L200</f>
        <v>0</v>
      </c>
      <c r="M200" s="198">
        <f>25000+táj.2!M200</f>
        <v>29000</v>
      </c>
      <c r="N200" s="198">
        <f>0+táj.2!N200</f>
        <v>0</v>
      </c>
      <c r="O200" s="198">
        <f>0+táj.2!O200</f>
        <v>0</v>
      </c>
      <c r="P200" s="198">
        <f>0+táj.2!P200</f>
        <v>0</v>
      </c>
      <c r="Q200" s="268">
        <f t="shared" si="15"/>
        <v>29000</v>
      </c>
    </row>
    <row r="201" spans="1:17" ht="17.25" customHeight="1" x14ac:dyDescent="0.2">
      <c r="A201" s="585"/>
      <c r="B201" s="585"/>
      <c r="C201" s="578" t="s">
        <v>1295</v>
      </c>
      <c r="D201" s="347" t="s">
        <v>1296</v>
      </c>
      <c r="E201" s="692"/>
      <c r="F201" s="582">
        <v>132920</v>
      </c>
      <c r="G201" s="198">
        <f>0+táj.2!G201</f>
        <v>0</v>
      </c>
      <c r="H201" s="198">
        <f>0+táj.2!H201</f>
        <v>0</v>
      </c>
      <c r="I201" s="198">
        <f>0+táj.2!I201</f>
        <v>0</v>
      </c>
      <c r="J201" s="198">
        <f>0+táj.2!J201</f>
        <v>0</v>
      </c>
      <c r="K201" s="198">
        <f>0+táj.2!K201</f>
        <v>0</v>
      </c>
      <c r="L201" s="198">
        <f>5000+táj.2!L201</f>
        <v>5000</v>
      </c>
      <c r="M201" s="198">
        <f>0+táj.2!M201</f>
        <v>0</v>
      </c>
      <c r="N201" s="198">
        <f>0+táj.2!N201</f>
        <v>0</v>
      </c>
      <c r="O201" s="198">
        <f>0+táj.2!O201</f>
        <v>0</v>
      </c>
      <c r="P201" s="198">
        <f>0+táj.2!P201</f>
        <v>0</v>
      </c>
      <c r="Q201" s="268">
        <f t="shared" si="15"/>
        <v>5000</v>
      </c>
    </row>
    <row r="202" spans="1:17" ht="15" customHeight="1" x14ac:dyDescent="0.2">
      <c r="A202" s="206"/>
      <c r="B202" s="206"/>
      <c r="C202" s="275" t="s">
        <v>101</v>
      </c>
      <c r="D202" s="263" t="s">
        <v>520</v>
      </c>
      <c r="E202" s="207"/>
      <c r="F202" s="148"/>
      <c r="G202" s="198"/>
      <c r="H202" s="198"/>
      <c r="I202" s="198"/>
      <c r="J202" s="198"/>
      <c r="K202" s="198"/>
      <c r="L202" s="198"/>
      <c r="M202" s="198"/>
      <c r="N202" s="198"/>
      <c r="O202" s="198"/>
      <c r="P202" s="198"/>
      <c r="Q202" s="268"/>
    </row>
    <row r="203" spans="1:17" ht="15" customHeight="1" x14ac:dyDescent="0.2">
      <c r="A203" s="206"/>
      <c r="B203" s="206"/>
      <c r="C203" s="273" t="s">
        <v>521</v>
      </c>
      <c r="D203" s="686" t="s">
        <v>523</v>
      </c>
      <c r="E203" s="207"/>
      <c r="F203" s="148">
        <v>134926</v>
      </c>
      <c r="G203" s="198">
        <f>0+táj.2!G203</f>
        <v>0</v>
      </c>
      <c r="H203" s="198">
        <f>0+táj.2!H203</f>
        <v>0</v>
      </c>
      <c r="I203" s="198">
        <f>0+táj.2!I203</f>
        <v>0</v>
      </c>
      <c r="J203" s="198">
        <f>0+táj.2!J203</f>
        <v>0</v>
      </c>
      <c r="K203" s="198">
        <f>0+táj.2!K203</f>
        <v>0</v>
      </c>
      <c r="L203" s="198">
        <f>0+táj.2!L203</f>
        <v>0</v>
      </c>
      <c r="M203" s="198">
        <f>0+táj.2!M203</f>
        <v>0</v>
      </c>
      <c r="N203" s="198">
        <f>7500+táj.2!N203</f>
        <v>7500</v>
      </c>
      <c r="O203" s="198">
        <f>0+táj.2!O203</f>
        <v>0</v>
      </c>
      <c r="P203" s="198">
        <f>0+táj.2!P203</f>
        <v>0</v>
      </c>
      <c r="Q203" s="268">
        <f>SUM(G203:P203)</f>
        <v>7500</v>
      </c>
    </row>
    <row r="204" spans="1:17" ht="15" customHeight="1" x14ac:dyDescent="0.2">
      <c r="A204" s="585"/>
      <c r="B204" s="585"/>
      <c r="C204" s="578" t="s">
        <v>1297</v>
      </c>
      <c r="D204" s="690" t="s">
        <v>1298</v>
      </c>
      <c r="E204" s="587"/>
      <c r="F204" s="582">
        <v>132935</v>
      </c>
      <c r="G204" s="198">
        <f>0+táj.2!G204</f>
        <v>0</v>
      </c>
      <c r="H204" s="198">
        <f>0+táj.2!H204</f>
        <v>0</v>
      </c>
      <c r="I204" s="198">
        <f>0+táj.2!I204</f>
        <v>0</v>
      </c>
      <c r="J204" s="198">
        <f>0+táj.2!J204</f>
        <v>0</v>
      </c>
      <c r="K204" s="198">
        <f>0+táj.2!K204</f>
        <v>0</v>
      </c>
      <c r="L204" s="198">
        <f>10000+táj.2!L204</f>
        <v>8</v>
      </c>
      <c r="M204" s="198">
        <f>0+táj.2!M204</f>
        <v>9992</v>
      </c>
      <c r="N204" s="198">
        <f>0+táj.2!N204</f>
        <v>0</v>
      </c>
      <c r="O204" s="198">
        <f>0+táj.2!O204</f>
        <v>0</v>
      </c>
      <c r="P204" s="198">
        <f>0+táj.2!P204</f>
        <v>0</v>
      </c>
      <c r="Q204" s="268">
        <f>SUM(G204:P204)</f>
        <v>10000</v>
      </c>
    </row>
    <row r="205" spans="1:17" ht="13.5" x14ac:dyDescent="0.2">
      <c r="A205" s="502"/>
      <c r="B205" s="502"/>
      <c r="C205" s="206" t="s">
        <v>102</v>
      </c>
      <c r="D205" s="507" t="s">
        <v>1006</v>
      </c>
      <c r="E205" s="503"/>
      <c r="F205" s="504"/>
      <c r="G205" s="198"/>
      <c r="H205" s="198"/>
      <c r="I205" s="198"/>
      <c r="J205" s="198"/>
      <c r="K205" s="198"/>
      <c r="L205" s="198"/>
      <c r="M205" s="198"/>
      <c r="N205" s="198"/>
      <c r="O205" s="198"/>
      <c r="P205" s="198"/>
      <c r="Q205" s="268">
        <f t="shared" ref="Q205:Q211" si="16">SUM(G205:P205)</f>
        <v>0</v>
      </c>
    </row>
    <row r="206" spans="1:17" ht="24" x14ac:dyDescent="0.2">
      <c r="A206" s="502"/>
      <c r="B206" s="502"/>
      <c r="C206" s="578" t="s">
        <v>657</v>
      </c>
      <c r="D206" s="695" t="s">
        <v>1132</v>
      </c>
      <c r="E206" s="587"/>
      <c r="F206" s="582">
        <v>132924</v>
      </c>
      <c r="G206" s="198">
        <f>0+táj.2!G206</f>
        <v>0</v>
      </c>
      <c r="H206" s="198">
        <f>0+táj.2!H206</f>
        <v>0</v>
      </c>
      <c r="I206" s="198">
        <f>0+táj.2!I206</f>
        <v>0</v>
      </c>
      <c r="J206" s="198">
        <f>0+táj.2!J206</f>
        <v>0</v>
      </c>
      <c r="K206" s="198">
        <f>0+táj.2!K206</f>
        <v>0</v>
      </c>
      <c r="L206" s="198">
        <f>3339+táj.2!L206</f>
        <v>3339</v>
      </c>
      <c r="M206" s="198">
        <f>0+táj.2!M206</f>
        <v>0</v>
      </c>
      <c r="N206" s="198">
        <f>0+táj.2!N206</f>
        <v>0</v>
      </c>
      <c r="O206" s="198">
        <f>0+táj.2!O206</f>
        <v>0</v>
      </c>
      <c r="P206" s="198">
        <f>0+táj.2!P206</f>
        <v>0</v>
      </c>
      <c r="Q206" s="268">
        <f t="shared" si="16"/>
        <v>3339</v>
      </c>
    </row>
    <row r="207" spans="1:17" ht="14.25" customHeight="1" x14ac:dyDescent="0.2">
      <c r="A207" s="585"/>
      <c r="B207" s="585"/>
      <c r="C207" s="579" t="s">
        <v>1133</v>
      </c>
      <c r="D207" s="696" t="s">
        <v>1134</v>
      </c>
      <c r="E207" s="587"/>
      <c r="F207" s="582">
        <v>134961</v>
      </c>
      <c r="G207" s="198">
        <f>0+táj.2!G207</f>
        <v>0</v>
      </c>
      <c r="H207" s="198">
        <f>0+táj.2!H207</f>
        <v>0</v>
      </c>
      <c r="I207" s="198">
        <f>0+táj.2!I207</f>
        <v>0</v>
      </c>
      <c r="J207" s="198">
        <f>0+táj.2!J207</f>
        <v>0</v>
      </c>
      <c r="K207" s="198">
        <f>0+táj.2!K207</f>
        <v>0</v>
      </c>
      <c r="L207" s="198">
        <f>1000+táj.2!L207</f>
        <v>2492</v>
      </c>
      <c r="M207" s="198">
        <f>0+táj.2!M207</f>
        <v>0</v>
      </c>
      <c r="N207" s="198">
        <f>0+táj.2!N207</f>
        <v>0</v>
      </c>
      <c r="O207" s="198">
        <f>0+táj.2!O207</f>
        <v>0</v>
      </c>
      <c r="P207" s="198">
        <f>0+táj.2!P207</f>
        <v>0</v>
      </c>
      <c r="Q207" s="268">
        <f t="shared" si="16"/>
        <v>2492</v>
      </c>
    </row>
    <row r="208" spans="1:17" x14ac:dyDescent="0.2">
      <c r="A208" s="585"/>
      <c r="B208" s="585"/>
      <c r="C208" s="579" t="s">
        <v>1135</v>
      </c>
      <c r="D208" s="580" t="s">
        <v>1368</v>
      </c>
      <c r="E208" s="587"/>
      <c r="F208" s="582">
        <v>134962</v>
      </c>
      <c r="G208" s="198">
        <f>0+táj.2!G208</f>
        <v>0</v>
      </c>
      <c r="H208" s="198">
        <f>0+táj.2!H208</f>
        <v>0</v>
      </c>
      <c r="I208" s="198">
        <f>0+táj.2!I208</f>
        <v>0</v>
      </c>
      <c r="J208" s="198">
        <f>0+táj.2!J208</f>
        <v>0</v>
      </c>
      <c r="K208" s="198">
        <f>0+táj.2!K208</f>
        <v>0</v>
      </c>
      <c r="L208" s="198">
        <f>0+táj.2!L208</f>
        <v>0</v>
      </c>
      <c r="M208" s="198">
        <f>0+táj.2!M208</f>
        <v>3000</v>
      </c>
      <c r="N208" s="198">
        <f>3000+táj.2!N208</f>
        <v>0</v>
      </c>
      <c r="O208" s="198">
        <f>0+táj.2!O208</f>
        <v>0</v>
      </c>
      <c r="P208" s="198">
        <f>0+táj.2!P208</f>
        <v>0</v>
      </c>
      <c r="Q208" s="268">
        <f t="shared" si="16"/>
        <v>3000</v>
      </c>
    </row>
    <row r="209" spans="1:17" x14ac:dyDescent="0.2">
      <c r="A209" s="585"/>
      <c r="B209" s="585"/>
      <c r="C209" s="579" t="s">
        <v>1299</v>
      </c>
      <c r="D209" s="580" t="s">
        <v>1300</v>
      </c>
      <c r="E209" s="587"/>
      <c r="F209" s="582">
        <v>134967</v>
      </c>
      <c r="G209" s="198">
        <f>0+táj.2!G209</f>
        <v>0</v>
      </c>
      <c r="H209" s="198">
        <f>0+táj.2!H209</f>
        <v>0</v>
      </c>
      <c r="I209" s="198">
        <f>0+táj.2!I209</f>
        <v>0</v>
      </c>
      <c r="J209" s="198">
        <f>0+táj.2!J209</f>
        <v>0</v>
      </c>
      <c r="K209" s="198">
        <f>0+táj.2!K209</f>
        <v>0</v>
      </c>
      <c r="L209" s="198">
        <f>0+táj.2!L209</f>
        <v>0</v>
      </c>
      <c r="M209" s="198">
        <f>14000+táj.2!M209</f>
        <v>14000</v>
      </c>
      <c r="N209" s="198">
        <f>0+táj.2!N209</f>
        <v>0</v>
      </c>
      <c r="O209" s="198">
        <f>0+táj.2!O209</f>
        <v>0</v>
      </c>
      <c r="P209" s="198">
        <f>0+táj.2!P209</f>
        <v>0</v>
      </c>
      <c r="Q209" s="268">
        <f t="shared" si="16"/>
        <v>14000</v>
      </c>
    </row>
    <row r="210" spans="1:17" x14ac:dyDescent="0.2">
      <c r="A210" s="863"/>
      <c r="B210" s="863"/>
      <c r="C210" s="879" t="s">
        <v>1405</v>
      </c>
      <c r="D210" s="904" t="s">
        <v>1406</v>
      </c>
      <c r="E210" s="865"/>
      <c r="F210" s="940">
        <v>134951</v>
      </c>
      <c r="G210" s="198">
        <f>0+táj.2!G210</f>
        <v>0</v>
      </c>
      <c r="H210" s="198">
        <f>0+táj.2!H210</f>
        <v>0</v>
      </c>
      <c r="I210" s="198">
        <f>0+táj.2!I210</f>
        <v>0</v>
      </c>
      <c r="J210" s="198">
        <f>0+táj.2!J210</f>
        <v>0</v>
      </c>
      <c r="K210" s="198">
        <f>0+táj.2!K210</f>
        <v>0</v>
      </c>
      <c r="L210" s="198">
        <f>0+táj.2!L210</f>
        <v>0</v>
      </c>
      <c r="M210" s="198">
        <f>0+táj.2!M210</f>
        <v>2500</v>
      </c>
      <c r="N210" s="198">
        <f>0+táj.2!N210</f>
        <v>0</v>
      </c>
      <c r="O210" s="198">
        <f>0+táj.2!O210</f>
        <v>0</v>
      </c>
      <c r="P210" s="198">
        <f>0+táj.2!P210</f>
        <v>0</v>
      </c>
      <c r="Q210" s="268">
        <f t="shared" si="16"/>
        <v>2500</v>
      </c>
    </row>
    <row r="211" spans="1:17" ht="15.75" customHeight="1" x14ac:dyDescent="0.2">
      <c r="A211" s="863"/>
      <c r="B211" s="863"/>
      <c r="C211" s="879" t="s">
        <v>1407</v>
      </c>
      <c r="D211" s="939" t="s">
        <v>1408</v>
      </c>
      <c r="E211" s="865"/>
      <c r="F211" s="866">
        <v>132999</v>
      </c>
      <c r="G211" s="198">
        <f>0+táj.2!G211</f>
        <v>0</v>
      </c>
      <c r="H211" s="198">
        <f>0+táj.2!H211</f>
        <v>0</v>
      </c>
      <c r="I211" s="198">
        <f>0+táj.2!I211</f>
        <v>0</v>
      </c>
      <c r="J211" s="198">
        <f>0+táj.2!J211</f>
        <v>0</v>
      </c>
      <c r="K211" s="198">
        <f>0+táj.2!K211</f>
        <v>0</v>
      </c>
      <c r="L211" s="198">
        <f>0+táj.2!L211</f>
        <v>1500</v>
      </c>
      <c r="M211" s="198">
        <f>0+táj.2!M211</f>
        <v>0</v>
      </c>
      <c r="N211" s="198">
        <f>0+táj.2!N211</f>
        <v>0</v>
      </c>
      <c r="O211" s="198">
        <f>0+táj.2!O211</f>
        <v>0</v>
      </c>
      <c r="P211" s="198">
        <f>0+táj.2!P211</f>
        <v>0</v>
      </c>
      <c r="Q211" s="268">
        <f t="shared" si="16"/>
        <v>1500</v>
      </c>
    </row>
    <row r="212" spans="1:17" ht="15" customHeight="1" x14ac:dyDescent="0.2">
      <c r="A212" s="206"/>
      <c r="B212" s="206"/>
      <c r="C212" s="259" t="s">
        <v>89</v>
      </c>
      <c r="D212" s="276" t="s">
        <v>1145</v>
      </c>
      <c r="E212" s="209"/>
      <c r="F212" s="210"/>
      <c r="G212" s="198"/>
      <c r="H212" s="198"/>
      <c r="I212" s="198"/>
      <c r="J212" s="198"/>
      <c r="K212" s="198"/>
      <c r="L212" s="198"/>
      <c r="M212" s="198"/>
      <c r="N212" s="198"/>
      <c r="O212" s="198"/>
      <c r="P212" s="198"/>
      <c r="Q212" s="268"/>
    </row>
    <row r="213" spans="1:17" ht="21" customHeight="1" x14ac:dyDescent="0.2">
      <c r="A213" s="206"/>
      <c r="B213" s="206"/>
      <c r="C213" s="579" t="s">
        <v>524</v>
      </c>
      <c r="D213" s="697" t="s">
        <v>527</v>
      </c>
      <c r="E213" s="698"/>
      <c r="F213" s="582">
        <v>132915</v>
      </c>
      <c r="G213" s="198">
        <f>0+táj.2!G213</f>
        <v>0</v>
      </c>
      <c r="H213" s="198">
        <f>0+táj.2!H213</f>
        <v>0</v>
      </c>
      <c r="I213" s="198">
        <f>0+táj.2!I213</f>
        <v>0</v>
      </c>
      <c r="J213" s="198">
        <f>0+táj.2!J213</f>
        <v>0</v>
      </c>
      <c r="K213" s="198">
        <f>0+táj.2!K213</f>
        <v>0</v>
      </c>
      <c r="L213" s="198">
        <f>0+táj.2!L213</f>
        <v>0</v>
      </c>
      <c r="M213" s="198">
        <f>0+táj.2!M213</f>
        <v>0</v>
      </c>
      <c r="N213" s="198">
        <f>1000+táj.2!N213</f>
        <v>1000</v>
      </c>
      <c r="O213" s="198">
        <f>0+táj.2!O213</f>
        <v>0</v>
      </c>
      <c r="P213" s="198">
        <f>0+táj.2!P213</f>
        <v>0</v>
      </c>
      <c r="Q213" s="268">
        <f t="shared" ref="Q213:Q216" si="17">SUM(G213:P213)</f>
        <v>1000</v>
      </c>
    </row>
    <row r="214" spans="1:17" ht="15.75" customHeight="1" x14ac:dyDescent="0.2">
      <c r="A214" s="206"/>
      <c r="B214" s="206"/>
      <c r="C214" s="579" t="s">
        <v>525</v>
      </c>
      <c r="D214" s="695" t="s">
        <v>1136</v>
      </c>
      <c r="E214" s="587"/>
      <c r="F214" s="582">
        <v>134941</v>
      </c>
      <c r="G214" s="198">
        <f>0+táj.2!G214</f>
        <v>0</v>
      </c>
      <c r="H214" s="198">
        <f>0+táj.2!H214</f>
        <v>0</v>
      </c>
      <c r="I214" s="198">
        <f>0+táj.2!I214</f>
        <v>0</v>
      </c>
      <c r="J214" s="198">
        <f>0+táj.2!J214</f>
        <v>0</v>
      </c>
      <c r="K214" s="198">
        <f>0+táj.2!K214</f>
        <v>0</v>
      </c>
      <c r="L214" s="198">
        <f>0+táj.2!L214</f>
        <v>0</v>
      </c>
      <c r="M214" s="198">
        <f>3074+táj.2!M214</f>
        <v>3074</v>
      </c>
      <c r="N214" s="198">
        <f>0+táj.2!N214</f>
        <v>0</v>
      </c>
      <c r="O214" s="198">
        <f>0+táj.2!O214</f>
        <v>0</v>
      </c>
      <c r="P214" s="198">
        <f>0+táj.2!P214</f>
        <v>0</v>
      </c>
      <c r="Q214" s="268">
        <f t="shared" si="17"/>
        <v>3074</v>
      </c>
    </row>
    <row r="215" spans="1:17" ht="17.25" customHeight="1" x14ac:dyDescent="0.2">
      <c r="A215" s="206"/>
      <c r="B215" s="206"/>
      <c r="C215" s="579" t="s">
        <v>526</v>
      </c>
      <c r="D215" s="347" t="s">
        <v>1137</v>
      </c>
      <c r="E215" s="692"/>
      <c r="F215" s="582">
        <v>134939</v>
      </c>
      <c r="G215" s="198">
        <f>0+táj.2!G215</f>
        <v>0</v>
      </c>
      <c r="H215" s="198">
        <f>0+táj.2!H215</f>
        <v>0</v>
      </c>
      <c r="I215" s="198">
        <f>0+táj.2!I215</f>
        <v>0</v>
      </c>
      <c r="J215" s="198">
        <f>0+táj.2!J215</f>
        <v>0</v>
      </c>
      <c r="K215" s="198">
        <f>0+táj.2!K215</f>
        <v>0</v>
      </c>
      <c r="L215" s="198">
        <f>10790+táj.2!L215</f>
        <v>10790</v>
      </c>
      <c r="M215" s="198">
        <f>9698+táj.2!M215</f>
        <v>9698</v>
      </c>
      <c r="N215" s="198">
        <f>0+táj.2!N215</f>
        <v>0</v>
      </c>
      <c r="O215" s="198">
        <f>0+táj.2!O215</f>
        <v>0</v>
      </c>
      <c r="P215" s="198">
        <f>0+táj.2!P215</f>
        <v>0</v>
      </c>
      <c r="Q215" s="268">
        <f t="shared" si="17"/>
        <v>20488</v>
      </c>
    </row>
    <row r="216" spans="1:17" ht="26.25" customHeight="1" x14ac:dyDescent="0.2">
      <c r="A216" s="206"/>
      <c r="B216" s="206"/>
      <c r="C216" s="579" t="s">
        <v>528</v>
      </c>
      <c r="D216" s="690" t="s">
        <v>529</v>
      </c>
      <c r="E216" s="699"/>
      <c r="F216" s="582">
        <v>134927</v>
      </c>
      <c r="G216" s="198">
        <f>0+táj.2!G216</f>
        <v>0</v>
      </c>
      <c r="H216" s="198">
        <f>0+táj.2!H216</f>
        <v>0</v>
      </c>
      <c r="I216" s="198">
        <f>0+táj.2!I216</f>
        <v>0</v>
      </c>
      <c r="J216" s="198">
        <f>0+táj.2!J216</f>
        <v>0</v>
      </c>
      <c r="K216" s="198">
        <f>0+táj.2!K216</f>
        <v>0</v>
      </c>
      <c r="L216" s="198">
        <f>0+táj.2!L216</f>
        <v>0</v>
      </c>
      <c r="M216" s="198">
        <f>1024+táj.2!M216</f>
        <v>1024</v>
      </c>
      <c r="N216" s="198">
        <f>0+táj.2!N216</f>
        <v>0</v>
      </c>
      <c r="O216" s="198">
        <f>0+táj.2!O216</f>
        <v>0</v>
      </c>
      <c r="P216" s="198">
        <f>0+táj.2!P216</f>
        <v>0</v>
      </c>
      <c r="Q216" s="268">
        <f t="shared" si="17"/>
        <v>1024</v>
      </c>
    </row>
    <row r="217" spans="1:17" ht="18.75" customHeight="1" x14ac:dyDescent="0.2">
      <c r="A217" s="200"/>
      <c r="B217" s="200"/>
      <c r="C217" s="201"/>
      <c r="D217" s="159" t="s">
        <v>237</v>
      </c>
      <c r="E217" s="203"/>
      <c r="F217" s="204"/>
      <c r="G217" s="258">
        <f t="shared" ref="G217:Q217" si="18">SUM(G170:G216)</f>
        <v>3339</v>
      </c>
      <c r="H217" s="258">
        <f t="shared" si="18"/>
        <v>1247</v>
      </c>
      <c r="I217" s="258">
        <f t="shared" si="18"/>
        <v>40583</v>
      </c>
      <c r="J217" s="258">
        <f t="shared" si="18"/>
        <v>6000</v>
      </c>
      <c r="K217" s="258">
        <f t="shared" si="18"/>
        <v>935640</v>
      </c>
      <c r="L217" s="258">
        <f t="shared" si="18"/>
        <v>109263</v>
      </c>
      <c r="M217" s="258">
        <f t="shared" si="18"/>
        <v>122774</v>
      </c>
      <c r="N217" s="258">
        <f t="shared" si="18"/>
        <v>35140</v>
      </c>
      <c r="O217" s="258">
        <f t="shared" si="18"/>
        <v>0</v>
      </c>
      <c r="P217" s="258">
        <f t="shared" si="18"/>
        <v>0</v>
      </c>
      <c r="Q217" s="258">
        <f t="shared" si="18"/>
        <v>1253986</v>
      </c>
    </row>
    <row r="218" spans="1:17" ht="12.95" customHeight="1" x14ac:dyDescent="0.2">
      <c r="A218" s="206">
        <v>1</v>
      </c>
      <c r="B218" s="206">
        <v>14</v>
      </c>
      <c r="C218" s="259"/>
      <c r="D218" s="276" t="s">
        <v>197</v>
      </c>
      <c r="E218" s="209"/>
      <c r="F218" s="210"/>
      <c r="G218" s="210"/>
      <c r="H218" s="179"/>
      <c r="I218" s="179"/>
      <c r="J218" s="179"/>
      <c r="K218" s="179"/>
      <c r="L218" s="179"/>
      <c r="M218" s="210"/>
      <c r="N218" s="210"/>
      <c r="O218" s="210"/>
      <c r="P218" s="210"/>
      <c r="Q218" s="210"/>
    </row>
    <row r="219" spans="1:17" ht="12.95" customHeight="1" x14ac:dyDescent="0.2">
      <c r="A219" s="206"/>
      <c r="B219" s="206"/>
      <c r="C219" s="259"/>
      <c r="D219" s="154" t="s">
        <v>238</v>
      </c>
      <c r="E219" s="209"/>
      <c r="F219" s="210"/>
      <c r="G219" s="210"/>
      <c r="H219" s="179"/>
      <c r="I219" s="179"/>
      <c r="J219" s="179"/>
      <c r="K219" s="179"/>
      <c r="L219" s="179"/>
      <c r="M219" s="210"/>
      <c r="N219" s="210"/>
      <c r="O219" s="210"/>
      <c r="P219" s="210"/>
      <c r="Q219" s="210"/>
    </row>
    <row r="220" spans="1:17" ht="12.95" customHeight="1" x14ac:dyDescent="0.2">
      <c r="A220" s="206"/>
      <c r="B220" s="206"/>
      <c r="C220" s="259"/>
      <c r="D220" s="277" t="s">
        <v>530</v>
      </c>
      <c r="E220" s="148">
        <v>1</v>
      </c>
      <c r="F220" s="148">
        <v>171918</v>
      </c>
      <c r="G220" s="148">
        <f>0+táj.2!G220</f>
        <v>0</v>
      </c>
      <c r="H220" s="148">
        <f>0+táj.2!H220</f>
        <v>0</v>
      </c>
      <c r="I220" s="148">
        <f>1104+táj.2!I220</f>
        <v>1104</v>
      </c>
      <c r="J220" s="148">
        <f>0+táj.2!J220</f>
        <v>0</v>
      </c>
      <c r="K220" s="148">
        <f>0+táj.2!K220</f>
        <v>0</v>
      </c>
      <c r="L220" s="148">
        <f>0+táj.2!L220</f>
        <v>0</v>
      </c>
      <c r="M220" s="148">
        <f>0+táj.2!M220</f>
        <v>0</v>
      </c>
      <c r="N220" s="148">
        <f>0+táj.2!N220</f>
        <v>0</v>
      </c>
      <c r="O220" s="148">
        <f>0+táj.2!O220</f>
        <v>0</v>
      </c>
      <c r="P220" s="148">
        <f>0+táj.2!P220</f>
        <v>0</v>
      </c>
      <c r="Q220" s="148">
        <f>SUM(G220:P220)</f>
        <v>1104</v>
      </c>
    </row>
    <row r="221" spans="1:17" ht="30" customHeight="1" x14ac:dyDescent="0.2">
      <c r="A221" s="206"/>
      <c r="B221" s="206"/>
      <c r="C221" s="259"/>
      <c r="D221" s="150" t="s">
        <v>531</v>
      </c>
      <c r="E221" s="148">
        <v>1</v>
      </c>
      <c r="F221" s="148">
        <v>171922</v>
      </c>
      <c r="G221" s="148">
        <f>0+táj.2!G221</f>
        <v>0</v>
      </c>
      <c r="H221" s="148">
        <f>0+táj.2!H221</f>
        <v>0</v>
      </c>
      <c r="I221" s="148">
        <f>2305+táj.2!I221</f>
        <v>2305</v>
      </c>
      <c r="J221" s="148">
        <f>0+táj.2!J221</f>
        <v>0</v>
      </c>
      <c r="K221" s="148">
        <f>0+táj.2!K221</f>
        <v>0</v>
      </c>
      <c r="L221" s="148">
        <f>0+táj.2!L221</f>
        <v>0</v>
      </c>
      <c r="M221" s="148">
        <f>0+táj.2!M221</f>
        <v>0</v>
      </c>
      <c r="N221" s="148">
        <f>0+táj.2!N221</f>
        <v>0</v>
      </c>
      <c r="O221" s="148">
        <f>0+táj.2!O221</f>
        <v>0</v>
      </c>
      <c r="P221" s="148">
        <f>0+táj.2!P221</f>
        <v>0</v>
      </c>
      <c r="Q221" s="148">
        <f>SUM(G221:P221)</f>
        <v>2305</v>
      </c>
    </row>
    <row r="222" spans="1:17" ht="12.95" customHeight="1" x14ac:dyDescent="0.2">
      <c r="A222" s="206"/>
      <c r="B222" s="206"/>
      <c r="C222" s="259"/>
      <c r="D222" s="277" t="s">
        <v>532</v>
      </c>
      <c r="E222" s="148">
        <v>1</v>
      </c>
      <c r="F222" s="148">
        <v>171926</v>
      </c>
      <c r="G222" s="148">
        <f>0+táj.2!G222</f>
        <v>0</v>
      </c>
      <c r="H222" s="148">
        <f>0+táj.2!H222</f>
        <v>0</v>
      </c>
      <c r="I222" s="148">
        <f>1500+táj.2!I222</f>
        <v>1500</v>
      </c>
      <c r="J222" s="148">
        <f>0+táj.2!J222</f>
        <v>0</v>
      </c>
      <c r="K222" s="148">
        <f>0+táj.2!K222</f>
        <v>0</v>
      </c>
      <c r="L222" s="148">
        <f>0+táj.2!L222</f>
        <v>0</v>
      </c>
      <c r="M222" s="148">
        <f>0+táj.2!M222</f>
        <v>0</v>
      </c>
      <c r="N222" s="148">
        <f>0+táj.2!N222</f>
        <v>0</v>
      </c>
      <c r="O222" s="148">
        <f>0+táj.2!O222</f>
        <v>0</v>
      </c>
      <c r="P222" s="148">
        <f>0+táj.2!P222</f>
        <v>0</v>
      </c>
      <c r="Q222" s="148">
        <f>SUM(G222:P222)</f>
        <v>1500</v>
      </c>
    </row>
    <row r="223" spans="1:17" ht="12.95" customHeight="1" x14ac:dyDescent="0.2">
      <c r="A223" s="206"/>
      <c r="B223" s="206"/>
      <c r="C223" s="259"/>
      <c r="D223" s="277" t="s">
        <v>533</v>
      </c>
      <c r="E223" s="148">
        <v>1</v>
      </c>
      <c r="F223" s="148">
        <v>171967</v>
      </c>
      <c r="G223" s="148">
        <f>0+táj.2!G223</f>
        <v>0</v>
      </c>
      <c r="H223" s="148">
        <f>0+táj.2!H223</f>
        <v>0</v>
      </c>
      <c r="I223" s="148">
        <f>4358+táj.2!I223</f>
        <v>4468</v>
      </c>
      <c r="J223" s="148">
        <f>0+táj.2!J223</f>
        <v>0</v>
      </c>
      <c r="K223" s="148">
        <f>0+táj.2!K223</f>
        <v>0</v>
      </c>
      <c r="L223" s="148">
        <f>0+táj.2!L223</f>
        <v>0</v>
      </c>
      <c r="M223" s="148">
        <f>0+táj.2!M223</f>
        <v>0</v>
      </c>
      <c r="N223" s="148">
        <f>0+táj.2!N223</f>
        <v>0</v>
      </c>
      <c r="O223" s="148">
        <f>0+táj.2!O223</f>
        <v>0</v>
      </c>
      <c r="P223" s="148">
        <f>0+táj.2!P223</f>
        <v>0</v>
      </c>
      <c r="Q223" s="148">
        <f>SUM(G223:P223)</f>
        <v>4468</v>
      </c>
    </row>
    <row r="224" spans="1:17" ht="12.95" customHeight="1" x14ac:dyDescent="0.2">
      <c r="A224" s="200"/>
      <c r="B224" s="200"/>
      <c r="C224" s="201"/>
      <c r="D224" s="159" t="s">
        <v>534</v>
      </c>
      <c r="E224" s="278"/>
      <c r="F224" s="279"/>
      <c r="G224" s="280">
        <f t="shared" ref="G224:Q224" si="19">SUM(G220:G223)</f>
        <v>0</v>
      </c>
      <c r="H224" s="280">
        <f t="shared" si="19"/>
        <v>0</v>
      </c>
      <c r="I224" s="280">
        <f t="shared" si="19"/>
        <v>9377</v>
      </c>
      <c r="J224" s="280">
        <f t="shared" si="19"/>
        <v>0</v>
      </c>
      <c r="K224" s="280">
        <f t="shared" si="19"/>
        <v>0</v>
      </c>
      <c r="L224" s="280">
        <f t="shared" si="19"/>
        <v>0</v>
      </c>
      <c r="M224" s="280">
        <f t="shared" si="19"/>
        <v>0</v>
      </c>
      <c r="N224" s="280">
        <f t="shared" si="19"/>
        <v>0</v>
      </c>
      <c r="O224" s="280">
        <f t="shared" si="19"/>
        <v>0</v>
      </c>
      <c r="P224" s="280">
        <f t="shared" si="19"/>
        <v>0</v>
      </c>
      <c r="Q224" s="280">
        <f t="shared" si="19"/>
        <v>9377</v>
      </c>
    </row>
    <row r="225" spans="1:17" ht="12.95" customHeight="1" x14ac:dyDescent="0.2">
      <c r="A225" s="206"/>
      <c r="B225" s="206"/>
      <c r="C225" s="259"/>
      <c r="D225" s="281" t="s">
        <v>535</v>
      </c>
      <c r="E225" s="207"/>
      <c r="F225" s="148"/>
      <c r="G225" s="179"/>
      <c r="H225" s="179"/>
      <c r="I225" s="179"/>
      <c r="J225" s="179"/>
      <c r="K225" s="179"/>
      <c r="L225" s="179"/>
      <c r="M225" s="179"/>
      <c r="N225" s="179"/>
      <c r="O225" s="179"/>
      <c r="P225" s="179"/>
      <c r="Q225" s="179"/>
    </row>
    <row r="226" spans="1:17" ht="12.95" customHeight="1" x14ac:dyDescent="0.2">
      <c r="A226" s="206"/>
      <c r="B226" s="206"/>
      <c r="C226" s="282"/>
      <c r="D226" s="277" t="s">
        <v>1145</v>
      </c>
      <c r="E226" s="283"/>
      <c r="F226" s="148"/>
      <c r="G226" s="179"/>
      <c r="H226" s="179"/>
      <c r="I226" s="179"/>
      <c r="J226" s="179"/>
      <c r="K226" s="179"/>
      <c r="L226" s="179"/>
      <c r="M226" s="179"/>
      <c r="N226" s="179"/>
      <c r="O226" s="179"/>
      <c r="P226" s="179"/>
      <c r="Q226" s="179"/>
    </row>
    <row r="227" spans="1:17" ht="12.95" customHeight="1" x14ac:dyDescent="0.2">
      <c r="A227" s="206"/>
      <c r="B227" s="206"/>
      <c r="C227" s="284" t="s">
        <v>382</v>
      </c>
      <c r="D227" s="285" t="s">
        <v>536</v>
      </c>
      <c r="E227" s="283"/>
      <c r="F227" s="148">
        <v>162650</v>
      </c>
      <c r="G227" s="179">
        <f>0+táj.2!G227</f>
        <v>0</v>
      </c>
      <c r="H227" s="179">
        <f>0+táj.2!H227</f>
        <v>0</v>
      </c>
      <c r="I227" s="179">
        <f>0+táj.2!I227</f>
        <v>0</v>
      </c>
      <c r="J227" s="179">
        <f>0+táj.2!J227</f>
        <v>0</v>
      </c>
      <c r="K227" s="179">
        <f>0+táj.2!K227</f>
        <v>0</v>
      </c>
      <c r="L227" s="179">
        <f>14062+táj.2!L227</f>
        <v>14062</v>
      </c>
      <c r="M227" s="179">
        <f>0+táj.2!M227</f>
        <v>0</v>
      </c>
      <c r="N227" s="179">
        <f>0+táj.2!N227</f>
        <v>0</v>
      </c>
      <c r="O227" s="179">
        <f>0+táj.2!O227</f>
        <v>0</v>
      </c>
      <c r="P227" s="179">
        <f>0+táj.2!P227</f>
        <v>0</v>
      </c>
      <c r="Q227" s="179">
        <f>SUM(G227:P227)</f>
        <v>14062</v>
      </c>
    </row>
    <row r="228" spans="1:17" ht="12.95" customHeight="1" x14ac:dyDescent="0.2">
      <c r="A228" s="206"/>
      <c r="B228" s="206"/>
      <c r="C228" s="284" t="s">
        <v>384</v>
      </c>
      <c r="D228" s="286" t="s">
        <v>537</v>
      </c>
      <c r="E228" s="283"/>
      <c r="F228" s="148">
        <v>164903</v>
      </c>
      <c r="G228" s="179">
        <f>0+táj.2!G228</f>
        <v>0</v>
      </c>
      <c r="H228" s="179">
        <f>0+táj.2!H228</f>
        <v>0</v>
      </c>
      <c r="I228" s="179">
        <f>0+táj.2!I228</f>
        <v>0</v>
      </c>
      <c r="J228" s="179">
        <f>0+táj.2!J228</f>
        <v>0</v>
      </c>
      <c r="K228" s="179">
        <f>0+táj.2!K228</f>
        <v>0</v>
      </c>
      <c r="L228" s="179">
        <f>0+táj.2!L228</f>
        <v>0</v>
      </c>
      <c r="M228" s="179">
        <f>0+táj.2!M228</f>
        <v>0</v>
      </c>
      <c r="N228" s="179">
        <f>6513+táj.2!N228</f>
        <v>6513</v>
      </c>
      <c r="O228" s="179">
        <f>0+táj.2!O228</f>
        <v>0</v>
      </c>
      <c r="P228" s="179">
        <f>0+táj.2!P228</f>
        <v>0</v>
      </c>
      <c r="Q228" s="179">
        <f>SUM(G228:P228)</f>
        <v>6513</v>
      </c>
    </row>
    <row r="229" spans="1:17" ht="12.95" customHeight="1" x14ac:dyDescent="0.2">
      <c r="A229" s="200"/>
      <c r="B229" s="200"/>
      <c r="C229" s="201"/>
      <c r="D229" s="159" t="s">
        <v>240</v>
      </c>
      <c r="E229" s="278"/>
      <c r="F229" s="279"/>
      <c r="G229" s="377">
        <f t="shared" ref="G229:Q229" si="20">SUM(G224:G228)</f>
        <v>0</v>
      </c>
      <c r="H229" s="377">
        <f t="shared" si="20"/>
        <v>0</v>
      </c>
      <c r="I229" s="377">
        <f t="shared" si="20"/>
        <v>9377</v>
      </c>
      <c r="J229" s="377">
        <f t="shared" si="20"/>
        <v>0</v>
      </c>
      <c r="K229" s="377">
        <f t="shared" si="20"/>
        <v>0</v>
      </c>
      <c r="L229" s="377">
        <f t="shared" si="20"/>
        <v>14062</v>
      </c>
      <c r="M229" s="377">
        <f t="shared" si="20"/>
        <v>0</v>
      </c>
      <c r="N229" s="377">
        <f t="shared" si="20"/>
        <v>6513</v>
      </c>
      <c r="O229" s="377">
        <f t="shared" si="20"/>
        <v>0</v>
      </c>
      <c r="P229" s="377">
        <f t="shared" si="20"/>
        <v>0</v>
      </c>
      <c r="Q229" s="377">
        <f t="shared" si="20"/>
        <v>29952</v>
      </c>
    </row>
    <row r="230" spans="1:17" ht="14.1" customHeight="1" x14ac:dyDescent="0.2">
      <c r="A230" s="174">
        <v>1</v>
      </c>
      <c r="B230" s="174">
        <v>15</v>
      </c>
      <c r="C230" s="194"/>
      <c r="D230" s="276" t="s">
        <v>539</v>
      </c>
      <c r="E230" s="207"/>
      <c r="F230" s="148"/>
      <c r="G230" s="148"/>
      <c r="H230" s="179"/>
      <c r="I230" s="179"/>
      <c r="J230" s="179"/>
      <c r="K230" s="179"/>
      <c r="L230" s="179"/>
      <c r="M230" s="148"/>
      <c r="N230" s="148"/>
      <c r="O230" s="148"/>
      <c r="P230" s="148"/>
      <c r="Q230" s="148"/>
    </row>
    <row r="231" spans="1:17" ht="14.1" customHeight="1" x14ac:dyDescent="0.2">
      <c r="A231" s="174"/>
      <c r="B231" s="174"/>
      <c r="C231" s="194"/>
      <c r="D231" s="287" t="s">
        <v>540</v>
      </c>
      <c r="E231" s="207"/>
      <c r="F231" s="148"/>
      <c r="G231" s="148"/>
      <c r="H231" s="179"/>
      <c r="I231" s="179"/>
      <c r="J231" s="179"/>
      <c r="K231" s="179"/>
      <c r="L231" s="179"/>
      <c r="M231" s="148"/>
      <c r="N231" s="148"/>
      <c r="O231" s="148"/>
      <c r="P231" s="148"/>
      <c r="Q231" s="148"/>
    </row>
    <row r="232" spans="1:17" ht="18" customHeight="1" x14ac:dyDescent="0.2">
      <c r="A232" s="174"/>
      <c r="B232" s="174"/>
      <c r="C232" s="194"/>
      <c r="D232" s="277" t="s">
        <v>541</v>
      </c>
      <c r="E232" s="148">
        <v>1</v>
      </c>
      <c r="F232" s="148">
        <v>151502</v>
      </c>
      <c r="G232" s="148">
        <f>0+táj.2!G232</f>
        <v>0</v>
      </c>
      <c r="H232" s="148">
        <f>0+táj.2!H232</f>
        <v>0</v>
      </c>
      <c r="I232" s="148">
        <f>28797+táj.2!I232</f>
        <v>28297</v>
      </c>
      <c r="J232" s="148">
        <f>0+táj.2!J232</f>
        <v>0</v>
      </c>
      <c r="K232" s="148">
        <f>0+táj.2!K232</f>
        <v>0</v>
      </c>
      <c r="L232" s="148">
        <f>0+táj.2!L232</f>
        <v>0</v>
      </c>
      <c r="M232" s="148">
        <f>0+táj.2!M232</f>
        <v>0</v>
      </c>
      <c r="N232" s="148">
        <f>0+táj.2!N232</f>
        <v>0</v>
      </c>
      <c r="O232" s="148">
        <f>0+táj.2!O232</f>
        <v>0</v>
      </c>
      <c r="P232" s="148">
        <f>0+táj.2!P232</f>
        <v>0</v>
      </c>
      <c r="Q232" s="148">
        <f t="shared" ref="Q232:Q255" si="21">SUM(G232:P232)</f>
        <v>28297</v>
      </c>
    </row>
    <row r="233" spans="1:17" ht="12" customHeight="1" x14ac:dyDescent="0.2">
      <c r="A233" s="174"/>
      <c r="B233" s="174"/>
      <c r="C233" s="194"/>
      <c r="D233" s="150" t="s">
        <v>1001</v>
      </c>
      <c r="E233" s="148">
        <v>1</v>
      </c>
      <c r="F233" s="148">
        <v>151530</v>
      </c>
      <c r="G233" s="148">
        <f>0+táj.2!G233</f>
        <v>0</v>
      </c>
      <c r="H233" s="148">
        <f>0+táj.2!H233</f>
        <v>0</v>
      </c>
      <c r="I233" s="148">
        <f>4872+táj.2!I233</f>
        <v>5002</v>
      </c>
      <c r="J233" s="148">
        <f>0+táj.2!J233</f>
        <v>0</v>
      </c>
      <c r="K233" s="148">
        <f>0+táj.2!K233</f>
        <v>0</v>
      </c>
      <c r="L233" s="148">
        <f>0+táj.2!L233</f>
        <v>0</v>
      </c>
      <c r="M233" s="148">
        <f>0+táj.2!M233</f>
        <v>0</v>
      </c>
      <c r="N233" s="148">
        <f>0+táj.2!N233</f>
        <v>0</v>
      </c>
      <c r="O233" s="148">
        <f>0+táj.2!O233</f>
        <v>0</v>
      </c>
      <c r="P233" s="148">
        <f>0+táj.2!P233</f>
        <v>0</v>
      </c>
      <c r="Q233" s="148">
        <f t="shared" si="21"/>
        <v>5002</v>
      </c>
    </row>
    <row r="234" spans="1:17" ht="14.1" customHeight="1" x14ac:dyDescent="0.2">
      <c r="A234" s="174"/>
      <c r="B234" s="174"/>
      <c r="C234" s="194"/>
      <c r="D234" s="277" t="s">
        <v>542</v>
      </c>
      <c r="E234" s="148">
        <v>1</v>
      </c>
      <c r="F234" s="148">
        <v>151504</v>
      </c>
      <c r="G234" s="148">
        <f>0+táj.2!G234</f>
        <v>0</v>
      </c>
      <c r="H234" s="148">
        <f>0+táj.2!H234</f>
        <v>0</v>
      </c>
      <c r="I234" s="148">
        <f>229000+táj.2!I234</f>
        <v>229000</v>
      </c>
      <c r="J234" s="148">
        <f>0+táj.2!J234</f>
        <v>0</v>
      </c>
      <c r="K234" s="148">
        <f>0+táj.2!K234</f>
        <v>0</v>
      </c>
      <c r="L234" s="148">
        <f>0+táj.2!L234</f>
        <v>0</v>
      </c>
      <c r="M234" s="148">
        <f>0+táj.2!M234</f>
        <v>0</v>
      </c>
      <c r="N234" s="148">
        <f>0+táj.2!N234</f>
        <v>0</v>
      </c>
      <c r="O234" s="148">
        <f>0+táj.2!O234</f>
        <v>0</v>
      </c>
      <c r="P234" s="148">
        <f>0+táj.2!P234</f>
        <v>0</v>
      </c>
      <c r="Q234" s="148">
        <f t="shared" si="21"/>
        <v>229000</v>
      </c>
    </row>
    <row r="235" spans="1:17" ht="14.1" customHeight="1" x14ac:dyDescent="0.2">
      <c r="A235" s="174"/>
      <c r="B235" s="174"/>
      <c r="C235" s="194"/>
      <c r="D235" s="288" t="s">
        <v>543</v>
      </c>
      <c r="E235" s="148">
        <v>1</v>
      </c>
      <c r="F235" s="148">
        <v>151501</v>
      </c>
      <c r="G235" s="148">
        <f>0+táj.2!G235</f>
        <v>0</v>
      </c>
      <c r="H235" s="148">
        <f>0+táj.2!H235</f>
        <v>0</v>
      </c>
      <c r="I235" s="148">
        <f>14288+táj.2!I235</f>
        <v>14288</v>
      </c>
      <c r="J235" s="148">
        <f>0+táj.2!J235</f>
        <v>0</v>
      </c>
      <c r="K235" s="148">
        <f>0+táj.2!K235</f>
        <v>0</v>
      </c>
      <c r="L235" s="148">
        <f>0+táj.2!L235</f>
        <v>0</v>
      </c>
      <c r="M235" s="148">
        <f>0+táj.2!M235</f>
        <v>0</v>
      </c>
      <c r="N235" s="148">
        <f>0+táj.2!N235</f>
        <v>0</v>
      </c>
      <c r="O235" s="148">
        <f>0+táj.2!O235</f>
        <v>0</v>
      </c>
      <c r="P235" s="148">
        <f>0+táj.2!P235</f>
        <v>0</v>
      </c>
      <c r="Q235" s="148">
        <f t="shared" si="21"/>
        <v>14288</v>
      </c>
    </row>
    <row r="236" spans="1:17" ht="14.1" customHeight="1" x14ac:dyDescent="0.2">
      <c r="A236" s="174"/>
      <c r="B236" s="174"/>
      <c r="C236" s="194"/>
      <c r="D236" s="288" t="s">
        <v>544</v>
      </c>
      <c r="E236" s="148">
        <v>1</v>
      </c>
      <c r="F236" s="148">
        <v>151905</v>
      </c>
      <c r="G236" s="148">
        <f>0+táj.2!G236</f>
        <v>0</v>
      </c>
      <c r="H236" s="148">
        <f>0+táj.2!H236</f>
        <v>0</v>
      </c>
      <c r="I236" s="148">
        <f>800+táj.2!I236</f>
        <v>650</v>
      </c>
      <c r="J236" s="148">
        <f>0+táj.2!J236</f>
        <v>0</v>
      </c>
      <c r="K236" s="148">
        <f>0+táj.2!K236</f>
        <v>0</v>
      </c>
      <c r="L236" s="148">
        <f>0+táj.2!L236</f>
        <v>150</v>
      </c>
      <c r="M236" s="148">
        <f>0+táj.2!M236</f>
        <v>0</v>
      </c>
      <c r="N236" s="148">
        <f>0+táj.2!N236</f>
        <v>0</v>
      </c>
      <c r="O236" s="148">
        <f>0+táj.2!O236</f>
        <v>0</v>
      </c>
      <c r="P236" s="148">
        <f>0+táj.2!P236</f>
        <v>0</v>
      </c>
      <c r="Q236" s="148">
        <f t="shared" si="21"/>
        <v>800</v>
      </c>
    </row>
    <row r="237" spans="1:17" ht="14.1" customHeight="1" x14ac:dyDescent="0.2">
      <c r="A237" s="174"/>
      <c r="B237" s="174"/>
      <c r="C237" s="194"/>
      <c r="D237" s="288" t="s">
        <v>545</v>
      </c>
      <c r="E237" s="148">
        <v>1</v>
      </c>
      <c r="F237" s="148">
        <v>151920</v>
      </c>
      <c r="G237" s="148">
        <f>0+táj.2!G237</f>
        <v>0</v>
      </c>
      <c r="H237" s="148">
        <f>0+táj.2!H237</f>
        <v>0</v>
      </c>
      <c r="I237" s="148">
        <f>2000+táj.2!I237</f>
        <v>2000</v>
      </c>
      <c r="J237" s="148">
        <f>0+táj.2!J237</f>
        <v>0</v>
      </c>
      <c r="K237" s="148">
        <f>0+táj.2!K237</f>
        <v>0</v>
      </c>
      <c r="L237" s="148">
        <f>0+táj.2!L237</f>
        <v>0</v>
      </c>
      <c r="M237" s="148">
        <f>0+táj.2!M237</f>
        <v>0</v>
      </c>
      <c r="N237" s="148">
        <f>0+táj.2!N237</f>
        <v>0</v>
      </c>
      <c r="O237" s="148">
        <f>0+táj.2!O237</f>
        <v>0</v>
      </c>
      <c r="P237" s="148">
        <f>0+táj.2!P237</f>
        <v>0</v>
      </c>
      <c r="Q237" s="148">
        <f t="shared" si="21"/>
        <v>2000</v>
      </c>
    </row>
    <row r="238" spans="1:17" ht="14.1" customHeight="1" x14ac:dyDescent="0.2">
      <c r="A238" s="174"/>
      <c r="B238" s="174"/>
      <c r="C238" s="194"/>
      <c r="D238" s="288" t="s">
        <v>546</v>
      </c>
      <c r="E238" s="148">
        <v>1</v>
      </c>
      <c r="F238" s="148">
        <v>151917</v>
      </c>
      <c r="G238" s="148">
        <f>0+táj.2!G238</f>
        <v>0</v>
      </c>
      <c r="H238" s="148">
        <f>0+táj.2!H238</f>
        <v>0</v>
      </c>
      <c r="I238" s="148">
        <f>5359+táj.2!I238</f>
        <v>5359</v>
      </c>
      <c r="J238" s="148">
        <f>0+táj.2!J238</f>
        <v>0</v>
      </c>
      <c r="K238" s="148">
        <f>0+táj.2!K238</f>
        <v>0</v>
      </c>
      <c r="L238" s="148">
        <f>2368+táj.2!L238</f>
        <v>2368</v>
      </c>
      <c r="M238" s="148">
        <f>0+táj.2!M238</f>
        <v>0</v>
      </c>
      <c r="N238" s="148">
        <f>0+táj.2!N238</f>
        <v>0</v>
      </c>
      <c r="O238" s="148">
        <f>0+táj.2!O238</f>
        <v>0</v>
      </c>
      <c r="P238" s="148">
        <f>0+táj.2!P238</f>
        <v>0</v>
      </c>
      <c r="Q238" s="148">
        <f t="shared" si="21"/>
        <v>7727</v>
      </c>
    </row>
    <row r="239" spans="1:17" ht="15" customHeight="1" x14ac:dyDescent="0.2">
      <c r="A239" s="174"/>
      <c r="B239" s="174"/>
      <c r="C239" s="194"/>
      <c r="D239" s="288" t="s">
        <v>547</v>
      </c>
      <c r="E239" s="148">
        <v>2</v>
      </c>
      <c r="F239" s="148">
        <v>151503</v>
      </c>
      <c r="G239" s="148">
        <f>0+táj.2!G239</f>
        <v>0</v>
      </c>
      <c r="H239" s="148">
        <f>0+táj.2!H239</f>
        <v>0</v>
      </c>
      <c r="I239" s="148">
        <f>2000+táj.2!I239</f>
        <v>2000</v>
      </c>
      <c r="J239" s="148">
        <f>0+táj.2!J239</f>
        <v>0</v>
      </c>
      <c r="K239" s="148">
        <f>0+táj.2!K239</f>
        <v>0</v>
      </c>
      <c r="L239" s="148">
        <f>0+táj.2!L239</f>
        <v>0</v>
      </c>
      <c r="M239" s="148">
        <f>0+táj.2!M239</f>
        <v>0</v>
      </c>
      <c r="N239" s="148">
        <f>0+táj.2!N239</f>
        <v>0</v>
      </c>
      <c r="O239" s="148">
        <f>0+táj.2!O239</f>
        <v>0</v>
      </c>
      <c r="P239" s="148">
        <f>0+táj.2!P239</f>
        <v>0</v>
      </c>
      <c r="Q239" s="148">
        <f t="shared" si="21"/>
        <v>2000</v>
      </c>
    </row>
    <row r="240" spans="1:17" ht="15" customHeight="1" x14ac:dyDescent="0.2">
      <c r="A240" s="174"/>
      <c r="B240" s="174"/>
      <c r="C240" s="194"/>
      <c r="D240" s="305" t="s">
        <v>548</v>
      </c>
      <c r="E240" s="148">
        <v>2</v>
      </c>
      <c r="F240" s="148">
        <v>151922</v>
      </c>
      <c r="G240" s="148">
        <f>0+táj.2!G240</f>
        <v>0</v>
      </c>
      <c r="H240" s="148">
        <f>0+táj.2!H240</f>
        <v>0</v>
      </c>
      <c r="I240" s="148">
        <f>1800+táj.2!I240</f>
        <v>1800</v>
      </c>
      <c r="J240" s="148">
        <f>0+táj.2!J240</f>
        <v>0</v>
      </c>
      <c r="K240" s="148">
        <f>0+táj.2!K240</f>
        <v>0</v>
      </c>
      <c r="L240" s="148">
        <f>0+táj.2!L240</f>
        <v>0</v>
      </c>
      <c r="M240" s="148">
        <f>0+táj.2!M240</f>
        <v>0</v>
      </c>
      <c r="N240" s="148">
        <f>0+táj.2!N240</f>
        <v>0</v>
      </c>
      <c r="O240" s="148">
        <f>0+táj.2!O240</f>
        <v>0</v>
      </c>
      <c r="P240" s="148">
        <f>0+táj.2!P240</f>
        <v>0</v>
      </c>
      <c r="Q240" s="148">
        <f t="shared" si="21"/>
        <v>1800</v>
      </c>
    </row>
    <row r="241" spans="1:17" ht="15" customHeight="1" x14ac:dyDescent="0.2">
      <c r="A241" s="174"/>
      <c r="B241" s="174"/>
      <c r="C241" s="194"/>
      <c r="D241" s="288" t="s">
        <v>549</v>
      </c>
      <c r="E241" s="148">
        <v>2</v>
      </c>
      <c r="F241" s="148">
        <v>151507</v>
      </c>
      <c r="G241" s="148">
        <f>0+táj.2!G241</f>
        <v>0</v>
      </c>
      <c r="H241" s="148">
        <f>0+táj.2!H241</f>
        <v>0</v>
      </c>
      <c r="I241" s="148">
        <f>2216+táj.2!I241</f>
        <v>4887</v>
      </c>
      <c r="J241" s="148">
        <f>0+táj.2!J241</f>
        <v>0</v>
      </c>
      <c r="K241" s="148">
        <f>0+táj.2!K241</f>
        <v>0</v>
      </c>
      <c r="L241" s="148">
        <f>0+táj.2!L241</f>
        <v>0</v>
      </c>
      <c r="M241" s="148">
        <f>0+táj.2!M241</f>
        <v>0</v>
      </c>
      <c r="N241" s="148">
        <f>0+táj.2!N241</f>
        <v>0</v>
      </c>
      <c r="O241" s="148">
        <f>0+táj.2!O241</f>
        <v>0</v>
      </c>
      <c r="P241" s="148">
        <f>0+táj.2!P241</f>
        <v>0</v>
      </c>
      <c r="Q241" s="148">
        <f t="shared" si="21"/>
        <v>4887</v>
      </c>
    </row>
    <row r="242" spans="1:17" ht="15" customHeight="1" x14ac:dyDescent="0.2">
      <c r="A242" s="174"/>
      <c r="B242" s="174"/>
      <c r="C242" s="194"/>
      <c r="D242" s="288" t="s">
        <v>550</v>
      </c>
      <c r="E242" s="148">
        <v>2</v>
      </c>
      <c r="F242" s="148">
        <v>151509</v>
      </c>
      <c r="G242" s="148">
        <f>0+táj.2!G242</f>
        <v>0</v>
      </c>
      <c r="H242" s="148">
        <f>0+táj.2!H242</f>
        <v>0</v>
      </c>
      <c r="I242" s="148">
        <f>500+táj.2!I242</f>
        <v>500</v>
      </c>
      <c r="J242" s="148">
        <f>0+táj.2!J242</f>
        <v>0</v>
      </c>
      <c r="K242" s="148">
        <f>0+táj.2!K242</f>
        <v>0</v>
      </c>
      <c r="L242" s="148">
        <f>0+táj.2!L242</f>
        <v>0</v>
      </c>
      <c r="M242" s="148">
        <f>0+táj.2!M242</f>
        <v>0</v>
      </c>
      <c r="N242" s="148">
        <f>0+táj.2!N242</f>
        <v>0</v>
      </c>
      <c r="O242" s="148">
        <f>0+táj.2!O242</f>
        <v>0</v>
      </c>
      <c r="P242" s="148">
        <f>0+táj.2!P242</f>
        <v>0</v>
      </c>
      <c r="Q242" s="148">
        <f t="shared" si="21"/>
        <v>500</v>
      </c>
    </row>
    <row r="243" spans="1:17" ht="15" customHeight="1" x14ac:dyDescent="0.2">
      <c r="A243" s="174"/>
      <c r="B243" s="174"/>
      <c r="C243" s="194"/>
      <c r="D243" s="288" t="s">
        <v>551</v>
      </c>
      <c r="E243" s="148">
        <v>1</v>
      </c>
      <c r="F243" s="148">
        <v>151510</v>
      </c>
      <c r="G243" s="148">
        <f>0+táj.2!G243</f>
        <v>0</v>
      </c>
      <c r="H243" s="148">
        <f>0+táj.2!H243</f>
        <v>0</v>
      </c>
      <c r="I243" s="148">
        <f>10775+táj.2!I243</f>
        <v>11145</v>
      </c>
      <c r="J243" s="148">
        <f>0+táj.2!J243</f>
        <v>0</v>
      </c>
      <c r="K243" s="148">
        <f>0+táj.2!K243</f>
        <v>0</v>
      </c>
      <c r="L243" s="148">
        <f>0+táj.2!L243</f>
        <v>0</v>
      </c>
      <c r="M243" s="148">
        <f>0+táj.2!M243</f>
        <v>0</v>
      </c>
      <c r="N243" s="148">
        <f>0+táj.2!N243</f>
        <v>0</v>
      </c>
      <c r="O243" s="148">
        <f>0+táj.2!O243</f>
        <v>0</v>
      </c>
      <c r="P243" s="148">
        <f>0+táj.2!P243</f>
        <v>0</v>
      </c>
      <c r="Q243" s="148">
        <f t="shared" si="21"/>
        <v>11145</v>
      </c>
    </row>
    <row r="244" spans="1:17" ht="15" customHeight="1" x14ac:dyDescent="0.2">
      <c r="A244" s="174"/>
      <c r="B244" s="174"/>
      <c r="C244" s="194"/>
      <c r="D244" s="290" t="s">
        <v>552</v>
      </c>
      <c r="E244" s="170">
        <v>1</v>
      </c>
      <c r="F244" s="148">
        <v>151520</v>
      </c>
      <c r="G244" s="148">
        <f>0+táj.2!G244</f>
        <v>0</v>
      </c>
      <c r="H244" s="148">
        <f>0+táj.2!H244</f>
        <v>0</v>
      </c>
      <c r="I244" s="148">
        <f>2500+táj.2!I244</f>
        <v>2500</v>
      </c>
      <c r="J244" s="148">
        <f>0+táj.2!J244</f>
        <v>0</v>
      </c>
      <c r="K244" s="148">
        <f>0+táj.2!K244</f>
        <v>0</v>
      </c>
      <c r="L244" s="148">
        <f>0+táj.2!L244</f>
        <v>0</v>
      </c>
      <c r="M244" s="148">
        <f>0+táj.2!M244</f>
        <v>0</v>
      </c>
      <c r="N244" s="148">
        <f>0+táj.2!N244</f>
        <v>0</v>
      </c>
      <c r="O244" s="148">
        <f>0+táj.2!O244</f>
        <v>0</v>
      </c>
      <c r="P244" s="148">
        <f>0+táj.2!P244</f>
        <v>0</v>
      </c>
      <c r="Q244" s="148">
        <f t="shared" si="21"/>
        <v>2500</v>
      </c>
    </row>
    <row r="245" spans="1:17" ht="15" customHeight="1" x14ac:dyDescent="0.2">
      <c r="A245" s="174"/>
      <c r="B245" s="174"/>
      <c r="C245" s="194"/>
      <c r="D245" s="291" t="s">
        <v>553</v>
      </c>
      <c r="E245" s="148">
        <v>1</v>
      </c>
      <c r="F245" s="148">
        <v>151521</v>
      </c>
      <c r="G245" s="148">
        <f>0+táj.2!G245</f>
        <v>0</v>
      </c>
      <c r="H245" s="148">
        <f>0+táj.2!H245</f>
        <v>0</v>
      </c>
      <c r="I245" s="148">
        <f>400+táj.2!I245</f>
        <v>206</v>
      </c>
      <c r="J245" s="148">
        <f>0+táj.2!J245</f>
        <v>0</v>
      </c>
      <c r="K245" s="148">
        <f>0+táj.2!K245</f>
        <v>0</v>
      </c>
      <c r="L245" s="148">
        <f>0+táj.2!L245</f>
        <v>0</v>
      </c>
      <c r="M245" s="148">
        <f>0+táj.2!M245</f>
        <v>194</v>
      </c>
      <c r="N245" s="148">
        <f>0+táj.2!N245</f>
        <v>0</v>
      </c>
      <c r="O245" s="148">
        <f>0+táj.2!O245</f>
        <v>0</v>
      </c>
      <c r="P245" s="148">
        <f>0+táj.2!P245</f>
        <v>0</v>
      </c>
      <c r="Q245" s="148">
        <f t="shared" si="21"/>
        <v>400</v>
      </c>
    </row>
    <row r="246" spans="1:17" ht="15" customHeight="1" x14ac:dyDescent="0.2">
      <c r="A246" s="174"/>
      <c r="B246" s="174"/>
      <c r="C246" s="194"/>
      <c r="D246" s="291" t="s">
        <v>554</v>
      </c>
      <c r="E246" s="148">
        <v>1</v>
      </c>
      <c r="F246" s="148">
        <v>151522</v>
      </c>
      <c r="G246" s="148">
        <f>0+táj.2!G246</f>
        <v>0</v>
      </c>
      <c r="H246" s="148">
        <f>0+táj.2!H246</f>
        <v>0</v>
      </c>
      <c r="I246" s="148">
        <f>1000+táj.2!I246</f>
        <v>1000</v>
      </c>
      <c r="J246" s="148">
        <f>0+táj.2!J246</f>
        <v>0</v>
      </c>
      <c r="K246" s="148">
        <f>0+táj.2!K246</f>
        <v>0</v>
      </c>
      <c r="L246" s="148">
        <f>0+táj.2!L246</f>
        <v>0</v>
      </c>
      <c r="M246" s="148">
        <f>0+táj.2!M246</f>
        <v>0</v>
      </c>
      <c r="N246" s="148">
        <f>0+táj.2!N246</f>
        <v>0</v>
      </c>
      <c r="O246" s="148">
        <f>0+táj.2!O246</f>
        <v>0</v>
      </c>
      <c r="P246" s="148">
        <f>0+táj.2!P246</f>
        <v>0</v>
      </c>
      <c r="Q246" s="148">
        <f t="shared" si="21"/>
        <v>1000</v>
      </c>
    </row>
    <row r="247" spans="1:17" ht="15" customHeight="1" x14ac:dyDescent="0.2">
      <c r="A247" s="174"/>
      <c r="B247" s="174"/>
      <c r="C247" s="194"/>
      <c r="D247" s="288" t="s">
        <v>555</v>
      </c>
      <c r="E247" s="148">
        <v>1</v>
      </c>
      <c r="F247" s="148">
        <v>151512</v>
      </c>
      <c r="G247" s="148">
        <f>0+táj.2!G247</f>
        <v>0</v>
      </c>
      <c r="H247" s="148">
        <f>0+táj.2!H247</f>
        <v>0</v>
      </c>
      <c r="I247" s="148">
        <f>1165+táj.2!I247</f>
        <v>1165</v>
      </c>
      <c r="J247" s="148">
        <f>0+táj.2!J247</f>
        <v>0</v>
      </c>
      <c r="K247" s="148">
        <f>0+táj.2!K247</f>
        <v>0</v>
      </c>
      <c r="L247" s="148">
        <f>0+táj.2!L247</f>
        <v>0</v>
      </c>
      <c r="M247" s="148">
        <f>0+táj.2!M247</f>
        <v>0</v>
      </c>
      <c r="N247" s="148">
        <f>0+táj.2!N247</f>
        <v>0</v>
      </c>
      <c r="O247" s="148">
        <f>0+táj.2!O247</f>
        <v>0</v>
      </c>
      <c r="P247" s="148">
        <f>0+táj.2!P247</f>
        <v>0</v>
      </c>
      <c r="Q247" s="148">
        <f t="shared" si="21"/>
        <v>1165</v>
      </c>
    </row>
    <row r="248" spans="1:17" ht="15" customHeight="1" x14ac:dyDescent="0.2">
      <c r="A248" s="174"/>
      <c r="B248" s="174"/>
      <c r="C248" s="194"/>
      <c r="D248" s="291" t="s">
        <v>556</v>
      </c>
      <c r="E248" s="148">
        <v>1</v>
      </c>
      <c r="F248" s="148">
        <v>151519</v>
      </c>
      <c r="G248" s="148">
        <f>0+táj.2!G248</f>
        <v>0</v>
      </c>
      <c r="H248" s="148">
        <f>0+táj.2!H248</f>
        <v>0</v>
      </c>
      <c r="I248" s="148">
        <f>500+táj.2!I248</f>
        <v>500</v>
      </c>
      <c r="J248" s="148">
        <f>0+táj.2!J248</f>
        <v>0</v>
      </c>
      <c r="K248" s="148">
        <f>0+táj.2!K248</f>
        <v>0</v>
      </c>
      <c r="L248" s="148">
        <f>0+táj.2!L248</f>
        <v>0</v>
      </c>
      <c r="M248" s="148">
        <f>0+táj.2!M248</f>
        <v>0</v>
      </c>
      <c r="N248" s="148">
        <f>0+táj.2!N248</f>
        <v>0</v>
      </c>
      <c r="O248" s="148">
        <f>0+táj.2!O248</f>
        <v>0</v>
      </c>
      <c r="P248" s="148">
        <f>0+táj.2!P248</f>
        <v>0</v>
      </c>
      <c r="Q248" s="148">
        <f t="shared" si="21"/>
        <v>500</v>
      </c>
    </row>
    <row r="249" spans="1:17" ht="15" customHeight="1" x14ac:dyDescent="0.2">
      <c r="A249" s="174"/>
      <c r="B249" s="174"/>
      <c r="C249" s="194"/>
      <c r="D249" s="288" t="s">
        <v>557</v>
      </c>
      <c r="E249" s="148">
        <v>2</v>
      </c>
      <c r="F249" s="148">
        <v>151511</v>
      </c>
      <c r="G249" s="148">
        <f>0+táj.2!G249</f>
        <v>0</v>
      </c>
      <c r="H249" s="148">
        <f>0+táj.2!H249</f>
        <v>0</v>
      </c>
      <c r="I249" s="148">
        <f>4000+táj.2!I249</f>
        <v>4000</v>
      </c>
      <c r="J249" s="148">
        <f>0+táj.2!J249</f>
        <v>0</v>
      </c>
      <c r="K249" s="148">
        <f>0+táj.2!K249</f>
        <v>0</v>
      </c>
      <c r="L249" s="148">
        <f>0+táj.2!L249</f>
        <v>0</v>
      </c>
      <c r="M249" s="148">
        <f>0+táj.2!M249</f>
        <v>0</v>
      </c>
      <c r="N249" s="148">
        <f>0+táj.2!N249</f>
        <v>0</v>
      </c>
      <c r="O249" s="148">
        <f>0+táj.2!O249</f>
        <v>0</v>
      </c>
      <c r="P249" s="148">
        <f>0+táj.2!P249</f>
        <v>0</v>
      </c>
      <c r="Q249" s="148">
        <f t="shared" si="21"/>
        <v>4000</v>
      </c>
    </row>
    <row r="250" spans="1:17" ht="15" customHeight="1" x14ac:dyDescent="0.2">
      <c r="A250" s="174"/>
      <c r="B250" s="174"/>
      <c r="C250" s="194"/>
      <c r="D250" s="288" t="s">
        <v>558</v>
      </c>
      <c r="E250" s="153">
        <v>2</v>
      </c>
      <c r="F250" s="148">
        <v>151514</v>
      </c>
      <c r="G250" s="148">
        <f>0+táj.2!G250</f>
        <v>0</v>
      </c>
      <c r="H250" s="148">
        <f>0+táj.2!H250</f>
        <v>0</v>
      </c>
      <c r="I250" s="148">
        <f>3000+táj.2!I250</f>
        <v>3000</v>
      </c>
      <c r="J250" s="148">
        <f>0+táj.2!J250</f>
        <v>0</v>
      </c>
      <c r="K250" s="148">
        <f>0+táj.2!K250</f>
        <v>0</v>
      </c>
      <c r="L250" s="148">
        <f>0+táj.2!L250</f>
        <v>0</v>
      </c>
      <c r="M250" s="148">
        <f>0+táj.2!M250</f>
        <v>0</v>
      </c>
      <c r="N250" s="148">
        <f>0+táj.2!N250</f>
        <v>0</v>
      </c>
      <c r="O250" s="148">
        <f>0+táj.2!O250</f>
        <v>0</v>
      </c>
      <c r="P250" s="148">
        <f>0+táj.2!P250</f>
        <v>0</v>
      </c>
      <c r="Q250" s="148">
        <f t="shared" si="21"/>
        <v>3000</v>
      </c>
    </row>
    <row r="251" spans="1:17" ht="15" customHeight="1" x14ac:dyDescent="0.2">
      <c r="A251" s="174"/>
      <c r="B251" s="174"/>
      <c r="C251" s="194"/>
      <c r="D251" s="288" t="s">
        <v>559</v>
      </c>
      <c r="E251" s="153">
        <v>2</v>
      </c>
      <c r="F251" s="148">
        <v>151515</v>
      </c>
      <c r="G251" s="148">
        <f>0+táj.2!G251</f>
        <v>0</v>
      </c>
      <c r="H251" s="148">
        <f>0+táj.2!H251</f>
        <v>0</v>
      </c>
      <c r="I251" s="148">
        <f>800+táj.2!I251</f>
        <v>800</v>
      </c>
      <c r="J251" s="148">
        <f>0+táj.2!J251</f>
        <v>0</v>
      </c>
      <c r="K251" s="148">
        <f>0+táj.2!K251</f>
        <v>0</v>
      </c>
      <c r="L251" s="148">
        <f>0+táj.2!L251</f>
        <v>0</v>
      </c>
      <c r="M251" s="148">
        <f>0+táj.2!M251</f>
        <v>0</v>
      </c>
      <c r="N251" s="148">
        <f>0+táj.2!N251</f>
        <v>0</v>
      </c>
      <c r="O251" s="148">
        <f>0+táj.2!O251</f>
        <v>0</v>
      </c>
      <c r="P251" s="148">
        <f>0+táj.2!P251</f>
        <v>0</v>
      </c>
      <c r="Q251" s="148">
        <f t="shared" si="21"/>
        <v>800</v>
      </c>
    </row>
    <row r="252" spans="1:17" ht="15" customHeight="1" x14ac:dyDescent="0.2">
      <c r="A252" s="174"/>
      <c r="B252" s="174"/>
      <c r="C252" s="194"/>
      <c r="D252" s="288" t="s">
        <v>560</v>
      </c>
      <c r="E252" s="153">
        <v>1</v>
      </c>
      <c r="F252" s="148">
        <v>151513</v>
      </c>
      <c r="G252" s="148">
        <f>0+táj.2!G252</f>
        <v>0</v>
      </c>
      <c r="H252" s="148">
        <f>0+táj.2!H252</f>
        <v>0</v>
      </c>
      <c r="I252" s="148">
        <f>10000+táj.2!I252</f>
        <v>10000</v>
      </c>
      <c r="J252" s="148">
        <f>0+táj.2!J252</f>
        <v>0</v>
      </c>
      <c r="K252" s="148">
        <f>0+táj.2!K252</f>
        <v>0</v>
      </c>
      <c r="L252" s="148">
        <f>0+táj.2!L252</f>
        <v>0</v>
      </c>
      <c r="M252" s="148">
        <f>0+táj.2!M252</f>
        <v>0</v>
      </c>
      <c r="N252" s="148">
        <f>0+táj.2!N252</f>
        <v>0</v>
      </c>
      <c r="O252" s="148">
        <f>0+táj.2!O252</f>
        <v>0</v>
      </c>
      <c r="P252" s="148">
        <f>0+táj.2!P252</f>
        <v>0</v>
      </c>
      <c r="Q252" s="148">
        <f t="shared" si="21"/>
        <v>10000</v>
      </c>
    </row>
    <row r="253" spans="1:17" ht="15" customHeight="1" x14ac:dyDescent="0.2">
      <c r="A253" s="174"/>
      <c r="B253" s="174"/>
      <c r="C253" s="194"/>
      <c r="D253" s="288" t="s">
        <v>561</v>
      </c>
      <c r="E253" s="153">
        <v>2</v>
      </c>
      <c r="F253" s="148">
        <v>151918</v>
      </c>
      <c r="G253" s="148">
        <f>0+táj.2!G253</f>
        <v>0</v>
      </c>
      <c r="H253" s="148">
        <f>0+táj.2!H253</f>
        <v>0</v>
      </c>
      <c r="I253" s="148">
        <f>1000+táj.2!I253</f>
        <v>1000</v>
      </c>
      <c r="J253" s="148">
        <f>0+táj.2!J253</f>
        <v>0</v>
      </c>
      <c r="K253" s="148">
        <f>0+táj.2!K253</f>
        <v>0</v>
      </c>
      <c r="L253" s="148">
        <f>0+táj.2!L253</f>
        <v>0</v>
      </c>
      <c r="M253" s="148">
        <f>0+táj.2!M253</f>
        <v>0</v>
      </c>
      <c r="N253" s="148">
        <f>0+táj.2!N253</f>
        <v>0</v>
      </c>
      <c r="O253" s="148">
        <f>0+táj.2!O253</f>
        <v>0</v>
      </c>
      <c r="P253" s="148">
        <f>0+táj.2!P253</f>
        <v>0</v>
      </c>
      <c r="Q253" s="148">
        <f t="shared" si="21"/>
        <v>1000</v>
      </c>
    </row>
    <row r="254" spans="1:17" ht="15" customHeight="1" x14ac:dyDescent="0.2">
      <c r="A254" s="174"/>
      <c r="B254" s="174"/>
      <c r="C254" s="194"/>
      <c r="D254" s="288" t="s">
        <v>562</v>
      </c>
      <c r="E254" s="153">
        <v>2</v>
      </c>
      <c r="F254" s="148">
        <v>151923</v>
      </c>
      <c r="G254" s="148">
        <f>0+táj.2!G254</f>
        <v>0</v>
      </c>
      <c r="H254" s="148">
        <f>0+táj.2!H254</f>
        <v>0</v>
      </c>
      <c r="I254" s="148">
        <f>1000+táj.2!I254</f>
        <v>1000</v>
      </c>
      <c r="J254" s="148">
        <f>0+táj.2!J254</f>
        <v>0</v>
      </c>
      <c r="K254" s="148">
        <f>0+táj.2!K254</f>
        <v>0</v>
      </c>
      <c r="L254" s="148">
        <f>0+táj.2!L254</f>
        <v>0</v>
      </c>
      <c r="M254" s="148">
        <f>0+táj.2!M254</f>
        <v>0</v>
      </c>
      <c r="N254" s="148">
        <f>0+táj.2!N254</f>
        <v>0</v>
      </c>
      <c r="O254" s="148">
        <f>0+táj.2!O254</f>
        <v>0</v>
      </c>
      <c r="P254" s="148">
        <f>0+táj.2!P254</f>
        <v>0</v>
      </c>
      <c r="Q254" s="148">
        <f t="shared" si="21"/>
        <v>1000</v>
      </c>
    </row>
    <row r="255" spans="1:17" ht="13.5" customHeight="1" x14ac:dyDescent="0.2">
      <c r="A255" s="174"/>
      <c r="B255" s="174"/>
      <c r="C255" s="194"/>
      <c r="D255" s="149" t="s">
        <v>1138</v>
      </c>
      <c r="E255" s="153">
        <v>2</v>
      </c>
      <c r="F255" s="148">
        <v>151524</v>
      </c>
      <c r="G255" s="148">
        <f>0+táj.2!G255</f>
        <v>0</v>
      </c>
      <c r="H255" s="148">
        <f>0+táj.2!H255</f>
        <v>0</v>
      </c>
      <c r="I255" s="148">
        <f>14000+táj.2!I255</f>
        <v>14000</v>
      </c>
      <c r="J255" s="148">
        <f>0+táj.2!J255</f>
        <v>0</v>
      </c>
      <c r="K255" s="148">
        <f>0+táj.2!K255</f>
        <v>0</v>
      </c>
      <c r="L255" s="148">
        <f>0+táj.2!L255</f>
        <v>0</v>
      </c>
      <c r="M255" s="148">
        <f>0+táj.2!M255</f>
        <v>0</v>
      </c>
      <c r="N255" s="148">
        <f>0+táj.2!N255</f>
        <v>0</v>
      </c>
      <c r="O255" s="148">
        <f>0+táj.2!O255</f>
        <v>0</v>
      </c>
      <c r="P255" s="148">
        <f>0+táj.2!P255</f>
        <v>0</v>
      </c>
      <c r="Q255" s="148">
        <f t="shared" si="21"/>
        <v>14000</v>
      </c>
    </row>
    <row r="256" spans="1:17" ht="15" customHeight="1" x14ac:dyDescent="0.2">
      <c r="A256" s="174"/>
      <c r="B256" s="174"/>
      <c r="C256" s="194"/>
      <c r="D256" s="277" t="s">
        <v>563</v>
      </c>
      <c r="E256" s="185"/>
      <c r="F256" s="185"/>
      <c r="G256" s="148"/>
      <c r="H256" s="148"/>
      <c r="I256" s="148"/>
      <c r="J256" s="148"/>
      <c r="K256" s="148"/>
      <c r="L256" s="148"/>
      <c r="M256" s="148"/>
      <c r="N256" s="148"/>
      <c r="O256" s="148"/>
      <c r="P256" s="148"/>
      <c r="Q256" s="148"/>
    </row>
    <row r="257" spans="1:17" ht="15" customHeight="1" x14ac:dyDescent="0.2">
      <c r="A257" s="174"/>
      <c r="B257" s="174"/>
      <c r="C257" s="194"/>
      <c r="D257" s="277" t="s">
        <v>564</v>
      </c>
      <c r="E257" s="148">
        <v>1</v>
      </c>
      <c r="F257" s="148">
        <v>151401</v>
      </c>
      <c r="G257" s="148">
        <f>0+táj.2!G257</f>
        <v>0</v>
      </c>
      <c r="H257" s="148">
        <f>0+táj.2!H257</f>
        <v>0</v>
      </c>
      <c r="I257" s="148">
        <f>191946+táj.2!I257</f>
        <v>185806</v>
      </c>
      <c r="J257" s="148">
        <f>0+táj.2!J257</f>
        <v>0</v>
      </c>
      <c r="K257" s="148">
        <f>0+táj.2!K257</f>
        <v>0</v>
      </c>
      <c r="L257" s="148">
        <f>0+táj.2!L257</f>
        <v>0</v>
      </c>
      <c r="M257" s="148">
        <f>0+táj.2!M257</f>
        <v>0</v>
      </c>
      <c r="N257" s="148">
        <f>0+táj.2!N257</f>
        <v>0</v>
      </c>
      <c r="O257" s="148">
        <f>0+táj.2!O257</f>
        <v>0</v>
      </c>
      <c r="P257" s="148">
        <f>0+táj.2!P257</f>
        <v>0</v>
      </c>
      <c r="Q257" s="148">
        <f t="shared" ref="Q257:Q271" si="22">SUM(G257:P257)</f>
        <v>185806</v>
      </c>
    </row>
    <row r="258" spans="1:17" ht="15" customHeight="1" x14ac:dyDescent="0.2">
      <c r="A258" s="174"/>
      <c r="B258" s="174"/>
      <c r="C258" s="194"/>
      <c r="D258" s="277" t="s">
        <v>565</v>
      </c>
      <c r="E258" s="185">
        <v>1</v>
      </c>
      <c r="F258" s="148">
        <v>151402</v>
      </c>
      <c r="G258" s="148">
        <f>0+táj.2!G258</f>
        <v>0</v>
      </c>
      <c r="H258" s="148">
        <f>0+táj.2!H258</f>
        <v>0</v>
      </c>
      <c r="I258" s="148">
        <f>59429+táj.2!I258</f>
        <v>56137</v>
      </c>
      <c r="J258" s="148">
        <f>0+táj.2!J258</f>
        <v>0</v>
      </c>
      <c r="K258" s="148">
        <f>7493+táj.2!K258</f>
        <v>7493</v>
      </c>
      <c r="L258" s="148">
        <f>0+táj.2!L258</f>
        <v>747</v>
      </c>
      <c r="M258" s="148">
        <f>0+táj.2!M258</f>
        <v>0</v>
      </c>
      <c r="N258" s="148">
        <f>0+táj.2!N258</f>
        <v>0</v>
      </c>
      <c r="O258" s="148">
        <f>0+táj.2!O258</f>
        <v>0</v>
      </c>
      <c r="P258" s="148">
        <f>0+táj.2!P258</f>
        <v>0</v>
      </c>
      <c r="Q258" s="148">
        <f t="shared" si="22"/>
        <v>64377</v>
      </c>
    </row>
    <row r="259" spans="1:17" ht="15" customHeight="1" x14ac:dyDescent="0.2">
      <c r="A259" s="578"/>
      <c r="B259" s="578"/>
      <c r="C259" s="579"/>
      <c r="D259" s="694" t="s">
        <v>1139</v>
      </c>
      <c r="E259" s="596">
        <v>1</v>
      </c>
      <c r="F259" s="582">
        <v>151421</v>
      </c>
      <c r="G259" s="148">
        <f>0+táj.2!G259</f>
        <v>0</v>
      </c>
      <c r="H259" s="148">
        <f>0+táj.2!H259</f>
        <v>0</v>
      </c>
      <c r="I259" s="148">
        <f>500+táj.2!I259</f>
        <v>500</v>
      </c>
      <c r="J259" s="148">
        <f>0+táj.2!J259</f>
        <v>0</v>
      </c>
      <c r="K259" s="148">
        <f>0+táj.2!K259</f>
        <v>0</v>
      </c>
      <c r="L259" s="148">
        <f>0+táj.2!L259</f>
        <v>0</v>
      </c>
      <c r="M259" s="148">
        <f>0+táj.2!M259</f>
        <v>0</v>
      </c>
      <c r="N259" s="148">
        <f>0+táj.2!N259</f>
        <v>0</v>
      </c>
      <c r="O259" s="148">
        <f>0+táj.2!O259</f>
        <v>0</v>
      </c>
      <c r="P259" s="148">
        <f>0+táj.2!P259</f>
        <v>0</v>
      </c>
      <c r="Q259" s="148">
        <f t="shared" si="22"/>
        <v>500</v>
      </c>
    </row>
    <row r="260" spans="1:17" ht="15" customHeight="1" x14ac:dyDescent="0.2">
      <c r="A260" s="174"/>
      <c r="B260" s="174"/>
      <c r="C260" s="194"/>
      <c r="D260" s="277" t="s">
        <v>566</v>
      </c>
      <c r="E260" s="185">
        <v>1</v>
      </c>
      <c r="F260" s="148">
        <v>151411</v>
      </c>
      <c r="G260" s="148">
        <f>0+táj.2!G260</f>
        <v>0</v>
      </c>
      <c r="H260" s="148">
        <f>0+táj.2!H260</f>
        <v>0</v>
      </c>
      <c r="I260" s="148">
        <f>5000+táj.2!I260</f>
        <v>3500</v>
      </c>
      <c r="J260" s="148">
        <f>0+táj.2!J260</f>
        <v>0</v>
      </c>
      <c r="K260" s="148">
        <f>0+táj.2!K260</f>
        <v>0</v>
      </c>
      <c r="L260" s="148">
        <f>0+táj.2!L260</f>
        <v>0</v>
      </c>
      <c r="M260" s="148">
        <f>0+táj.2!M260</f>
        <v>0</v>
      </c>
      <c r="N260" s="148">
        <f>0+táj.2!N260</f>
        <v>0</v>
      </c>
      <c r="O260" s="148">
        <f>0+táj.2!O260</f>
        <v>0</v>
      </c>
      <c r="P260" s="148">
        <f>0+táj.2!P260</f>
        <v>0</v>
      </c>
      <c r="Q260" s="148">
        <f t="shared" si="22"/>
        <v>3500</v>
      </c>
    </row>
    <row r="261" spans="1:17" ht="15" customHeight="1" x14ac:dyDescent="0.2">
      <c r="A261" s="174"/>
      <c r="B261" s="174"/>
      <c r="C261" s="194"/>
      <c r="D261" s="277" t="s">
        <v>567</v>
      </c>
      <c r="E261" s="185">
        <v>1</v>
      </c>
      <c r="F261" s="148">
        <v>151412</v>
      </c>
      <c r="G261" s="148">
        <f>0+táj.2!G261</f>
        <v>0</v>
      </c>
      <c r="H261" s="148">
        <f>0+táj.2!H261</f>
        <v>0</v>
      </c>
      <c r="I261" s="148">
        <f>1500+táj.2!I261</f>
        <v>1500</v>
      </c>
      <c r="J261" s="148">
        <f>0+táj.2!J261</f>
        <v>0</v>
      </c>
      <c r="K261" s="148">
        <f>0+táj.2!K261</f>
        <v>0</v>
      </c>
      <c r="L261" s="148">
        <f>0+táj.2!L261</f>
        <v>0</v>
      </c>
      <c r="M261" s="148">
        <f>0+táj.2!M261</f>
        <v>0</v>
      </c>
      <c r="N261" s="148">
        <f>0+táj.2!N261</f>
        <v>0</v>
      </c>
      <c r="O261" s="148">
        <f>0+táj.2!O261</f>
        <v>0</v>
      </c>
      <c r="P261" s="148">
        <f>0+táj.2!P261</f>
        <v>0</v>
      </c>
      <c r="Q261" s="148">
        <f t="shared" si="22"/>
        <v>1500</v>
      </c>
    </row>
    <row r="262" spans="1:17" ht="15" customHeight="1" x14ac:dyDescent="0.2">
      <c r="A262" s="174"/>
      <c r="B262" s="174"/>
      <c r="C262" s="194"/>
      <c r="D262" s="277" t="s">
        <v>1339</v>
      </c>
      <c r="E262" s="185">
        <v>1</v>
      </c>
      <c r="F262" s="148">
        <v>151413</v>
      </c>
      <c r="G262" s="148">
        <f>0+táj.2!G262</f>
        <v>0</v>
      </c>
      <c r="H262" s="148">
        <f>0+táj.2!H262</f>
        <v>0</v>
      </c>
      <c r="I262" s="148">
        <f>7000+táj.2!I262</f>
        <v>0</v>
      </c>
      <c r="J262" s="148">
        <f>0+táj.2!J262</f>
        <v>0</v>
      </c>
      <c r="K262" s="148">
        <f>0+táj.2!K262</f>
        <v>0</v>
      </c>
      <c r="L262" s="148">
        <f>0+táj.2!L262</f>
        <v>0</v>
      </c>
      <c r="M262" s="148">
        <f>0+táj.2!M262</f>
        <v>0</v>
      </c>
      <c r="N262" s="148">
        <f>0+táj.2!N262</f>
        <v>0</v>
      </c>
      <c r="O262" s="148">
        <f>0+táj.2!O262</f>
        <v>0</v>
      </c>
      <c r="P262" s="148">
        <f>0+táj.2!P262</f>
        <v>0</v>
      </c>
      <c r="Q262" s="148">
        <f t="shared" si="22"/>
        <v>0</v>
      </c>
    </row>
    <row r="263" spans="1:17" ht="15" customHeight="1" x14ac:dyDescent="0.2">
      <c r="A263" s="174"/>
      <c r="B263" s="174"/>
      <c r="C263" s="194"/>
      <c r="D263" s="277" t="s">
        <v>568</v>
      </c>
      <c r="E263" s="185">
        <v>2</v>
      </c>
      <c r="F263" s="148">
        <v>151414</v>
      </c>
      <c r="G263" s="148">
        <f>0+táj.2!G263</f>
        <v>0</v>
      </c>
      <c r="H263" s="148">
        <f>0+táj.2!H263</f>
        <v>0</v>
      </c>
      <c r="I263" s="148">
        <f>2500+táj.2!I263</f>
        <v>2500</v>
      </c>
      <c r="J263" s="148">
        <f>0+táj.2!J263</f>
        <v>0</v>
      </c>
      <c r="K263" s="148">
        <f>0+táj.2!K263</f>
        <v>0</v>
      </c>
      <c r="L263" s="148">
        <f>0+táj.2!L263</f>
        <v>0</v>
      </c>
      <c r="M263" s="148">
        <f>0+táj.2!M263</f>
        <v>0</v>
      </c>
      <c r="N263" s="148">
        <f>0+táj.2!N263</f>
        <v>0</v>
      </c>
      <c r="O263" s="148">
        <f>0+táj.2!O263</f>
        <v>0</v>
      </c>
      <c r="P263" s="148">
        <f>0+táj.2!P263</f>
        <v>0</v>
      </c>
      <c r="Q263" s="148">
        <f t="shared" si="22"/>
        <v>2500</v>
      </c>
    </row>
    <row r="264" spans="1:17" ht="15" customHeight="1" x14ac:dyDescent="0.2">
      <c r="A264" s="174"/>
      <c r="B264" s="174"/>
      <c r="C264" s="194"/>
      <c r="D264" s="277" t="s">
        <v>569</v>
      </c>
      <c r="E264" s="185">
        <v>2</v>
      </c>
      <c r="F264" s="148">
        <v>151415</v>
      </c>
      <c r="G264" s="148">
        <f>0+táj.2!G264</f>
        <v>0</v>
      </c>
      <c r="H264" s="148">
        <f>0+táj.2!H264</f>
        <v>0</v>
      </c>
      <c r="I264" s="148">
        <f>2000+táj.2!I264</f>
        <v>2000</v>
      </c>
      <c r="J264" s="148">
        <f>0+táj.2!J264</f>
        <v>0</v>
      </c>
      <c r="K264" s="148">
        <f>0+táj.2!K264</f>
        <v>0</v>
      </c>
      <c r="L264" s="148">
        <f>0+táj.2!L264</f>
        <v>0</v>
      </c>
      <c r="M264" s="148">
        <f>0+táj.2!M264</f>
        <v>0</v>
      </c>
      <c r="N264" s="148">
        <f>0+táj.2!N264</f>
        <v>0</v>
      </c>
      <c r="O264" s="148">
        <f>0+táj.2!O264</f>
        <v>0</v>
      </c>
      <c r="P264" s="148">
        <f>0+táj.2!P264</f>
        <v>0</v>
      </c>
      <c r="Q264" s="148">
        <f t="shared" si="22"/>
        <v>2000</v>
      </c>
    </row>
    <row r="265" spans="1:17" ht="15" customHeight="1" x14ac:dyDescent="0.2">
      <c r="A265" s="174"/>
      <c r="B265" s="174"/>
      <c r="C265" s="194"/>
      <c r="D265" s="277" t="s">
        <v>570</v>
      </c>
      <c r="E265" s="185">
        <v>1</v>
      </c>
      <c r="F265" s="148">
        <v>151416</v>
      </c>
      <c r="G265" s="148">
        <f>0+táj.2!G265</f>
        <v>0</v>
      </c>
      <c r="H265" s="148">
        <f>0+táj.2!H265</f>
        <v>0</v>
      </c>
      <c r="I265" s="148">
        <f>2000+táj.2!I265</f>
        <v>2000</v>
      </c>
      <c r="J265" s="148">
        <f>0+táj.2!J265</f>
        <v>0</v>
      </c>
      <c r="K265" s="148">
        <f>0+táj.2!K265</f>
        <v>0</v>
      </c>
      <c r="L265" s="148">
        <f>0+táj.2!L265</f>
        <v>0</v>
      </c>
      <c r="M265" s="148">
        <f>0+táj.2!M265</f>
        <v>0</v>
      </c>
      <c r="N265" s="148">
        <f>0+táj.2!N265</f>
        <v>0</v>
      </c>
      <c r="O265" s="148">
        <f>0+táj.2!O265</f>
        <v>0</v>
      </c>
      <c r="P265" s="148">
        <f>0+táj.2!P265</f>
        <v>0</v>
      </c>
      <c r="Q265" s="148">
        <f t="shared" si="22"/>
        <v>2000</v>
      </c>
    </row>
    <row r="266" spans="1:17" ht="15" customHeight="1" x14ac:dyDescent="0.2">
      <c r="A266" s="174"/>
      <c r="B266" s="174"/>
      <c r="C266" s="194"/>
      <c r="D266" s="277" t="s">
        <v>571</v>
      </c>
      <c r="E266" s="185">
        <v>1</v>
      </c>
      <c r="F266" s="148">
        <v>151417</v>
      </c>
      <c r="G266" s="148">
        <f>0+táj.2!G266</f>
        <v>0</v>
      </c>
      <c r="H266" s="148">
        <f>0+táj.2!H266</f>
        <v>0</v>
      </c>
      <c r="I266" s="148">
        <f>1388+táj.2!I266</f>
        <v>1388</v>
      </c>
      <c r="J266" s="148">
        <f>0+táj.2!J266</f>
        <v>0</v>
      </c>
      <c r="K266" s="148">
        <f>0+táj.2!K266</f>
        <v>0</v>
      </c>
      <c r="L266" s="148">
        <f>0+táj.2!L266</f>
        <v>0</v>
      </c>
      <c r="M266" s="148">
        <f>0+táj.2!M266</f>
        <v>0</v>
      </c>
      <c r="N266" s="148">
        <f>0+táj.2!N266</f>
        <v>0</v>
      </c>
      <c r="O266" s="148">
        <f>0+táj.2!O266</f>
        <v>0</v>
      </c>
      <c r="P266" s="148">
        <f>0+táj.2!P266</f>
        <v>0</v>
      </c>
      <c r="Q266" s="148">
        <f t="shared" si="22"/>
        <v>1388</v>
      </c>
    </row>
    <row r="267" spans="1:17" ht="15" customHeight="1" x14ac:dyDescent="0.2">
      <c r="A267" s="174"/>
      <c r="B267" s="174"/>
      <c r="C267" s="194"/>
      <c r="D267" s="277" t="s">
        <v>572</v>
      </c>
      <c r="E267" s="185">
        <v>2</v>
      </c>
      <c r="F267" s="148">
        <v>151407</v>
      </c>
      <c r="G267" s="148">
        <f>0+táj.2!G267</f>
        <v>0</v>
      </c>
      <c r="H267" s="148">
        <f>0+táj.2!H267</f>
        <v>0</v>
      </c>
      <c r="I267" s="148">
        <f>2486+táj.2!I267</f>
        <v>5031</v>
      </c>
      <c r="J267" s="148">
        <f>0+táj.2!J267</f>
        <v>0</v>
      </c>
      <c r="K267" s="148">
        <f>0+táj.2!K267</f>
        <v>0</v>
      </c>
      <c r="L267" s="148">
        <f>0+táj.2!L267</f>
        <v>0</v>
      </c>
      <c r="M267" s="148">
        <f>0+táj.2!M267</f>
        <v>0</v>
      </c>
      <c r="N267" s="148">
        <f>0+táj.2!N267</f>
        <v>0</v>
      </c>
      <c r="O267" s="148">
        <f>0+táj.2!O267</f>
        <v>0</v>
      </c>
      <c r="P267" s="148">
        <f>0+táj.2!P267</f>
        <v>0</v>
      </c>
      <c r="Q267" s="148">
        <f t="shared" si="22"/>
        <v>5031</v>
      </c>
    </row>
    <row r="268" spans="1:17" ht="15" customHeight="1" x14ac:dyDescent="0.2">
      <c r="A268" s="174"/>
      <c r="B268" s="174"/>
      <c r="C268" s="194"/>
      <c r="D268" s="277" t="s">
        <v>573</v>
      </c>
      <c r="E268" s="185">
        <v>1</v>
      </c>
      <c r="F268" s="148">
        <v>151403</v>
      </c>
      <c r="G268" s="148">
        <f>0+táj.2!G268</f>
        <v>0</v>
      </c>
      <c r="H268" s="148">
        <f>0+táj.2!H268</f>
        <v>0</v>
      </c>
      <c r="I268" s="148">
        <f>1000+táj.2!I268</f>
        <v>1000</v>
      </c>
      <c r="J268" s="148">
        <f>0+táj.2!J268</f>
        <v>0</v>
      </c>
      <c r="K268" s="148">
        <f>0+táj.2!K268</f>
        <v>0</v>
      </c>
      <c r="L268" s="148">
        <f>0+táj.2!L268</f>
        <v>0</v>
      </c>
      <c r="M268" s="148">
        <f>0+táj.2!M268</f>
        <v>0</v>
      </c>
      <c r="N268" s="148">
        <f>0+táj.2!N268</f>
        <v>0</v>
      </c>
      <c r="O268" s="148">
        <f>0+táj.2!O268</f>
        <v>0</v>
      </c>
      <c r="P268" s="148">
        <f>0+táj.2!P268</f>
        <v>0</v>
      </c>
      <c r="Q268" s="148">
        <f t="shared" si="22"/>
        <v>1000</v>
      </c>
    </row>
    <row r="269" spans="1:17" ht="15" customHeight="1" x14ac:dyDescent="0.2">
      <c r="A269" s="174"/>
      <c r="B269" s="174"/>
      <c r="C269" s="194"/>
      <c r="D269" s="277" t="s">
        <v>574</v>
      </c>
      <c r="E269" s="185">
        <v>2</v>
      </c>
      <c r="F269" s="185">
        <v>151404</v>
      </c>
      <c r="G269" s="148">
        <f>0+táj.2!G269</f>
        <v>0</v>
      </c>
      <c r="H269" s="148">
        <f>0+táj.2!H269</f>
        <v>0</v>
      </c>
      <c r="I269" s="148">
        <f>5439+táj.2!I269</f>
        <v>5439</v>
      </c>
      <c r="J269" s="148">
        <f>0+táj.2!J269</f>
        <v>0</v>
      </c>
      <c r="K269" s="148">
        <f>0+táj.2!K269</f>
        <v>0</v>
      </c>
      <c r="L269" s="148">
        <f>0+táj.2!L269</f>
        <v>0</v>
      </c>
      <c r="M269" s="148">
        <f>0+táj.2!M269</f>
        <v>0</v>
      </c>
      <c r="N269" s="148">
        <f>0+táj.2!N269</f>
        <v>0</v>
      </c>
      <c r="O269" s="148">
        <f>0+táj.2!O269</f>
        <v>0</v>
      </c>
      <c r="P269" s="148">
        <f>0+táj.2!P269</f>
        <v>0</v>
      </c>
      <c r="Q269" s="148">
        <f t="shared" si="22"/>
        <v>5439</v>
      </c>
    </row>
    <row r="270" spans="1:17" ht="15" customHeight="1" x14ac:dyDescent="0.2">
      <c r="A270" s="174"/>
      <c r="B270" s="174"/>
      <c r="C270" s="194"/>
      <c r="D270" s="291" t="s">
        <v>575</v>
      </c>
      <c r="E270" s="185">
        <v>2</v>
      </c>
      <c r="F270" s="185">
        <v>151408</v>
      </c>
      <c r="G270" s="148">
        <f>0+táj.2!G270</f>
        <v>0</v>
      </c>
      <c r="H270" s="148">
        <f>0+táj.2!H270</f>
        <v>0</v>
      </c>
      <c r="I270" s="148">
        <f>1000+táj.2!I270</f>
        <v>0</v>
      </c>
      <c r="J270" s="148">
        <f>0+táj.2!J270</f>
        <v>0</v>
      </c>
      <c r="K270" s="148">
        <f>0+táj.2!K270</f>
        <v>0</v>
      </c>
      <c r="L270" s="148">
        <f>0+táj.2!L270</f>
        <v>0</v>
      </c>
      <c r="M270" s="148">
        <f>0+táj.2!M270</f>
        <v>0</v>
      </c>
      <c r="N270" s="148">
        <f>0+táj.2!N270</f>
        <v>0</v>
      </c>
      <c r="O270" s="148">
        <f>0+táj.2!O270</f>
        <v>0</v>
      </c>
      <c r="P270" s="148">
        <f>0+táj.2!P270</f>
        <v>0</v>
      </c>
      <c r="Q270" s="148">
        <f t="shared" si="22"/>
        <v>0</v>
      </c>
    </row>
    <row r="271" spans="1:17" ht="15" customHeight="1" x14ac:dyDescent="0.2">
      <c r="A271" s="174"/>
      <c r="B271" s="174"/>
      <c r="C271" s="194"/>
      <c r="D271" s="291" t="s">
        <v>576</v>
      </c>
      <c r="E271" s="185">
        <v>1</v>
      </c>
      <c r="F271" s="185">
        <v>151409</v>
      </c>
      <c r="G271" s="148">
        <f>0+táj.2!G271</f>
        <v>0</v>
      </c>
      <c r="H271" s="148">
        <f>0+táj.2!H271</f>
        <v>0</v>
      </c>
      <c r="I271" s="148">
        <f>500+táj.2!I271</f>
        <v>500</v>
      </c>
      <c r="J271" s="148">
        <f>0+táj.2!J271</f>
        <v>0</v>
      </c>
      <c r="K271" s="148">
        <f>0+táj.2!K271</f>
        <v>0</v>
      </c>
      <c r="L271" s="148">
        <f>0+táj.2!L271</f>
        <v>0</v>
      </c>
      <c r="M271" s="148">
        <f>0+táj.2!M271</f>
        <v>0</v>
      </c>
      <c r="N271" s="148">
        <f>0+táj.2!N271</f>
        <v>0</v>
      </c>
      <c r="O271" s="148">
        <f>0+táj.2!O271</f>
        <v>0</v>
      </c>
      <c r="P271" s="148">
        <f>0+táj.2!P271</f>
        <v>0</v>
      </c>
      <c r="Q271" s="148">
        <f t="shared" si="22"/>
        <v>500</v>
      </c>
    </row>
    <row r="272" spans="1:17" ht="15" customHeight="1" x14ac:dyDescent="0.2">
      <c r="A272" s="174"/>
      <c r="B272" s="174"/>
      <c r="C272" s="194"/>
      <c r="D272" s="277" t="s">
        <v>577</v>
      </c>
      <c r="E272" s="185"/>
      <c r="F272" s="185"/>
      <c r="G272" s="148"/>
      <c r="H272" s="148"/>
      <c r="I272" s="148"/>
      <c r="J272" s="148"/>
      <c r="K272" s="148"/>
      <c r="L272" s="148"/>
      <c r="M272" s="148"/>
      <c r="N272" s="148"/>
      <c r="O272" s="148"/>
      <c r="P272" s="148"/>
      <c r="Q272" s="148"/>
    </row>
    <row r="273" spans="1:17" ht="24" customHeight="1" x14ac:dyDescent="0.2">
      <c r="A273" s="174"/>
      <c r="B273" s="174"/>
      <c r="C273" s="194"/>
      <c r="D273" s="150" t="s">
        <v>578</v>
      </c>
      <c r="E273" s="217">
        <v>1</v>
      </c>
      <c r="F273" s="226">
        <v>191129</v>
      </c>
      <c r="G273" s="148">
        <f>0+táj.2!G273</f>
        <v>0</v>
      </c>
      <c r="H273" s="148">
        <f>0+táj.2!H273</f>
        <v>0</v>
      </c>
      <c r="I273" s="148">
        <f>0+táj.2!I273</f>
        <v>0</v>
      </c>
      <c r="J273" s="148">
        <f>0+táj.2!J273</f>
        <v>0</v>
      </c>
      <c r="K273" s="148">
        <f>597524+táj.2!K273</f>
        <v>599639</v>
      </c>
      <c r="L273" s="148">
        <f>0+táj.2!L273</f>
        <v>0</v>
      </c>
      <c r="M273" s="148">
        <f>0+táj.2!M273</f>
        <v>0</v>
      </c>
      <c r="N273" s="148">
        <f>0+táj.2!N273</f>
        <v>0</v>
      </c>
      <c r="O273" s="148">
        <f>0+táj.2!O273</f>
        <v>0</v>
      </c>
      <c r="P273" s="148">
        <f>0+táj.2!P273</f>
        <v>0</v>
      </c>
      <c r="Q273" s="148">
        <f>SUM(G273:P273)</f>
        <v>599639</v>
      </c>
    </row>
    <row r="274" spans="1:17" ht="14.25" customHeight="1" x14ac:dyDescent="0.2">
      <c r="A274" s="174"/>
      <c r="B274" s="174"/>
      <c r="C274" s="194"/>
      <c r="D274" s="288" t="s">
        <v>579</v>
      </c>
      <c r="E274" s="185"/>
      <c r="F274" s="185"/>
      <c r="G274" s="148"/>
      <c r="H274" s="148"/>
      <c r="I274" s="148"/>
      <c r="J274" s="148"/>
      <c r="K274" s="148"/>
      <c r="L274" s="148"/>
      <c r="M274" s="148"/>
      <c r="N274" s="148"/>
      <c r="O274" s="148"/>
      <c r="P274" s="148"/>
      <c r="Q274" s="148"/>
    </row>
    <row r="275" spans="1:17" ht="15" customHeight="1" x14ac:dyDescent="0.2">
      <c r="A275" s="148"/>
      <c r="B275" s="148"/>
      <c r="C275" s="148"/>
      <c r="D275" s="277" t="s">
        <v>580</v>
      </c>
      <c r="E275" s="148">
        <v>1</v>
      </c>
      <c r="F275" s="148">
        <v>151102</v>
      </c>
      <c r="G275" s="148">
        <f>0+táj.2!G275</f>
        <v>0</v>
      </c>
      <c r="H275" s="148">
        <f>0+táj.2!H275</f>
        <v>0</v>
      </c>
      <c r="I275" s="148">
        <f>2016+táj.2!I275</f>
        <v>1658</v>
      </c>
      <c r="J275" s="148">
        <f>0+táj.2!J275</f>
        <v>0</v>
      </c>
      <c r="K275" s="148">
        <f>0+táj.2!K275</f>
        <v>0</v>
      </c>
      <c r="L275" s="148">
        <f>0+táj.2!L275</f>
        <v>0</v>
      </c>
      <c r="M275" s="148">
        <f>0+táj.2!M275</f>
        <v>0</v>
      </c>
      <c r="N275" s="148">
        <f>0+táj.2!N275</f>
        <v>0</v>
      </c>
      <c r="O275" s="148">
        <f>0+táj.2!O275</f>
        <v>0</v>
      </c>
      <c r="P275" s="148">
        <f>0+táj.2!P275</f>
        <v>0</v>
      </c>
      <c r="Q275" s="148">
        <f>SUM(G275:P275)</f>
        <v>1658</v>
      </c>
    </row>
    <row r="276" spans="1:17" ht="15" customHeight="1" x14ac:dyDescent="0.2">
      <c r="A276" s="174"/>
      <c r="B276" s="174"/>
      <c r="C276" s="194"/>
      <c r="D276" s="277" t="s">
        <v>581</v>
      </c>
      <c r="E276" s="148">
        <v>1</v>
      </c>
      <c r="F276" s="148">
        <v>151103</v>
      </c>
      <c r="G276" s="148">
        <f>0+táj.2!G276</f>
        <v>0</v>
      </c>
      <c r="H276" s="148">
        <f>0+táj.2!H276</f>
        <v>0</v>
      </c>
      <c r="I276" s="148">
        <f>5000+táj.2!I276</f>
        <v>5000</v>
      </c>
      <c r="J276" s="148">
        <f>0+táj.2!J276</f>
        <v>0</v>
      </c>
      <c r="K276" s="148">
        <f>0+táj.2!K276</f>
        <v>0</v>
      </c>
      <c r="L276" s="148">
        <f>0+táj.2!L276</f>
        <v>0</v>
      </c>
      <c r="M276" s="148">
        <f>0+táj.2!M276</f>
        <v>0</v>
      </c>
      <c r="N276" s="148">
        <f>0+táj.2!N276</f>
        <v>0</v>
      </c>
      <c r="O276" s="148">
        <f>0+táj.2!O276</f>
        <v>0</v>
      </c>
      <c r="P276" s="148">
        <f>0+táj.2!P276</f>
        <v>0</v>
      </c>
      <c r="Q276" s="148">
        <f>SUM(G276:P276)</f>
        <v>5000</v>
      </c>
    </row>
    <row r="277" spans="1:17" ht="15" customHeight="1" x14ac:dyDescent="0.2">
      <c r="A277" s="174"/>
      <c r="B277" s="174"/>
      <c r="C277" s="194"/>
      <c r="D277" s="277" t="s">
        <v>582</v>
      </c>
      <c r="E277" s="148">
        <v>1</v>
      </c>
      <c r="F277" s="148">
        <v>151105</v>
      </c>
      <c r="G277" s="148">
        <f>0+táj.2!G277</f>
        <v>0</v>
      </c>
      <c r="H277" s="148">
        <f>0+táj.2!H277</f>
        <v>0</v>
      </c>
      <c r="I277" s="148">
        <f>2500+táj.2!I277</f>
        <v>2500</v>
      </c>
      <c r="J277" s="148">
        <f>0+táj.2!J277</f>
        <v>0</v>
      </c>
      <c r="K277" s="148">
        <f>0+táj.2!K277</f>
        <v>0</v>
      </c>
      <c r="L277" s="148">
        <f>0+táj.2!L277</f>
        <v>0</v>
      </c>
      <c r="M277" s="148">
        <f>0+táj.2!M277</f>
        <v>0</v>
      </c>
      <c r="N277" s="148">
        <f>0+táj.2!N277</f>
        <v>0</v>
      </c>
      <c r="O277" s="148">
        <f>0+táj.2!O277</f>
        <v>0</v>
      </c>
      <c r="P277" s="148">
        <f>0+táj.2!P277</f>
        <v>0</v>
      </c>
      <c r="Q277" s="148">
        <f>SUM(G277:P277)</f>
        <v>2500</v>
      </c>
    </row>
    <row r="278" spans="1:17" ht="15" customHeight="1" x14ac:dyDescent="0.2">
      <c r="A278" s="174"/>
      <c r="B278" s="174"/>
      <c r="C278" s="194"/>
      <c r="D278" s="277" t="s">
        <v>583</v>
      </c>
      <c r="E278" s="185"/>
      <c r="F278" s="185"/>
      <c r="G278" s="148"/>
      <c r="H278" s="148"/>
      <c r="I278" s="148"/>
      <c r="J278" s="148"/>
      <c r="K278" s="148"/>
      <c r="L278" s="148"/>
      <c r="M278" s="148"/>
      <c r="N278" s="148"/>
      <c r="O278" s="148"/>
      <c r="P278" s="148"/>
      <c r="Q278" s="148"/>
    </row>
    <row r="279" spans="1:17" ht="15" customHeight="1" x14ac:dyDescent="0.2">
      <c r="A279" s="174"/>
      <c r="B279" s="174"/>
      <c r="C279" s="194"/>
      <c r="D279" s="288" t="s">
        <v>584</v>
      </c>
      <c r="E279" s="185">
        <v>1</v>
      </c>
      <c r="F279" s="148">
        <v>151301</v>
      </c>
      <c r="G279" s="148">
        <f>0+táj.2!G279</f>
        <v>0</v>
      </c>
      <c r="H279" s="148">
        <f>0+táj.2!H279</f>
        <v>0</v>
      </c>
      <c r="I279" s="148">
        <f>19087+táj.2!I279</f>
        <v>19087</v>
      </c>
      <c r="J279" s="148">
        <f>0+táj.2!J279</f>
        <v>0</v>
      </c>
      <c r="K279" s="148">
        <f>0+táj.2!K279</f>
        <v>0</v>
      </c>
      <c r="L279" s="148">
        <f>0+táj.2!L279</f>
        <v>0</v>
      </c>
      <c r="M279" s="148">
        <f>0+táj.2!M279</f>
        <v>0</v>
      </c>
      <c r="N279" s="148">
        <f>0+táj.2!N279</f>
        <v>0</v>
      </c>
      <c r="O279" s="148">
        <f>0+táj.2!O279</f>
        <v>0</v>
      </c>
      <c r="P279" s="148">
        <f>0+táj.2!P279</f>
        <v>0</v>
      </c>
      <c r="Q279" s="148">
        <f t="shared" ref="Q279:Q294" si="23">SUM(G279:P279)</f>
        <v>19087</v>
      </c>
    </row>
    <row r="280" spans="1:17" ht="15" customHeight="1" x14ac:dyDescent="0.2">
      <c r="A280" s="174"/>
      <c r="B280" s="174"/>
      <c r="C280" s="194"/>
      <c r="D280" s="288" t="s">
        <v>585</v>
      </c>
      <c r="E280" s="185">
        <v>1</v>
      </c>
      <c r="F280" s="148">
        <v>151310</v>
      </c>
      <c r="G280" s="148">
        <f>0+táj.2!G280</f>
        <v>0</v>
      </c>
      <c r="H280" s="148">
        <f>0+táj.2!H280</f>
        <v>0</v>
      </c>
      <c r="I280" s="148">
        <f>15476+táj.2!I280</f>
        <v>15476</v>
      </c>
      <c r="J280" s="148">
        <f>0+táj.2!J280</f>
        <v>0</v>
      </c>
      <c r="K280" s="148">
        <f>0+táj.2!K280</f>
        <v>0</v>
      </c>
      <c r="L280" s="148">
        <f>0+táj.2!L280</f>
        <v>0</v>
      </c>
      <c r="M280" s="148">
        <f>0+táj.2!M280</f>
        <v>0</v>
      </c>
      <c r="N280" s="148">
        <f>0+táj.2!N280</f>
        <v>0</v>
      </c>
      <c r="O280" s="148">
        <f>0+táj.2!O280</f>
        <v>0</v>
      </c>
      <c r="P280" s="148">
        <f>0+táj.2!P280</f>
        <v>0</v>
      </c>
      <c r="Q280" s="148">
        <f t="shared" si="23"/>
        <v>15476</v>
      </c>
    </row>
    <row r="281" spans="1:17" ht="15" customHeight="1" x14ac:dyDescent="0.2">
      <c r="A281" s="174"/>
      <c r="B281" s="174"/>
      <c r="C281" s="194"/>
      <c r="D281" s="288" t="s">
        <v>586</v>
      </c>
      <c r="E281" s="185">
        <v>1</v>
      </c>
      <c r="F281" s="148">
        <v>151313</v>
      </c>
      <c r="G281" s="148">
        <f>0+táj.2!G281</f>
        <v>0</v>
      </c>
      <c r="H281" s="148">
        <f>0+táj.2!H281</f>
        <v>0</v>
      </c>
      <c r="I281" s="148">
        <f>17977+táj.2!I281</f>
        <v>17977</v>
      </c>
      <c r="J281" s="148">
        <f>0+táj.2!J281</f>
        <v>0</v>
      </c>
      <c r="K281" s="148">
        <f>0+táj.2!K281</f>
        <v>0</v>
      </c>
      <c r="L281" s="148">
        <f>0+táj.2!L281</f>
        <v>0</v>
      </c>
      <c r="M281" s="148">
        <f>0+táj.2!M281</f>
        <v>0</v>
      </c>
      <c r="N281" s="148">
        <f>0+táj.2!N281</f>
        <v>0</v>
      </c>
      <c r="O281" s="148">
        <f>0+táj.2!O281</f>
        <v>0</v>
      </c>
      <c r="P281" s="148">
        <f>0+táj.2!P281</f>
        <v>0</v>
      </c>
      <c r="Q281" s="148">
        <f t="shared" si="23"/>
        <v>17977</v>
      </c>
    </row>
    <row r="282" spans="1:17" ht="15" customHeight="1" x14ac:dyDescent="0.2">
      <c r="A282" s="174"/>
      <c r="B282" s="174"/>
      <c r="C282" s="194"/>
      <c r="D282" s="288" t="s">
        <v>587</v>
      </c>
      <c r="E282" s="185">
        <v>1</v>
      </c>
      <c r="F282" s="148">
        <v>151314</v>
      </c>
      <c r="G282" s="148">
        <f>0+táj.2!G282</f>
        <v>0</v>
      </c>
      <c r="H282" s="148">
        <f>0+táj.2!H282</f>
        <v>0</v>
      </c>
      <c r="I282" s="148">
        <f>55548+táj.2!I282</f>
        <v>55548</v>
      </c>
      <c r="J282" s="148">
        <f>0+táj.2!J282</f>
        <v>0</v>
      </c>
      <c r="K282" s="148">
        <f>0+táj.2!K282</f>
        <v>0</v>
      </c>
      <c r="L282" s="148">
        <f>0+táj.2!L282</f>
        <v>0</v>
      </c>
      <c r="M282" s="148">
        <f>0+táj.2!M282</f>
        <v>0</v>
      </c>
      <c r="N282" s="148">
        <f>0+táj.2!N282</f>
        <v>0</v>
      </c>
      <c r="O282" s="148">
        <f>0+táj.2!O282</f>
        <v>0</v>
      </c>
      <c r="P282" s="148">
        <f>0+táj.2!P282</f>
        <v>0</v>
      </c>
      <c r="Q282" s="148">
        <f t="shared" si="23"/>
        <v>55548</v>
      </c>
    </row>
    <row r="283" spans="1:17" ht="15" customHeight="1" x14ac:dyDescent="0.2">
      <c r="A283" s="174"/>
      <c r="B283" s="174"/>
      <c r="C283" s="194"/>
      <c r="D283" s="288" t="s">
        <v>588</v>
      </c>
      <c r="E283" s="185">
        <v>1</v>
      </c>
      <c r="F283" s="148">
        <v>151320</v>
      </c>
      <c r="G283" s="148">
        <f>0+táj.2!G283</f>
        <v>0</v>
      </c>
      <c r="H283" s="148">
        <f>0+táj.2!H283</f>
        <v>0</v>
      </c>
      <c r="I283" s="148">
        <f>5000+táj.2!I283</f>
        <v>5000</v>
      </c>
      <c r="J283" s="148">
        <f>0+táj.2!J283</f>
        <v>0</v>
      </c>
      <c r="K283" s="148">
        <f>0+táj.2!K283</f>
        <v>0</v>
      </c>
      <c r="L283" s="148">
        <f>0+táj.2!L283</f>
        <v>0</v>
      </c>
      <c r="M283" s="148">
        <f>0+táj.2!M283</f>
        <v>0</v>
      </c>
      <c r="N283" s="148">
        <f>0+táj.2!N283</f>
        <v>0</v>
      </c>
      <c r="O283" s="148">
        <f>0+táj.2!O283</f>
        <v>0</v>
      </c>
      <c r="P283" s="148">
        <f>0+táj.2!P283</f>
        <v>0</v>
      </c>
      <c r="Q283" s="148">
        <f t="shared" si="23"/>
        <v>5000</v>
      </c>
    </row>
    <row r="284" spans="1:17" ht="15" customHeight="1" x14ac:dyDescent="0.2">
      <c r="A284" s="174"/>
      <c r="B284" s="174"/>
      <c r="C284" s="194"/>
      <c r="D284" s="288" t="s">
        <v>589</v>
      </c>
      <c r="E284" s="185">
        <v>1</v>
      </c>
      <c r="F284" s="148">
        <v>151317</v>
      </c>
      <c r="G284" s="148">
        <f>0+táj.2!G284</f>
        <v>0</v>
      </c>
      <c r="H284" s="148">
        <f>0+táj.2!H284</f>
        <v>0</v>
      </c>
      <c r="I284" s="148">
        <f>19229+táj.2!I284</f>
        <v>19229</v>
      </c>
      <c r="J284" s="148">
        <f>0+táj.2!J284</f>
        <v>0</v>
      </c>
      <c r="K284" s="148">
        <f>0+táj.2!K284</f>
        <v>0</v>
      </c>
      <c r="L284" s="148">
        <f>0+táj.2!L284</f>
        <v>0</v>
      </c>
      <c r="M284" s="148">
        <f>0+táj.2!M284</f>
        <v>0</v>
      </c>
      <c r="N284" s="148">
        <f>0+táj.2!N284</f>
        <v>0</v>
      </c>
      <c r="O284" s="148">
        <f>0+táj.2!O284</f>
        <v>0</v>
      </c>
      <c r="P284" s="148">
        <f>0+táj.2!P284</f>
        <v>0</v>
      </c>
      <c r="Q284" s="148">
        <f t="shared" si="23"/>
        <v>19229</v>
      </c>
    </row>
    <row r="285" spans="1:17" ht="16.5" customHeight="1" x14ac:dyDescent="0.2">
      <c r="A285" s="174"/>
      <c r="B285" s="174"/>
      <c r="C285" s="194"/>
      <c r="D285" s="150" t="s">
        <v>590</v>
      </c>
      <c r="E285" s="185">
        <v>1</v>
      </c>
      <c r="F285" s="388">
        <v>151306</v>
      </c>
      <c r="G285" s="148">
        <f>0+táj.2!G285</f>
        <v>0</v>
      </c>
      <c r="H285" s="148">
        <f>0+táj.2!H285</f>
        <v>0</v>
      </c>
      <c r="I285" s="148">
        <f>5044+táj.2!I285</f>
        <v>5044</v>
      </c>
      <c r="J285" s="148">
        <f>0+táj.2!J285</f>
        <v>0</v>
      </c>
      <c r="K285" s="148">
        <f>0+táj.2!K285</f>
        <v>0</v>
      </c>
      <c r="L285" s="148">
        <f>0+táj.2!L285</f>
        <v>0</v>
      </c>
      <c r="M285" s="148">
        <f>0+táj.2!M285</f>
        <v>0</v>
      </c>
      <c r="N285" s="148">
        <f>0+táj.2!N285</f>
        <v>0</v>
      </c>
      <c r="O285" s="148">
        <f>0+táj.2!O285</f>
        <v>0</v>
      </c>
      <c r="P285" s="148">
        <f>0+táj.2!P285</f>
        <v>0</v>
      </c>
      <c r="Q285" s="148">
        <f t="shared" si="23"/>
        <v>5044</v>
      </c>
    </row>
    <row r="286" spans="1:17" ht="30.75" customHeight="1" x14ac:dyDescent="0.2">
      <c r="A286" s="174"/>
      <c r="B286" s="174"/>
      <c r="C286" s="194"/>
      <c r="D286" s="150" t="s">
        <v>591</v>
      </c>
      <c r="E286" s="185">
        <v>1</v>
      </c>
      <c r="F286" s="148">
        <v>151307</v>
      </c>
      <c r="G286" s="148">
        <f>0+táj.2!G286</f>
        <v>0</v>
      </c>
      <c r="H286" s="148">
        <f>0+táj.2!H286</f>
        <v>0</v>
      </c>
      <c r="I286" s="148">
        <f>10683+táj.2!I286</f>
        <v>10913</v>
      </c>
      <c r="J286" s="148">
        <f>0+táj.2!J286</f>
        <v>0</v>
      </c>
      <c r="K286" s="148">
        <f>0+táj.2!K286</f>
        <v>0</v>
      </c>
      <c r="L286" s="148">
        <f>0+táj.2!L286</f>
        <v>0</v>
      </c>
      <c r="M286" s="148">
        <f>0+táj.2!M286</f>
        <v>0</v>
      </c>
      <c r="N286" s="148">
        <f>0+táj.2!N286</f>
        <v>0</v>
      </c>
      <c r="O286" s="148">
        <f>0+táj.2!O286</f>
        <v>0</v>
      </c>
      <c r="P286" s="148">
        <f>0+táj.2!P286</f>
        <v>0</v>
      </c>
      <c r="Q286" s="148">
        <f t="shared" si="23"/>
        <v>10913</v>
      </c>
    </row>
    <row r="287" spans="1:17" ht="24" customHeight="1" x14ac:dyDescent="0.2">
      <c r="A287" s="174"/>
      <c r="B287" s="174"/>
      <c r="C287" s="194"/>
      <c r="D287" s="150" t="s">
        <v>592</v>
      </c>
      <c r="E287" s="185">
        <v>1</v>
      </c>
      <c r="F287" s="148">
        <v>151308</v>
      </c>
      <c r="G287" s="148">
        <f>0+táj.2!G287</f>
        <v>0</v>
      </c>
      <c r="H287" s="148">
        <f>0+táj.2!H287</f>
        <v>0</v>
      </c>
      <c r="I287" s="148">
        <f>1645+táj.2!I287</f>
        <v>1745</v>
      </c>
      <c r="J287" s="148">
        <f>0+táj.2!J287</f>
        <v>0</v>
      </c>
      <c r="K287" s="148">
        <f>0+táj.2!K287</f>
        <v>0</v>
      </c>
      <c r="L287" s="148">
        <f>0+táj.2!L287</f>
        <v>0</v>
      </c>
      <c r="M287" s="148">
        <f>0+táj.2!M287</f>
        <v>0</v>
      </c>
      <c r="N287" s="148">
        <f>0+táj.2!N287</f>
        <v>0</v>
      </c>
      <c r="O287" s="148">
        <f>0+táj.2!O287</f>
        <v>0</v>
      </c>
      <c r="P287" s="148">
        <f>0+táj.2!P287</f>
        <v>0</v>
      </c>
      <c r="Q287" s="148">
        <f t="shared" si="23"/>
        <v>1745</v>
      </c>
    </row>
    <row r="288" spans="1:17" ht="24" customHeight="1" x14ac:dyDescent="0.2">
      <c r="A288" s="174"/>
      <c r="B288" s="174"/>
      <c r="C288" s="194"/>
      <c r="D288" s="150" t="s">
        <v>593</v>
      </c>
      <c r="E288" s="217">
        <v>1</v>
      </c>
      <c r="F288" s="226">
        <v>151311</v>
      </c>
      <c r="G288" s="148">
        <f>0+táj.2!G288</f>
        <v>0</v>
      </c>
      <c r="H288" s="148">
        <f>0+táj.2!H288</f>
        <v>0</v>
      </c>
      <c r="I288" s="148">
        <f>2245+táj.2!I288</f>
        <v>2245</v>
      </c>
      <c r="J288" s="148">
        <f>0+táj.2!J288</f>
        <v>0</v>
      </c>
      <c r="K288" s="148">
        <f>0+táj.2!K288</f>
        <v>0</v>
      </c>
      <c r="L288" s="148">
        <f>0+táj.2!L288</f>
        <v>0</v>
      </c>
      <c r="M288" s="148">
        <f>0+táj.2!M288</f>
        <v>0</v>
      </c>
      <c r="N288" s="148">
        <f>0+táj.2!N288</f>
        <v>0</v>
      </c>
      <c r="O288" s="148">
        <f>0+táj.2!O288</f>
        <v>0</v>
      </c>
      <c r="P288" s="148">
        <f>0+táj.2!P288</f>
        <v>0</v>
      </c>
      <c r="Q288" s="148">
        <f t="shared" si="23"/>
        <v>2245</v>
      </c>
    </row>
    <row r="289" spans="1:17" ht="15" customHeight="1" x14ac:dyDescent="0.2">
      <c r="A289" s="174"/>
      <c r="B289" s="174"/>
      <c r="C289" s="194"/>
      <c r="D289" s="277" t="s">
        <v>594</v>
      </c>
      <c r="E289" s="185">
        <v>1</v>
      </c>
      <c r="F289" s="148">
        <v>151312</v>
      </c>
      <c r="G289" s="148">
        <f>0+táj.2!G289</f>
        <v>0</v>
      </c>
      <c r="H289" s="148">
        <f>0+táj.2!H289</f>
        <v>0</v>
      </c>
      <c r="I289" s="148">
        <f>513+táj.2!I289</f>
        <v>513</v>
      </c>
      <c r="J289" s="148">
        <f>0+táj.2!J289</f>
        <v>0</v>
      </c>
      <c r="K289" s="148">
        <f>0+táj.2!K289</f>
        <v>0</v>
      </c>
      <c r="L289" s="148">
        <f>0+táj.2!L289</f>
        <v>0</v>
      </c>
      <c r="M289" s="148">
        <f>0+táj.2!M289</f>
        <v>0</v>
      </c>
      <c r="N289" s="148">
        <f>0+táj.2!N289</f>
        <v>0</v>
      </c>
      <c r="O289" s="148">
        <f>0+táj.2!O289</f>
        <v>0</v>
      </c>
      <c r="P289" s="148">
        <f>0+táj.2!P289</f>
        <v>0</v>
      </c>
      <c r="Q289" s="148">
        <f t="shared" si="23"/>
        <v>513</v>
      </c>
    </row>
    <row r="290" spans="1:17" ht="17.25" customHeight="1" x14ac:dyDescent="0.2">
      <c r="A290" s="174"/>
      <c r="B290" s="174"/>
      <c r="C290" s="194"/>
      <c r="D290" s="150" t="s">
        <v>595</v>
      </c>
      <c r="E290" s="185">
        <v>1</v>
      </c>
      <c r="F290" s="148">
        <v>151302</v>
      </c>
      <c r="G290" s="148">
        <f>0+táj.2!G290</f>
        <v>0</v>
      </c>
      <c r="H290" s="148">
        <f>0+táj.2!H290</f>
        <v>0</v>
      </c>
      <c r="I290" s="148">
        <f>3586+táj.2!I290</f>
        <v>3586</v>
      </c>
      <c r="J290" s="148">
        <f>0+táj.2!J290</f>
        <v>0</v>
      </c>
      <c r="K290" s="148">
        <f>0+táj.2!K290</f>
        <v>0</v>
      </c>
      <c r="L290" s="148">
        <f>0+táj.2!L290</f>
        <v>0</v>
      </c>
      <c r="M290" s="148">
        <f>0+táj.2!M290</f>
        <v>0</v>
      </c>
      <c r="N290" s="148">
        <f>0+táj.2!N290</f>
        <v>0</v>
      </c>
      <c r="O290" s="148">
        <f>0+táj.2!O290</f>
        <v>0</v>
      </c>
      <c r="P290" s="148">
        <f>0+táj.2!P290</f>
        <v>0</v>
      </c>
      <c r="Q290" s="148">
        <f t="shared" si="23"/>
        <v>3586</v>
      </c>
    </row>
    <row r="291" spans="1:17" ht="25.5" customHeight="1" x14ac:dyDescent="0.2">
      <c r="A291" s="174"/>
      <c r="B291" s="174"/>
      <c r="C291" s="194"/>
      <c r="D291" s="149" t="s">
        <v>596</v>
      </c>
      <c r="E291" s="185">
        <v>1</v>
      </c>
      <c r="F291" s="148">
        <v>151303</v>
      </c>
      <c r="G291" s="148">
        <f>0+táj.2!G291</f>
        <v>0</v>
      </c>
      <c r="H291" s="148">
        <f>0+táj.2!H291</f>
        <v>0</v>
      </c>
      <c r="I291" s="148">
        <f>1000+táj.2!I291</f>
        <v>1000</v>
      </c>
      <c r="J291" s="148">
        <f>0+táj.2!J291</f>
        <v>0</v>
      </c>
      <c r="K291" s="148">
        <f>0+táj.2!K291</f>
        <v>0</v>
      </c>
      <c r="L291" s="148">
        <f>0+táj.2!L291</f>
        <v>0</v>
      </c>
      <c r="M291" s="148">
        <f>0+táj.2!M291</f>
        <v>0</v>
      </c>
      <c r="N291" s="148">
        <f>0+táj.2!N291</f>
        <v>0</v>
      </c>
      <c r="O291" s="148">
        <f>0+táj.2!O291</f>
        <v>0</v>
      </c>
      <c r="P291" s="148">
        <f>0+táj.2!P291</f>
        <v>0</v>
      </c>
      <c r="Q291" s="148">
        <f t="shared" si="23"/>
        <v>1000</v>
      </c>
    </row>
    <row r="292" spans="1:17" ht="25.5" customHeight="1" x14ac:dyDescent="0.2">
      <c r="A292" s="174"/>
      <c r="B292" s="174"/>
      <c r="C292" s="194"/>
      <c r="D292" s="292" t="s">
        <v>597</v>
      </c>
      <c r="E292" s="293">
        <v>2</v>
      </c>
      <c r="F292" s="226">
        <v>151315</v>
      </c>
      <c r="G292" s="148">
        <f>0+táj.2!G292</f>
        <v>0</v>
      </c>
      <c r="H292" s="148">
        <f>0+táj.2!H292</f>
        <v>0</v>
      </c>
      <c r="I292" s="148">
        <f>1000+táj.2!I292</f>
        <v>1000</v>
      </c>
      <c r="J292" s="148">
        <f>0+táj.2!J292</f>
        <v>0</v>
      </c>
      <c r="K292" s="148">
        <f>0+táj.2!K292</f>
        <v>0</v>
      </c>
      <c r="L292" s="148">
        <f>0+táj.2!L292</f>
        <v>0</v>
      </c>
      <c r="M292" s="148">
        <f>0+táj.2!M292</f>
        <v>0</v>
      </c>
      <c r="N292" s="148">
        <f>0+táj.2!N292</f>
        <v>0</v>
      </c>
      <c r="O292" s="148">
        <f>0+táj.2!O292</f>
        <v>0</v>
      </c>
      <c r="P292" s="148">
        <f>0+táj.2!P292</f>
        <v>0</v>
      </c>
      <c r="Q292" s="148">
        <f t="shared" si="23"/>
        <v>1000</v>
      </c>
    </row>
    <row r="293" spans="1:17" ht="25.5" customHeight="1" x14ac:dyDescent="0.2">
      <c r="A293" s="174"/>
      <c r="B293" s="174"/>
      <c r="C293" s="194"/>
      <c r="D293" s="515" t="s">
        <v>1140</v>
      </c>
      <c r="E293" s="294">
        <v>1</v>
      </c>
      <c r="F293" s="226">
        <v>151321</v>
      </c>
      <c r="G293" s="148">
        <f>0+táj.2!G293</f>
        <v>0</v>
      </c>
      <c r="H293" s="148">
        <f>0+táj.2!H293</f>
        <v>0</v>
      </c>
      <c r="I293" s="148">
        <f>5000+táj.2!I293</f>
        <v>5000</v>
      </c>
      <c r="J293" s="148">
        <f>0+táj.2!J293</f>
        <v>0</v>
      </c>
      <c r="K293" s="148">
        <f>0+táj.2!K293</f>
        <v>0</v>
      </c>
      <c r="L293" s="148">
        <f>0+táj.2!L293</f>
        <v>0</v>
      </c>
      <c r="M293" s="148">
        <f>0+táj.2!M293</f>
        <v>0</v>
      </c>
      <c r="N293" s="148">
        <f>0+táj.2!N293</f>
        <v>0</v>
      </c>
      <c r="O293" s="148">
        <f>0+táj.2!O293</f>
        <v>0</v>
      </c>
      <c r="P293" s="148">
        <f>0+táj.2!P293</f>
        <v>0</v>
      </c>
      <c r="Q293" s="148">
        <f t="shared" si="23"/>
        <v>5000</v>
      </c>
    </row>
    <row r="294" spans="1:17" ht="25.5" customHeight="1" x14ac:dyDescent="0.2">
      <c r="A294" s="174"/>
      <c r="B294" s="174"/>
      <c r="C294" s="194"/>
      <c r="D294" s="150" t="s">
        <v>598</v>
      </c>
      <c r="E294" s="156">
        <v>1</v>
      </c>
      <c r="F294" s="226">
        <v>151319</v>
      </c>
      <c r="G294" s="148">
        <f>0+táj.2!G294</f>
        <v>0</v>
      </c>
      <c r="H294" s="148">
        <f>0+táj.2!H294</f>
        <v>0</v>
      </c>
      <c r="I294" s="148">
        <f>1235+táj.2!I294</f>
        <v>1235</v>
      </c>
      <c r="J294" s="148">
        <f>0+táj.2!J294</f>
        <v>0</v>
      </c>
      <c r="K294" s="148">
        <f>0+táj.2!K294</f>
        <v>0</v>
      </c>
      <c r="L294" s="148">
        <f>0+táj.2!L294</f>
        <v>0</v>
      </c>
      <c r="M294" s="148">
        <f>0+táj.2!M294</f>
        <v>0</v>
      </c>
      <c r="N294" s="148">
        <f>0+táj.2!N294</f>
        <v>0</v>
      </c>
      <c r="O294" s="148">
        <f>0+táj.2!O294</f>
        <v>0</v>
      </c>
      <c r="P294" s="148">
        <f>0+táj.2!P294</f>
        <v>0</v>
      </c>
      <c r="Q294" s="148">
        <f t="shared" si="23"/>
        <v>1235</v>
      </c>
    </row>
    <row r="295" spans="1:17" ht="24.95" customHeight="1" x14ac:dyDescent="0.2">
      <c r="A295" s="174"/>
      <c r="B295" s="174"/>
      <c r="C295" s="194"/>
      <c r="D295" s="150" t="s">
        <v>599</v>
      </c>
      <c r="E295" s="217"/>
      <c r="F295" s="217"/>
      <c r="G295" s="148"/>
      <c r="H295" s="148"/>
      <c r="I295" s="148"/>
      <c r="J295" s="148"/>
      <c r="K295" s="148"/>
      <c r="L295" s="148"/>
      <c r="M295" s="148"/>
      <c r="N295" s="148"/>
      <c r="O295" s="148"/>
      <c r="P295" s="148"/>
      <c r="Q295" s="148"/>
    </row>
    <row r="296" spans="1:17" ht="14.1" customHeight="1" x14ac:dyDescent="0.2">
      <c r="A296" s="174"/>
      <c r="B296" s="174"/>
      <c r="C296" s="194"/>
      <c r="D296" s="277" t="s">
        <v>600</v>
      </c>
      <c r="E296" s="148">
        <v>1</v>
      </c>
      <c r="F296" s="148">
        <v>151703</v>
      </c>
      <c r="G296" s="148">
        <f>0+táj.2!G296</f>
        <v>0</v>
      </c>
      <c r="H296" s="148">
        <f>0+táj.2!H296</f>
        <v>0</v>
      </c>
      <c r="I296" s="148">
        <f>3716+táj.2!I296</f>
        <v>3716</v>
      </c>
      <c r="J296" s="148">
        <f>0+táj.2!J296</f>
        <v>0</v>
      </c>
      <c r="K296" s="148">
        <f>0+táj.2!K296</f>
        <v>0</v>
      </c>
      <c r="L296" s="148">
        <f>0+táj.2!L296</f>
        <v>0</v>
      </c>
      <c r="M296" s="148">
        <f>0+táj.2!M296</f>
        <v>0</v>
      </c>
      <c r="N296" s="148">
        <f>0+táj.2!N296</f>
        <v>0</v>
      </c>
      <c r="O296" s="148">
        <f>0+táj.2!O296</f>
        <v>0</v>
      </c>
      <c r="P296" s="148">
        <f>0+táj.2!P296</f>
        <v>0</v>
      </c>
      <c r="Q296" s="148">
        <f>SUM(G296:P296)</f>
        <v>3716</v>
      </c>
    </row>
    <row r="297" spans="1:17" ht="14.1" customHeight="1" x14ac:dyDescent="0.2">
      <c r="A297" s="174"/>
      <c r="B297" s="174"/>
      <c r="C297" s="194"/>
      <c r="D297" s="288" t="s">
        <v>252</v>
      </c>
      <c r="E297" s="185"/>
      <c r="F297" s="185"/>
      <c r="G297" s="148"/>
      <c r="H297" s="148"/>
      <c r="I297" s="148"/>
      <c r="J297" s="148"/>
      <c r="K297" s="148"/>
      <c r="L297" s="148"/>
      <c r="M297" s="148"/>
      <c r="N297" s="148"/>
      <c r="O297" s="148"/>
      <c r="P297" s="148"/>
      <c r="Q297" s="148"/>
    </row>
    <row r="298" spans="1:17" ht="14.1" customHeight="1" x14ac:dyDescent="0.2">
      <c r="A298" s="174"/>
      <c r="B298" s="174"/>
      <c r="C298" s="194"/>
      <c r="D298" s="277" t="s">
        <v>601</v>
      </c>
      <c r="E298" s="148">
        <v>1</v>
      </c>
      <c r="F298" s="148">
        <v>151601</v>
      </c>
      <c r="G298" s="148">
        <f>0+táj.2!G298</f>
        <v>43</v>
      </c>
      <c r="H298" s="148">
        <f>0+táj.2!H298</f>
        <v>8</v>
      </c>
      <c r="I298" s="148">
        <f>14984+táj.2!I298</f>
        <v>22933</v>
      </c>
      <c r="J298" s="148">
        <f>0+táj.2!J298</f>
        <v>0</v>
      </c>
      <c r="K298" s="148">
        <f>0+táj.2!K298</f>
        <v>0</v>
      </c>
      <c r="L298" s="148">
        <f>0+táj.2!L298</f>
        <v>0</v>
      </c>
      <c r="M298" s="148">
        <f>0+táj.2!M298</f>
        <v>0</v>
      </c>
      <c r="N298" s="148">
        <f>0+táj.2!N298</f>
        <v>0</v>
      </c>
      <c r="O298" s="148">
        <f>0+táj.2!O298</f>
        <v>0</v>
      </c>
      <c r="P298" s="148">
        <f>0+táj.2!P298</f>
        <v>0</v>
      </c>
      <c r="Q298" s="148">
        <f t="shared" ref="Q298:Q317" si="24">SUM(G298:P298)</f>
        <v>22984</v>
      </c>
    </row>
    <row r="299" spans="1:17" ht="14.1" customHeight="1" x14ac:dyDescent="0.2">
      <c r="A299" s="174"/>
      <c r="B299" s="174"/>
      <c r="C299" s="194"/>
      <c r="D299" s="277" t="s">
        <v>602</v>
      </c>
      <c r="E299" s="148">
        <v>1</v>
      </c>
      <c r="F299" s="148">
        <v>151602</v>
      </c>
      <c r="G299" s="148">
        <f>0+táj.2!G299</f>
        <v>0</v>
      </c>
      <c r="H299" s="148">
        <f>0+táj.2!H299</f>
        <v>0</v>
      </c>
      <c r="I299" s="148">
        <f>0+táj.2!I299</f>
        <v>0</v>
      </c>
      <c r="J299" s="148">
        <f>0+táj.2!J299</f>
        <v>0</v>
      </c>
      <c r="K299" s="148">
        <f>19500+táj.2!K299</f>
        <v>19500</v>
      </c>
      <c r="L299" s="148">
        <f>0+táj.2!L299</f>
        <v>0</v>
      </c>
      <c r="M299" s="148">
        <f>0+táj.2!M299</f>
        <v>0</v>
      </c>
      <c r="N299" s="148">
        <f>0+táj.2!N299</f>
        <v>0</v>
      </c>
      <c r="O299" s="148">
        <f>0+táj.2!O299</f>
        <v>0</v>
      </c>
      <c r="P299" s="148">
        <f>0+táj.2!P299</f>
        <v>0</v>
      </c>
      <c r="Q299" s="148">
        <f t="shared" si="24"/>
        <v>19500</v>
      </c>
    </row>
    <row r="300" spans="1:17" ht="14.1" customHeight="1" x14ac:dyDescent="0.2">
      <c r="A300" s="174"/>
      <c r="B300" s="174"/>
      <c r="C300" s="194"/>
      <c r="D300" s="277" t="s">
        <v>603</v>
      </c>
      <c r="E300" s="148">
        <v>1</v>
      </c>
      <c r="F300" s="148">
        <v>151607</v>
      </c>
      <c r="G300" s="148">
        <f>0+táj.2!G300</f>
        <v>0</v>
      </c>
      <c r="H300" s="148">
        <f>0+táj.2!H300</f>
        <v>0</v>
      </c>
      <c r="I300" s="148">
        <f>28867+táj.2!I300</f>
        <v>28867</v>
      </c>
      <c r="J300" s="148">
        <f>0+táj.2!J300</f>
        <v>0</v>
      </c>
      <c r="K300" s="148">
        <f>0+táj.2!K300</f>
        <v>0</v>
      </c>
      <c r="L300" s="148">
        <f>0+táj.2!L300</f>
        <v>0</v>
      </c>
      <c r="M300" s="148">
        <f>0+táj.2!M300</f>
        <v>0</v>
      </c>
      <c r="N300" s="148">
        <f>0+táj.2!N300</f>
        <v>0</v>
      </c>
      <c r="O300" s="148">
        <f>0+táj.2!O300</f>
        <v>0</v>
      </c>
      <c r="P300" s="148">
        <f>0+táj.2!P300</f>
        <v>0</v>
      </c>
      <c r="Q300" s="148">
        <f t="shared" si="24"/>
        <v>28867</v>
      </c>
    </row>
    <row r="301" spans="1:17" ht="14.1" customHeight="1" x14ac:dyDescent="0.2">
      <c r="A301" s="174"/>
      <c r="B301" s="174"/>
      <c r="C301" s="194"/>
      <c r="D301" s="277" t="s">
        <v>604</v>
      </c>
      <c r="E301" s="148">
        <v>2</v>
      </c>
      <c r="F301" s="148">
        <v>151610</v>
      </c>
      <c r="G301" s="148">
        <f>0+táj.2!G301</f>
        <v>0</v>
      </c>
      <c r="H301" s="148">
        <f>0+táj.2!H301</f>
        <v>0</v>
      </c>
      <c r="I301" s="148">
        <f>500+táj.2!I301</f>
        <v>500</v>
      </c>
      <c r="J301" s="148">
        <f>0+táj.2!J301</f>
        <v>0</v>
      </c>
      <c r="K301" s="148">
        <f>0+táj.2!K301</f>
        <v>0</v>
      </c>
      <c r="L301" s="148">
        <f>0+táj.2!L301</f>
        <v>0</v>
      </c>
      <c r="M301" s="148">
        <f>0+táj.2!M301</f>
        <v>0</v>
      </c>
      <c r="N301" s="148">
        <f>0+táj.2!N301</f>
        <v>0</v>
      </c>
      <c r="O301" s="148">
        <f>0+táj.2!O301</f>
        <v>0</v>
      </c>
      <c r="P301" s="148">
        <f>0+táj.2!P301</f>
        <v>0</v>
      </c>
      <c r="Q301" s="148">
        <f t="shared" si="24"/>
        <v>500</v>
      </c>
    </row>
    <row r="302" spans="1:17" ht="14.1" customHeight="1" x14ac:dyDescent="0.2">
      <c r="A302" s="578"/>
      <c r="B302" s="578"/>
      <c r="C302" s="579"/>
      <c r="D302" s="694" t="s">
        <v>1301</v>
      </c>
      <c r="E302" s="582">
        <v>2</v>
      </c>
      <c r="F302" s="582">
        <v>151640</v>
      </c>
      <c r="G302" s="148">
        <f>0+táj.2!G302</f>
        <v>0</v>
      </c>
      <c r="H302" s="148">
        <f>0+táj.2!H302</f>
        <v>0</v>
      </c>
      <c r="I302" s="148">
        <f>5080+táj.2!I302</f>
        <v>5080</v>
      </c>
      <c r="J302" s="148">
        <f>0+táj.2!J302</f>
        <v>0</v>
      </c>
      <c r="K302" s="148">
        <f>0+táj.2!K302</f>
        <v>0</v>
      </c>
      <c r="L302" s="148">
        <f>0+táj.2!L302</f>
        <v>0</v>
      </c>
      <c r="M302" s="148">
        <f>0+táj.2!M302</f>
        <v>0</v>
      </c>
      <c r="N302" s="148">
        <f>0+táj.2!N302</f>
        <v>0</v>
      </c>
      <c r="O302" s="148">
        <f>0+táj.2!O302</f>
        <v>0</v>
      </c>
      <c r="P302" s="148">
        <f>0+táj.2!P302</f>
        <v>0</v>
      </c>
      <c r="Q302" s="148">
        <f t="shared" si="24"/>
        <v>5080</v>
      </c>
    </row>
    <row r="303" spans="1:17" ht="45" customHeight="1" x14ac:dyDescent="0.2">
      <c r="A303" s="578"/>
      <c r="B303" s="578"/>
      <c r="C303" s="579"/>
      <c r="D303" s="700" t="s">
        <v>1141</v>
      </c>
      <c r="E303" s="582">
        <v>2</v>
      </c>
      <c r="F303" s="582">
        <v>151623</v>
      </c>
      <c r="G303" s="148">
        <f>0+táj.2!G303</f>
        <v>0</v>
      </c>
      <c r="H303" s="148">
        <f>0+táj.2!H303</f>
        <v>0</v>
      </c>
      <c r="I303" s="148">
        <f>18902+táj.2!I303</f>
        <v>18902</v>
      </c>
      <c r="J303" s="148">
        <f>0+táj.2!J303</f>
        <v>0</v>
      </c>
      <c r="K303" s="148">
        <f>0+táj.2!K303</f>
        <v>0</v>
      </c>
      <c r="L303" s="148">
        <f>0+táj.2!L303</f>
        <v>0</v>
      </c>
      <c r="M303" s="148">
        <f>0+táj.2!M303</f>
        <v>0</v>
      </c>
      <c r="N303" s="148">
        <f>0+táj.2!N303</f>
        <v>0</v>
      </c>
      <c r="O303" s="148">
        <f>0+táj.2!O303</f>
        <v>0</v>
      </c>
      <c r="P303" s="148">
        <f>0+táj.2!P303</f>
        <v>0</v>
      </c>
      <c r="Q303" s="148">
        <f t="shared" si="24"/>
        <v>18902</v>
      </c>
    </row>
    <row r="304" spans="1:17" ht="24" customHeight="1" x14ac:dyDescent="0.2">
      <c r="A304" s="174" t="s">
        <v>96</v>
      </c>
      <c r="B304" s="174"/>
      <c r="C304" s="194"/>
      <c r="D304" s="150" t="s">
        <v>605</v>
      </c>
      <c r="E304" s="185">
        <v>2</v>
      </c>
      <c r="F304" s="148">
        <v>151619</v>
      </c>
      <c r="G304" s="148">
        <f>0+táj.2!G304</f>
        <v>0</v>
      </c>
      <c r="H304" s="148">
        <f>0+táj.2!H304</f>
        <v>0</v>
      </c>
      <c r="I304" s="148">
        <f>41767+táj.2!I304</f>
        <v>40420</v>
      </c>
      <c r="J304" s="148">
        <f>0+táj.2!J304</f>
        <v>0</v>
      </c>
      <c r="K304" s="148">
        <f>0+táj.2!K304</f>
        <v>0</v>
      </c>
      <c r="L304" s="148">
        <f>0+táj.2!L304</f>
        <v>0</v>
      </c>
      <c r="M304" s="148">
        <f>5000+táj.2!M304</f>
        <v>5000</v>
      </c>
      <c r="N304" s="148">
        <f>0+táj.2!N304</f>
        <v>0</v>
      </c>
      <c r="O304" s="148">
        <f>0+táj.2!O304</f>
        <v>0</v>
      </c>
      <c r="P304" s="148">
        <f>0+táj.2!P304</f>
        <v>0</v>
      </c>
      <c r="Q304" s="148">
        <f t="shared" si="24"/>
        <v>45420</v>
      </c>
    </row>
    <row r="305" spans="1:17" ht="14.25" customHeight="1" x14ac:dyDescent="0.2">
      <c r="A305" s="578"/>
      <c r="B305" s="578"/>
      <c r="C305" s="579"/>
      <c r="D305" s="580" t="s">
        <v>1142</v>
      </c>
      <c r="E305" s="596">
        <v>2</v>
      </c>
      <c r="F305" s="582">
        <v>151639</v>
      </c>
      <c r="G305" s="148">
        <f>0+táj.2!G305</f>
        <v>0</v>
      </c>
      <c r="H305" s="148">
        <f>0+táj.2!H305</f>
        <v>0</v>
      </c>
      <c r="I305" s="148">
        <f>500+táj.2!I305</f>
        <v>500</v>
      </c>
      <c r="J305" s="148">
        <f>0+táj.2!J305</f>
        <v>0</v>
      </c>
      <c r="K305" s="148">
        <f>0+táj.2!K305</f>
        <v>0</v>
      </c>
      <c r="L305" s="148">
        <f>0+táj.2!L305</f>
        <v>0</v>
      </c>
      <c r="M305" s="148">
        <f>0+táj.2!M305</f>
        <v>0</v>
      </c>
      <c r="N305" s="148">
        <f>0+táj.2!N305</f>
        <v>0</v>
      </c>
      <c r="O305" s="148">
        <f>0+táj.2!O305</f>
        <v>0</v>
      </c>
      <c r="P305" s="148">
        <f>0+táj.2!P305</f>
        <v>0</v>
      </c>
      <c r="Q305" s="148">
        <f t="shared" si="24"/>
        <v>500</v>
      </c>
    </row>
    <row r="306" spans="1:17" ht="14.1" customHeight="1" x14ac:dyDescent="0.2">
      <c r="A306" s="174"/>
      <c r="B306" s="174"/>
      <c r="C306" s="194"/>
      <c r="D306" s="288" t="s">
        <v>606</v>
      </c>
      <c r="E306" s="153">
        <v>2</v>
      </c>
      <c r="F306" s="148">
        <v>151626</v>
      </c>
      <c r="G306" s="148">
        <f>0+táj.2!G306</f>
        <v>0</v>
      </c>
      <c r="H306" s="148">
        <f>0+táj.2!H306</f>
        <v>0</v>
      </c>
      <c r="I306" s="148">
        <f>800+táj.2!I306</f>
        <v>800</v>
      </c>
      <c r="J306" s="148">
        <f>0+táj.2!J306</f>
        <v>0</v>
      </c>
      <c r="K306" s="148">
        <f>0+táj.2!K306</f>
        <v>0</v>
      </c>
      <c r="L306" s="148">
        <f>0+táj.2!L306</f>
        <v>0</v>
      </c>
      <c r="M306" s="148">
        <f>0+táj.2!M306</f>
        <v>0</v>
      </c>
      <c r="N306" s="148">
        <f>0+táj.2!N306</f>
        <v>0</v>
      </c>
      <c r="O306" s="148">
        <f>0+táj.2!O306</f>
        <v>0</v>
      </c>
      <c r="P306" s="148">
        <f>0+táj.2!P306</f>
        <v>0</v>
      </c>
      <c r="Q306" s="148">
        <f t="shared" si="24"/>
        <v>800</v>
      </c>
    </row>
    <row r="307" spans="1:17" ht="24.95" customHeight="1" x14ac:dyDescent="0.2">
      <c r="A307" s="174"/>
      <c r="B307" s="174"/>
      <c r="C307" s="194"/>
      <c r="D307" s="149" t="s">
        <v>607</v>
      </c>
      <c r="E307" s="156">
        <v>2</v>
      </c>
      <c r="F307" s="508">
        <v>151627</v>
      </c>
      <c r="G307" s="148">
        <f>0+táj.2!G307</f>
        <v>0</v>
      </c>
      <c r="H307" s="148">
        <f>0+táj.2!H307</f>
        <v>0</v>
      </c>
      <c r="I307" s="148">
        <f>1000+táj.2!I307</f>
        <v>1000</v>
      </c>
      <c r="J307" s="148">
        <f>0+táj.2!J307</f>
        <v>0</v>
      </c>
      <c r="K307" s="148">
        <f>0+táj.2!K307</f>
        <v>0</v>
      </c>
      <c r="L307" s="148">
        <f>0+táj.2!L307</f>
        <v>0</v>
      </c>
      <c r="M307" s="148">
        <f>0+táj.2!M307</f>
        <v>0</v>
      </c>
      <c r="N307" s="148">
        <f>0+táj.2!N307</f>
        <v>0</v>
      </c>
      <c r="O307" s="148">
        <f>0+táj.2!O307</f>
        <v>0</v>
      </c>
      <c r="P307" s="148">
        <f>0+táj.2!P307</f>
        <v>0</v>
      </c>
      <c r="Q307" s="148">
        <f t="shared" si="24"/>
        <v>1000</v>
      </c>
    </row>
    <row r="308" spans="1:17" ht="16.5" customHeight="1" x14ac:dyDescent="0.2">
      <c r="A308" s="174"/>
      <c r="B308" s="174"/>
      <c r="C308" s="194"/>
      <c r="D308" s="288" t="s">
        <v>608</v>
      </c>
      <c r="E308" s="156">
        <v>2</v>
      </c>
      <c r="F308" s="226">
        <v>151638</v>
      </c>
      <c r="G308" s="148">
        <f>0+táj.2!G308</f>
        <v>0</v>
      </c>
      <c r="H308" s="148">
        <f>0+táj.2!H308</f>
        <v>0</v>
      </c>
      <c r="I308" s="148">
        <f>1500+táj.2!I308</f>
        <v>1500</v>
      </c>
      <c r="J308" s="148">
        <f>0+táj.2!J308</f>
        <v>0</v>
      </c>
      <c r="K308" s="148">
        <f>0+táj.2!K308</f>
        <v>0</v>
      </c>
      <c r="L308" s="148">
        <f>0+táj.2!L308</f>
        <v>0</v>
      </c>
      <c r="M308" s="148">
        <f>0+táj.2!M308</f>
        <v>0</v>
      </c>
      <c r="N308" s="148">
        <f>0+táj.2!N308</f>
        <v>0</v>
      </c>
      <c r="O308" s="148">
        <f>0+táj.2!O308</f>
        <v>0</v>
      </c>
      <c r="P308" s="148">
        <f>0+táj.2!P308</f>
        <v>0</v>
      </c>
      <c r="Q308" s="148">
        <f t="shared" si="24"/>
        <v>1500</v>
      </c>
    </row>
    <row r="309" spans="1:17" ht="14.1" customHeight="1" x14ac:dyDescent="0.2">
      <c r="A309" s="174"/>
      <c r="B309" s="174"/>
      <c r="C309" s="194"/>
      <c r="D309" s="277" t="s">
        <v>609</v>
      </c>
      <c r="E309" s="148">
        <v>1</v>
      </c>
      <c r="F309" s="148">
        <v>151603</v>
      </c>
      <c r="G309" s="148">
        <f>0+táj.2!G309</f>
        <v>0</v>
      </c>
      <c r="H309" s="148">
        <f>0+táj.2!H309</f>
        <v>0</v>
      </c>
      <c r="I309" s="148">
        <f>85000+táj.2!I309</f>
        <v>85000</v>
      </c>
      <c r="J309" s="148">
        <f>0+táj.2!J309</f>
        <v>0</v>
      </c>
      <c r="K309" s="148">
        <f>0+táj.2!K309</f>
        <v>0</v>
      </c>
      <c r="L309" s="148">
        <f>0+táj.2!L309</f>
        <v>0</v>
      </c>
      <c r="M309" s="148">
        <f>0+táj.2!M309</f>
        <v>0</v>
      </c>
      <c r="N309" s="148">
        <f>0+táj.2!N309</f>
        <v>0</v>
      </c>
      <c r="O309" s="148">
        <f>0+táj.2!O309</f>
        <v>0</v>
      </c>
      <c r="P309" s="148">
        <f>0+táj.2!P309</f>
        <v>0</v>
      </c>
      <c r="Q309" s="148">
        <f t="shared" si="24"/>
        <v>85000</v>
      </c>
    </row>
    <row r="310" spans="1:17" ht="14.1" customHeight="1" x14ac:dyDescent="0.2">
      <c r="A310" s="174"/>
      <c r="B310" s="174"/>
      <c r="C310" s="194"/>
      <c r="D310" s="277" t="s">
        <v>610</v>
      </c>
      <c r="E310" s="148">
        <v>1</v>
      </c>
      <c r="F310" s="148">
        <v>151605</v>
      </c>
      <c r="G310" s="148">
        <f>0+táj.2!G310</f>
        <v>0</v>
      </c>
      <c r="H310" s="148">
        <f>0+táj.2!H310</f>
        <v>0</v>
      </c>
      <c r="I310" s="148">
        <f>110358+táj.2!I310</f>
        <v>110358</v>
      </c>
      <c r="J310" s="148">
        <f>0+táj.2!J310</f>
        <v>0</v>
      </c>
      <c r="K310" s="148">
        <f>0+táj.2!K310</f>
        <v>0</v>
      </c>
      <c r="L310" s="148">
        <f>0+táj.2!L310</f>
        <v>0</v>
      </c>
      <c r="M310" s="148">
        <f>0+táj.2!M310</f>
        <v>0</v>
      </c>
      <c r="N310" s="148">
        <f>0+táj.2!N310</f>
        <v>0</v>
      </c>
      <c r="O310" s="148">
        <f>0+táj.2!O310</f>
        <v>0</v>
      </c>
      <c r="P310" s="148">
        <f>0+táj.2!P310</f>
        <v>0</v>
      </c>
      <c r="Q310" s="148">
        <f t="shared" si="24"/>
        <v>110358</v>
      </c>
    </row>
    <row r="311" spans="1:17" ht="14.1" customHeight="1" x14ac:dyDescent="0.2">
      <c r="A311" s="174"/>
      <c r="B311" s="174"/>
      <c r="C311" s="194"/>
      <c r="D311" s="277" t="s">
        <v>611</v>
      </c>
      <c r="E311" s="148">
        <v>1</v>
      </c>
      <c r="F311" s="148">
        <v>151608</v>
      </c>
      <c r="G311" s="148">
        <f>0+táj.2!G311</f>
        <v>0</v>
      </c>
      <c r="H311" s="148">
        <f>0+táj.2!H311</f>
        <v>0</v>
      </c>
      <c r="I311" s="148">
        <f>70000+táj.2!I311</f>
        <v>70000</v>
      </c>
      <c r="J311" s="148">
        <f>0+táj.2!J311</f>
        <v>0</v>
      </c>
      <c r="K311" s="148">
        <f>0+táj.2!K311</f>
        <v>0</v>
      </c>
      <c r="L311" s="148">
        <f>0+táj.2!L311</f>
        <v>0</v>
      </c>
      <c r="M311" s="148">
        <f>0+táj.2!M311</f>
        <v>0</v>
      </c>
      <c r="N311" s="148">
        <f>0+táj.2!N311</f>
        <v>0</v>
      </c>
      <c r="O311" s="148">
        <f>0+táj.2!O311</f>
        <v>0</v>
      </c>
      <c r="P311" s="148">
        <f>0+táj.2!P311</f>
        <v>0</v>
      </c>
      <c r="Q311" s="148">
        <f t="shared" si="24"/>
        <v>70000</v>
      </c>
    </row>
    <row r="312" spans="1:17" ht="14.1" customHeight="1" x14ac:dyDescent="0.2">
      <c r="A312" s="174"/>
      <c r="B312" s="174"/>
      <c r="C312" s="194"/>
      <c r="D312" s="277" t="s">
        <v>612</v>
      </c>
      <c r="E312" s="148">
        <v>2</v>
      </c>
      <c r="F312" s="148">
        <v>151624</v>
      </c>
      <c r="G312" s="148">
        <f>0+táj.2!G312</f>
        <v>0</v>
      </c>
      <c r="H312" s="148">
        <f>0+táj.2!H312</f>
        <v>0</v>
      </c>
      <c r="I312" s="148">
        <f>0+táj.2!I312</f>
        <v>0</v>
      </c>
      <c r="J312" s="148">
        <f>0+táj.2!J312</f>
        <v>0</v>
      </c>
      <c r="K312" s="148">
        <f>2800+táj.2!K312</f>
        <v>2800</v>
      </c>
      <c r="L312" s="148">
        <f>0+táj.2!L312</f>
        <v>0</v>
      </c>
      <c r="M312" s="148">
        <f>0+táj.2!M312</f>
        <v>0</v>
      </c>
      <c r="N312" s="148">
        <f>0+táj.2!N312</f>
        <v>0</v>
      </c>
      <c r="O312" s="148">
        <f>0+táj.2!O312</f>
        <v>0</v>
      </c>
      <c r="P312" s="148">
        <f>0+táj.2!P312</f>
        <v>0</v>
      </c>
      <c r="Q312" s="148">
        <f t="shared" si="24"/>
        <v>2800</v>
      </c>
    </row>
    <row r="313" spans="1:17" ht="14.1" customHeight="1" x14ac:dyDescent="0.2">
      <c r="A313" s="174"/>
      <c r="B313" s="174"/>
      <c r="C313" s="194"/>
      <c r="D313" s="277" t="s">
        <v>613</v>
      </c>
      <c r="E313" s="148">
        <v>1</v>
      </c>
      <c r="F313" s="148">
        <v>151631</v>
      </c>
      <c r="G313" s="148">
        <f>0+táj.2!G313</f>
        <v>0</v>
      </c>
      <c r="H313" s="148">
        <f>0+táj.2!H313</f>
        <v>0</v>
      </c>
      <c r="I313" s="148">
        <f>5453+táj.2!I313</f>
        <v>5453</v>
      </c>
      <c r="J313" s="148">
        <f>0+táj.2!J313</f>
        <v>0</v>
      </c>
      <c r="K313" s="148">
        <f>0+táj.2!K313</f>
        <v>0</v>
      </c>
      <c r="L313" s="148">
        <f>0+táj.2!L313</f>
        <v>0</v>
      </c>
      <c r="M313" s="148">
        <f>0+táj.2!M313</f>
        <v>0</v>
      </c>
      <c r="N313" s="148">
        <f>0+táj.2!N313</f>
        <v>0</v>
      </c>
      <c r="O313" s="148">
        <f>0+táj.2!O313</f>
        <v>0</v>
      </c>
      <c r="P313" s="148">
        <f>0+táj.2!P313</f>
        <v>0</v>
      </c>
      <c r="Q313" s="148">
        <f t="shared" si="24"/>
        <v>5453</v>
      </c>
    </row>
    <row r="314" spans="1:17" ht="14.1" customHeight="1" x14ac:dyDescent="0.2">
      <c r="A314" s="174"/>
      <c r="B314" s="174"/>
      <c r="C314" s="194"/>
      <c r="D314" s="296" t="s">
        <v>614</v>
      </c>
      <c r="E314" s="148">
        <v>1</v>
      </c>
      <c r="F314" s="148">
        <v>151632</v>
      </c>
      <c r="G314" s="148">
        <f>0+táj.2!G314</f>
        <v>0</v>
      </c>
      <c r="H314" s="148">
        <f>0+táj.2!H314</f>
        <v>0</v>
      </c>
      <c r="I314" s="148">
        <f>2500+táj.2!I314</f>
        <v>2500</v>
      </c>
      <c r="J314" s="148">
        <f>0+táj.2!J314</f>
        <v>0</v>
      </c>
      <c r="K314" s="148">
        <f>0+táj.2!K314</f>
        <v>0</v>
      </c>
      <c r="L314" s="148">
        <f>0+táj.2!L314</f>
        <v>0</v>
      </c>
      <c r="M314" s="148">
        <f>0+táj.2!M314</f>
        <v>0</v>
      </c>
      <c r="N314" s="148">
        <f>0+táj.2!N314</f>
        <v>0</v>
      </c>
      <c r="O314" s="148">
        <f>0+táj.2!O314</f>
        <v>0</v>
      </c>
      <c r="P314" s="148">
        <f>0+táj.2!P314</f>
        <v>0</v>
      </c>
      <c r="Q314" s="148">
        <f t="shared" si="24"/>
        <v>2500</v>
      </c>
    </row>
    <row r="315" spans="1:17" ht="24.75" customHeight="1" x14ac:dyDescent="0.2">
      <c r="A315" s="174"/>
      <c r="B315" s="174"/>
      <c r="C315" s="194"/>
      <c r="D315" s="297" t="s">
        <v>615</v>
      </c>
      <c r="E315" s="148">
        <v>1</v>
      </c>
      <c r="F315" s="148">
        <v>151635</v>
      </c>
      <c r="G315" s="148">
        <f>0+táj.2!G315</f>
        <v>0</v>
      </c>
      <c r="H315" s="148">
        <f>0+táj.2!H315</f>
        <v>0</v>
      </c>
      <c r="I315" s="148">
        <f>3000+táj.2!I315</f>
        <v>3000</v>
      </c>
      <c r="J315" s="148">
        <f>0+táj.2!J315</f>
        <v>0</v>
      </c>
      <c r="K315" s="148">
        <f>0+táj.2!K315</f>
        <v>0</v>
      </c>
      <c r="L315" s="148">
        <f>0+táj.2!L315</f>
        <v>0</v>
      </c>
      <c r="M315" s="148">
        <f>0+táj.2!M315</f>
        <v>0</v>
      </c>
      <c r="N315" s="148">
        <f>0+táj.2!N315</f>
        <v>0</v>
      </c>
      <c r="O315" s="148">
        <f>0+táj.2!O315</f>
        <v>0</v>
      </c>
      <c r="P315" s="148">
        <f>0+táj.2!P315</f>
        <v>0</v>
      </c>
      <c r="Q315" s="148">
        <f t="shared" si="24"/>
        <v>3000</v>
      </c>
    </row>
    <row r="316" spans="1:17" ht="14.1" customHeight="1" x14ac:dyDescent="0.2">
      <c r="A316" s="174"/>
      <c r="B316" s="174"/>
      <c r="C316" s="194"/>
      <c r="D316" s="298" t="s">
        <v>616</v>
      </c>
      <c r="E316" s="148">
        <v>1</v>
      </c>
      <c r="F316" s="148">
        <v>151612</v>
      </c>
      <c r="G316" s="148">
        <f>0+táj.2!G316</f>
        <v>0</v>
      </c>
      <c r="H316" s="148">
        <f>0+táj.2!H316</f>
        <v>0</v>
      </c>
      <c r="I316" s="148">
        <f>2000+táj.2!I316</f>
        <v>2000</v>
      </c>
      <c r="J316" s="148">
        <f>0+táj.2!J316</f>
        <v>0</v>
      </c>
      <c r="K316" s="148">
        <f>0+táj.2!K316</f>
        <v>0</v>
      </c>
      <c r="L316" s="148">
        <f>0+táj.2!L316</f>
        <v>0</v>
      </c>
      <c r="M316" s="148">
        <f>0+táj.2!M316</f>
        <v>0</v>
      </c>
      <c r="N316" s="148">
        <f>0+táj.2!N316</f>
        <v>0</v>
      </c>
      <c r="O316" s="148">
        <f>0+táj.2!O316</f>
        <v>0</v>
      </c>
      <c r="P316" s="148">
        <f>0+táj.2!P316</f>
        <v>0</v>
      </c>
      <c r="Q316" s="148">
        <f t="shared" si="24"/>
        <v>2000</v>
      </c>
    </row>
    <row r="317" spans="1:17" ht="14.1" customHeight="1" x14ac:dyDescent="0.2">
      <c r="A317" s="174"/>
      <c r="B317" s="174"/>
      <c r="C317" s="194"/>
      <c r="D317" s="298" t="s">
        <v>617</v>
      </c>
      <c r="E317" s="148">
        <v>1</v>
      </c>
      <c r="F317" s="148">
        <v>151614</v>
      </c>
      <c r="G317" s="148">
        <f>0+táj.2!G317</f>
        <v>0</v>
      </c>
      <c r="H317" s="148">
        <f>0+táj.2!H317</f>
        <v>0</v>
      </c>
      <c r="I317" s="148">
        <f>5000+táj.2!I317</f>
        <v>5000</v>
      </c>
      <c r="J317" s="148">
        <f>0+táj.2!J317</f>
        <v>0</v>
      </c>
      <c r="K317" s="148">
        <f>0+táj.2!K317</f>
        <v>0</v>
      </c>
      <c r="L317" s="148">
        <f>0+táj.2!L317</f>
        <v>0</v>
      </c>
      <c r="M317" s="148">
        <f>0+táj.2!M317</f>
        <v>0</v>
      </c>
      <c r="N317" s="148">
        <f>0+táj.2!N317</f>
        <v>0</v>
      </c>
      <c r="O317" s="148">
        <f>0+táj.2!O317</f>
        <v>0</v>
      </c>
      <c r="P317" s="148">
        <f>0+táj.2!P317</f>
        <v>0</v>
      </c>
      <c r="Q317" s="148">
        <f t="shared" si="24"/>
        <v>5000</v>
      </c>
    </row>
    <row r="318" spans="1:17" ht="12.95" customHeight="1" x14ac:dyDescent="0.2">
      <c r="A318" s="174"/>
      <c r="B318" s="174"/>
      <c r="C318" s="194"/>
      <c r="D318" s="287" t="s">
        <v>540</v>
      </c>
      <c r="E318" s="148"/>
      <c r="F318" s="148"/>
      <c r="G318" s="148"/>
      <c r="H318" s="148"/>
      <c r="I318" s="148"/>
      <c r="J318" s="148"/>
      <c r="K318" s="148"/>
      <c r="L318" s="148"/>
      <c r="M318" s="148"/>
      <c r="N318" s="148"/>
      <c r="O318" s="148"/>
      <c r="P318" s="148"/>
      <c r="Q318" s="148"/>
    </row>
    <row r="319" spans="1:17" ht="24" customHeight="1" x14ac:dyDescent="0.2">
      <c r="A319" s="174"/>
      <c r="B319" s="174"/>
      <c r="C319" s="194"/>
      <c r="D319" s="150" t="s">
        <v>618</v>
      </c>
      <c r="E319" s="148">
        <v>1</v>
      </c>
      <c r="F319" s="148">
        <v>151505</v>
      </c>
      <c r="G319" s="148">
        <f>0+táj.2!G319</f>
        <v>0</v>
      </c>
      <c r="H319" s="148">
        <f>0+táj.2!H319</f>
        <v>0</v>
      </c>
      <c r="I319" s="148">
        <f>6000+táj.2!I319</f>
        <v>6000</v>
      </c>
      <c r="J319" s="148">
        <f>0+táj.2!J319</f>
        <v>0</v>
      </c>
      <c r="K319" s="148">
        <f>0+táj.2!K319</f>
        <v>0</v>
      </c>
      <c r="L319" s="148">
        <f>0+táj.2!L319</f>
        <v>0</v>
      </c>
      <c r="M319" s="148">
        <f>0+táj.2!M319</f>
        <v>0</v>
      </c>
      <c r="N319" s="148">
        <f>0+táj.2!N319</f>
        <v>0</v>
      </c>
      <c r="O319" s="148">
        <f>0+táj.2!O319</f>
        <v>0</v>
      </c>
      <c r="P319" s="148">
        <f>0+táj.2!P319</f>
        <v>0</v>
      </c>
      <c r="Q319" s="148">
        <f>SUM(G319:P319)</f>
        <v>6000</v>
      </c>
    </row>
    <row r="320" spans="1:17" ht="12.95" customHeight="1" x14ac:dyDescent="0.2">
      <c r="A320" s="174"/>
      <c r="B320" s="174"/>
      <c r="C320" s="194"/>
      <c r="D320" s="288" t="s">
        <v>241</v>
      </c>
      <c r="E320" s="185"/>
      <c r="F320" s="185"/>
      <c r="G320" s="148"/>
      <c r="H320" s="148"/>
      <c r="I320" s="148"/>
      <c r="J320" s="148"/>
      <c r="K320" s="148"/>
      <c r="L320" s="148"/>
      <c r="M320" s="148"/>
      <c r="N320" s="148"/>
      <c r="O320" s="148"/>
      <c r="P320" s="148"/>
      <c r="Q320" s="148"/>
    </row>
    <row r="321" spans="1:17" ht="14.1" customHeight="1" x14ac:dyDescent="0.2">
      <c r="A321" s="174"/>
      <c r="B321" s="174"/>
      <c r="C321" s="174"/>
      <c r="D321" s="277" t="s">
        <v>242</v>
      </c>
      <c r="E321" s="148">
        <v>2</v>
      </c>
      <c r="F321" s="148">
        <v>151906</v>
      </c>
      <c r="G321" s="148">
        <f>0+táj.2!G321</f>
        <v>0</v>
      </c>
      <c r="H321" s="148">
        <f>0+táj.2!H321</f>
        <v>0</v>
      </c>
      <c r="I321" s="148">
        <f>138309+táj.2!I321</f>
        <v>138309</v>
      </c>
      <c r="J321" s="148">
        <f>0+táj.2!J321</f>
        <v>0</v>
      </c>
      <c r="K321" s="148">
        <f>0+táj.2!K321</f>
        <v>0</v>
      </c>
      <c r="L321" s="148">
        <f>0+táj.2!L321</f>
        <v>0</v>
      </c>
      <c r="M321" s="148">
        <f>0+táj.2!M321</f>
        <v>0</v>
      </c>
      <c r="N321" s="148">
        <f>0+táj.2!N321</f>
        <v>0</v>
      </c>
      <c r="O321" s="148">
        <f>0+táj.2!O321</f>
        <v>0</v>
      </c>
      <c r="P321" s="148">
        <f>0+táj.2!P321</f>
        <v>0</v>
      </c>
      <c r="Q321" s="148">
        <f>SUM(G321:P321)</f>
        <v>138309</v>
      </c>
    </row>
    <row r="322" spans="1:17" ht="14.1" customHeight="1" x14ac:dyDescent="0.2">
      <c r="A322" s="174"/>
      <c r="B322" s="174"/>
      <c r="C322" s="194"/>
      <c r="D322" s="277" t="s">
        <v>619</v>
      </c>
      <c r="E322" s="148">
        <v>2</v>
      </c>
      <c r="F322" s="148">
        <v>151915</v>
      </c>
      <c r="G322" s="148">
        <f>0+táj.2!G322</f>
        <v>0</v>
      </c>
      <c r="H322" s="148">
        <f>0+táj.2!H322</f>
        <v>0</v>
      </c>
      <c r="I322" s="148">
        <f>2667+táj.2!I322</f>
        <v>2667</v>
      </c>
      <c r="J322" s="148">
        <f>0+táj.2!J322</f>
        <v>0</v>
      </c>
      <c r="K322" s="148">
        <f>0+táj.2!K322</f>
        <v>0</v>
      </c>
      <c r="L322" s="148">
        <f>0+táj.2!L322</f>
        <v>0</v>
      </c>
      <c r="M322" s="148">
        <f>0+táj.2!M322</f>
        <v>0</v>
      </c>
      <c r="N322" s="148">
        <f>0+táj.2!N322</f>
        <v>0</v>
      </c>
      <c r="O322" s="148">
        <f>0+táj.2!O322</f>
        <v>0</v>
      </c>
      <c r="P322" s="148">
        <f>0+táj.2!P322</f>
        <v>0</v>
      </c>
      <c r="Q322" s="148">
        <f>SUM(G322:P322)</f>
        <v>2667</v>
      </c>
    </row>
    <row r="323" spans="1:17" ht="14.1" customHeight="1" x14ac:dyDescent="0.2">
      <c r="A323" s="174"/>
      <c r="B323" s="174"/>
      <c r="C323" s="194"/>
      <c r="D323" s="277" t="s">
        <v>243</v>
      </c>
      <c r="E323" s="148">
        <v>2</v>
      </c>
      <c r="F323" s="148">
        <v>151907</v>
      </c>
      <c r="G323" s="148">
        <f>0+táj.2!G323</f>
        <v>0</v>
      </c>
      <c r="H323" s="148">
        <f>0+táj.2!H323</f>
        <v>0</v>
      </c>
      <c r="I323" s="148">
        <f>175260+táj.2!I323</f>
        <v>175260</v>
      </c>
      <c r="J323" s="148">
        <f>0+táj.2!J323</f>
        <v>0</v>
      </c>
      <c r="K323" s="148">
        <f>0+táj.2!K323</f>
        <v>0</v>
      </c>
      <c r="L323" s="148">
        <f>0+táj.2!L323</f>
        <v>0</v>
      </c>
      <c r="M323" s="148">
        <f>0+táj.2!M323</f>
        <v>0</v>
      </c>
      <c r="N323" s="148">
        <f>0+táj.2!N323</f>
        <v>0</v>
      </c>
      <c r="O323" s="148">
        <f>0+táj.2!O323</f>
        <v>0</v>
      </c>
      <c r="P323" s="148">
        <f>0+táj.2!P323</f>
        <v>0</v>
      </c>
      <c r="Q323" s="148">
        <f>SUM(G323:P323)</f>
        <v>175260</v>
      </c>
    </row>
    <row r="324" spans="1:17" ht="25.5" customHeight="1" x14ac:dyDescent="0.2">
      <c r="A324" s="174"/>
      <c r="B324" s="174"/>
      <c r="C324" s="194"/>
      <c r="D324" s="922" t="s">
        <v>620</v>
      </c>
      <c r="E324" s="148">
        <v>2</v>
      </c>
      <c r="F324" s="148">
        <v>151924</v>
      </c>
      <c r="G324" s="148">
        <f>0+táj.2!G324</f>
        <v>0</v>
      </c>
      <c r="H324" s="148">
        <f>0+táj.2!H324</f>
        <v>0</v>
      </c>
      <c r="I324" s="148">
        <f>61+táj.2!I324</f>
        <v>61</v>
      </c>
      <c r="J324" s="148">
        <f>0+táj.2!J324</f>
        <v>0</v>
      </c>
      <c r="K324" s="148">
        <f>0+táj.2!K324</f>
        <v>0</v>
      </c>
      <c r="L324" s="148">
        <f>769+táj.2!L324</f>
        <v>769</v>
      </c>
      <c r="M324" s="148">
        <f>0+táj.2!M324</f>
        <v>0</v>
      </c>
      <c r="N324" s="148">
        <f>0+táj.2!N324</f>
        <v>0</v>
      </c>
      <c r="O324" s="148">
        <f>0+táj.2!O324</f>
        <v>0</v>
      </c>
      <c r="P324" s="148">
        <f>0+táj.2!P324</f>
        <v>0</v>
      </c>
      <c r="Q324" s="148">
        <f>SUM(G324:P324)</f>
        <v>830</v>
      </c>
    </row>
    <row r="325" spans="1:17" ht="15.75" customHeight="1" x14ac:dyDescent="0.2">
      <c r="A325" s="915"/>
      <c r="B325" s="915"/>
      <c r="C325" s="879"/>
      <c r="D325" s="923" t="s">
        <v>1369</v>
      </c>
      <c r="E325" s="920">
        <v>2</v>
      </c>
      <c r="F325" s="921">
        <v>151909</v>
      </c>
      <c r="G325" s="148">
        <f>0+táj.2!G325</f>
        <v>0</v>
      </c>
      <c r="H325" s="148">
        <f>0+táj.2!H325</f>
        <v>0</v>
      </c>
      <c r="I325" s="148">
        <f>0+táj.2!I325</f>
        <v>0</v>
      </c>
      <c r="J325" s="148">
        <f>0+táj.2!J325</f>
        <v>0</v>
      </c>
      <c r="K325" s="148">
        <f>0+táj.2!K325</f>
        <v>2101</v>
      </c>
      <c r="L325" s="148">
        <f>0+táj.2!L325</f>
        <v>0</v>
      </c>
      <c r="M325" s="148">
        <f>0+táj.2!M325</f>
        <v>0</v>
      </c>
      <c r="N325" s="148">
        <f>0+táj.2!N325</f>
        <v>0</v>
      </c>
      <c r="O325" s="148">
        <f>0+táj.2!O325</f>
        <v>0</v>
      </c>
      <c r="P325" s="148">
        <f>0+táj.2!P325</f>
        <v>0</v>
      </c>
      <c r="Q325" s="148">
        <f>SUM(G325:P325)</f>
        <v>2101</v>
      </c>
    </row>
    <row r="326" spans="1:17" ht="14.1" customHeight="1" x14ac:dyDescent="0.2">
      <c r="A326" s="174"/>
      <c r="B326" s="174"/>
      <c r="C326" s="194"/>
      <c r="D326" s="288" t="s">
        <v>621</v>
      </c>
      <c r="E326" s="185"/>
      <c r="F326" s="185"/>
      <c r="G326" s="148"/>
      <c r="H326" s="148"/>
      <c r="I326" s="148"/>
      <c r="J326" s="148"/>
      <c r="K326" s="148"/>
      <c r="L326" s="148"/>
      <c r="M326" s="148"/>
      <c r="N326" s="148"/>
      <c r="O326" s="148"/>
      <c r="P326" s="148"/>
      <c r="Q326" s="148"/>
    </row>
    <row r="327" spans="1:17" ht="14.1" customHeight="1" x14ac:dyDescent="0.2">
      <c r="A327" s="174"/>
      <c r="B327" s="174"/>
      <c r="C327" s="194"/>
      <c r="D327" s="288" t="s">
        <v>622</v>
      </c>
      <c r="E327" s="185">
        <v>1</v>
      </c>
      <c r="F327" s="148">
        <v>151801</v>
      </c>
      <c r="G327" s="148">
        <f>0+táj.2!G327</f>
        <v>0</v>
      </c>
      <c r="H327" s="148">
        <f>0+táj.2!H327</f>
        <v>0</v>
      </c>
      <c r="I327" s="148">
        <f>0+táj.2!I327</f>
        <v>0</v>
      </c>
      <c r="J327" s="148">
        <f>0+táj.2!J327</f>
        <v>0</v>
      </c>
      <c r="K327" s="148">
        <f>27000+táj.2!K327</f>
        <v>28016</v>
      </c>
      <c r="L327" s="148">
        <f>0+táj.2!L327</f>
        <v>0</v>
      </c>
      <c r="M327" s="148">
        <f>0+táj.2!M327</f>
        <v>0</v>
      </c>
      <c r="N327" s="148">
        <f>0+táj.2!N327</f>
        <v>0</v>
      </c>
      <c r="O327" s="148">
        <f>0+táj.2!O327</f>
        <v>0</v>
      </c>
      <c r="P327" s="148">
        <f>0+táj.2!P327</f>
        <v>0</v>
      </c>
      <c r="Q327" s="148">
        <f>SUM(G327:P327)</f>
        <v>28016</v>
      </c>
    </row>
    <row r="328" spans="1:17" ht="14.1" customHeight="1" x14ac:dyDescent="0.2">
      <c r="A328" s="174"/>
      <c r="B328" s="174"/>
      <c r="C328" s="194"/>
      <c r="D328" s="288" t="s">
        <v>623</v>
      </c>
      <c r="E328" s="185">
        <v>1</v>
      </c>
      <c r="F328" s="148">
        <v>151803</v>
      </c>
      <c r="G328" s="148">
        <f>0+táj.2!G328</f>
        <v>0</v>
      </c>
      <c r="H328" s="148">
        <f>0+táj.2!H328</f>
        <v>0</v>
      </c>
      <c r="I328" s="148">
        <f>500+táj.2!I328</f>
        <v>500</v>
      </c>
      <c r="J328" s="148">
        <f>0+táj.2!J328</f>
        <v>0</v>
      </c>
      <c r="K328" s="148">
        <f>0+táj.2!K328</f>
        <v>0</v>
      </c>
      <c r="L328" s="148">
        <f>0+táj.2!L328</f>
        <v>0</v>
      </c>
      <c r="M328" s="148">
        <f>0+táj.2!M328</f>
        <v>0</v>
      </c>
      <c r="N328" s="148">
        <f>0+táj.2!N328</f>
        <v>0</v>
      </c>
      <c r="O328" s="148">
        <f>0+táj.2!O328</f>
        <v>0</v>
      </c>
      <c r="P328" s="148">
        <f>0+táj.2!P328</f>
        <v>0</v>
      </c>
      <c r="Q328" s="148">
        <f>SUM(G328:P328)</f>
        <v>500</v>
      </c>
    </row>
    <row r="329" spans="1:17" ht="14.1" customHeight="1" x14ac:dyDescent="0.2">
      <c r="A329" s="174"/>
      <c r="B329" s="174"/>
      <c r="C329" s="194"/>
      <c r="D329" s="299" t="s">
        <v>624</v>
      </c>
      <c r="E329" s="188">
        <v>1</v>
      </c>
      <c r="F329" s="148">
        <v>151802</v>
      </c>
      <c r="G329" s="148">
        <f>0+táj.2!G329</f>
        <v>0</v>
      </c>
      <c r="H329" s="148">
        <f>0+táj.2!H329</f>
        <v>0</v>
      </c>
      <c r="I329" s="148">
        <f>1500+táj.2!I329</f>
        <v>1500</v>
      </c>
      <c r="J329" s="148">
        <f>0+táj.2!J329</f>
        <v>0</v>
      </c>
      <c r="K329" s="148">
        <f>0+táj.2!K329</f>
        <v>0</v>
      </c>
      <c r="L329" s="148">
        <f>0+táj.2!L329</f>
        <v>0</v>
      </c>
      <c r="M329" s="148">
        <f>0+táj.2!M329</f>
        <v>0</v>
      </c>
      <c r="N329" s="148">
        <f>0+táj.2!N329</f>
        <v>0</v>
      </c>
      <c r="O329" s="148">
        <f>0+táj.2!O329</f>
        <v>0</v>
      </c>
      <c r="P329" s="148">
        <f>0+táj.2!P329</f>
        <v>0</v>
      </c>
      <c r="Q329" s="148">
        <f>SUM(G329:P329)</f>
        <v>1500</v>
      </c>
    </row>
    <row r="330" spans="1:17" ht="14.1" customHeight="1" x14ac:dyDescent="0.2">
      <c r="A330" s="174"/>
      <c r="B330" s="174"/>
      <c r="C330" s="194"/>
      <c r="D330" s="288" t="s">
        <v>625</v>
      </c>
      <c r="E330" s="185"/>
      <c r="F330" s="185"/>
      <c r="G330" s="148"/>
      <c r="H330" s="148"/>
      <c r="I330" s="148"/>
      <c r="J330" s="148"/>
      <c r="K330" s="148"/>
      <c r="L330" s="148"/>
      <c r="M330" s="148"/>
      <c r="N330" s="148"/>
      <c r="O330" s="148"/>
      <c r="P330" s="148"/>
      <c r="Q330" s="148"/>
    </row>
    <row r="331" spans="1:17" ht="14.1" customHeight="1" x14ac:dyDescent="0.2">
      <c r="A331" s="174"/>
      <c r="B331" s="174"/>
      <c r="C331" s="194"/>
      <c r="D331" s="288" t="s">
        <v>626</v>
      </c>
      <c r="E331" s="148">
        <v>1</v>
      </c>
      <c r="F331" s="148">
        <v>151201</v>
      </c>
      <c r="G331" s="148">
        <f>0+táj.2!G331</f>
        <v>0</v>
      </c>
      <c r="H331" s="148">
        <f>0+táj.2!H331</f>
        <v>0</v>
      </c>
      <c r="I331" s="148">
        <f>153514+táj.2!I331</f>
        <v>153514</v>
      </c>
      <c r="J331" s="148">
        <f>0+táj.2!J331</f>
        <v>0</v>
      </c>
      <c r="K331" s="148">
        <f>0+táj.2!K331</f>
        <v>0</v>
      </c>
      <c r="L331" s="148">
        <f>0+táj.2!L331</f>
        <v>0</v>
      </c>
      <c r="M331" s="148">
        <f>0+táj.2!M331</f>
        <v>0</v>
      </c>
      <c r="N331" s="148">
        <f>0+táj.2!N331</f>
        <v>0</v>
      </c>
      <c r="O331" s="148">
        <f>0+táj.2!O331</f>
        <v>0</v>
      </c>
      <c r="P331" s="148">
        <f>0+táj.2!P331</f>
        <v>0</v>
      </c>
      <c r="Q331" s="148">
        <f t="shared" ref="Q331:Q337" si="25">SUM(G331:P331)</f>
        <v>153514</v>
      </c>
    </row>
    <row r="332" spans="1:17" ht="14.1" customHeight="1" x14ac:dyDescent="0.2">
      <c r="A332" s="174"/>
      <c r="B332" s="174"/>
      <c r="C332" s="194"/>
      <c r="D332" s="288" t="s">
        <v>627</v>
      </c>
      <c r="E332" s="185">
        <v>1</v>
      </c>
      <c r="F332" s="148">
        <v>151204</v>
      </c>
      <c r="G332" s="148">
        <f>0+táj.2!G332</f>
        <v>0</v>
      </c>
      <c r="H332" s="148">
        <f>0+táj.2!H332</f>
        <v>0</v>
      </c>
      <c r="I332" s="148">
        <f>1016+táj.2!I332</f>
        <v>1016</v>
      </c>
      <c r="J332" s="148">
        <f>0+táj.2!J332</f>
        <v>0</v>
      </c>
      <c r="K332" s="148">
        <f>0+táj.2!K332</f>
        <v>0</v>
      </c>
      <c r="L332" s="148">
        <f>0+táj.2!L332</f>
        <v>0</v>
      </c>
      <c r="M332" s="148">
        <f>0+táj.2!M332</f>
        <v>0</v>
      </c>
      <c r="N332" s="148">
        <f>0+táj.2!N332</f>
        <v>0</v>
      </c>
      <c r="O332" s="148">
        <f>0+táj.2!O332</f>
        <v>0</v>
      </c>
      <c r="P332" s="148">
        <f>0+táj.2!P332</f>
        <v>0</v>
      </c>
      <c r="Q332" s="148">
        <f t="shared" si="25"/>
        <v>1016</v>
      </c>
    </row>
    <row r="333" spans="1:17" ht="14.1" customHeight="1" x14ac:dyDescent="0.2">
      <c r="A333" s="174"/>
      <c r="B333" s="174"/>
      <c r="C333" s="194"/>
      <c r="D333" s="288" t="s">
        <v>628</v>
      </c>
      <c r="E333" s="185">
        <v>1</v>
      </c>
      <c r="F333" s="148">
        <v>151202</v>
      </c>
      <c r="G333" s="148">
        <f>0+táj.2!G333</f>
        <v>0</v>
      </c>
      <c r="H333" s="148">
        <f>0+táj.2!H333</f>
        <v>0</v>
      </c>
      <c r="I333" s="148">
        <f>26779+táj.2!I333</f>
        <v>26779</v>
      </c>
      <c r="J333" s="148">
        <f>0+táj.2!J333</f>
        <v>0</v>
      </c>
      <c r="K333" s="148">
        <f>0+táj.2!K333</f>
        <v>0</v>
      </c>
      <c r="L333" s="148">
        <f>0+táj.2!L333</f>
        <v>0</v>
      </c>
      <c r="M333" s="148">
        <f>0+táj.2!M333</f>
        <v>0</v>
      </c>
      <c r="N333" s="148">
        <f>0+táj.2!N333</f>
        <v>0</v>
      </c>
      <c r="O333" s="148">
        <f>0+táj.2!O333</f>
        <v>0</v>
      </c>
      <c r="P333" s="148">
        <f>0+táj.2!P333</f>
        <v>0</v>
      </c>
      <c r="Q333" s="148">
        <f t="shared" si="25"/>
        <v>26779</v>
      </c>
    </row>
    <row r="334" spans="1:17" ht="14.1" customHeight="1" x14ac:dyDescent="0.2">
      <c r="A334" s="174"/>
      <c r="B334" s="174"/>
      <c r="C334" s="194"/>
      <c r="D334" s="288" t="s">
        <v>629</v>
      </c>
      <c r="E334" s="185">
        <v>1</v>
      </c>
      <c r="F334" s="148">
        <v>151205</v>
      </c>
      <c r="G334" s="148">
        <f>0+táj.2!G334</f>
        <v>0</v>
      </c>
      <c r="H334" s="148">
        <f>0+táj.2!H334</f>
        <v>0</v>
      </c>
      <c r="I334" s="148">
        <f>1000+táj.2!I334</f>
        <v>1000</v>
      </c>
      <c r="J334" s="148">
        <f>0+táj.2!J334</f>
        <v>0</v>
      </c>
      <c r="K334" s="148">
        <f>0+táj.2!K334</f>
        <v>0</v>
      </c>
      <c r="L334" s="148">
        <f>0+táj.2!L334</f>
        <v>0</v>
      </c>
      <c r="M334" s="148">
        <f>0+táj.2!M334</f>
        <v>0</v>
      </c>
      <c r="N334" s="148">
        <f>0+táj.2!N334</f>
        <v>0</v>
      </c>
      <c r="O334" s="148">
        <f>0+táj.2!O334</f>
        <v>0</v>
      </c>
      <c r="P334" s="148">
        <f>0+táj.2!P334</f>
        <v>0</v>
      </c>
      <c r="Q334" s="148">
        <f t="shared" si="25"/>
        <v>1000</v>
      </c>
    </row>
    <row r="335" spans="1:17" ht="23.25" customHeight="1" x14ac:dyDescent="0.2">
      <c r="A335" s="174"/>
      <c r="B335" s="174"/>
      <c r="C335" s="194"/>
      <c r="D335" s="149" t="s">
        <v>630</v>
      </c>
      <c r="E335" s="185">
        <v>2</v>
      </c>
      <c r="F335" s="148">
        <v>151207</v>
      </c>
      <c r="G335" s="148">
        <f>0+táj.2!G335</f>
        <v>0</v>
      </c>
      <c r="H335" s="148">
        <f>0+táj.2!H335</f>
        <v>0</v>
      </c>
      <c r="I335" s="148">
        <f>500+táj.2!I335</f>
        <v>500</v>
      </c>
      <c r="J335" s="148">
        <f>0+táj.2!J335</f>
        <v>0</v>
      </c>
      <c r="K335" s="148">
        <f>0+táj.2!K335</f>
        <v>0</v>
      </c>
      <c r="L335" s="148">
        <f>0+táj.2!L335</f>
        <v>0</v>
      </c>
      <c r="M335" s="148">
        <f>0+táj.2!M335</f>
        <v>0</v>
      </c>
      <c r="N335" s="148">
        <f>0+táj.2!N335</f>
        <v>0</v>
      </c>
      <c r="O335" s="148">
        <f>0+táj.2!O335</f>
        <v>0</v>
      </c>
      <c r="P335" s="148">
        <f>0+táj.2!P335</f>
        <v>0</v>
      </c>
      <c r="Q335" s="148">
        <f t="shared" si="25"/>
        <v>500</v>
      </c>
    </row>
    <row r="336" spans="1:17" ht="14.1" customHeight="1" x14ac:dyDescent="0.2">
      <c r="A336" s="174"/>
      <c r="B336" s="174"/>
      <c r="C336" s="194"/>
      <c r="D336" s="288" t="s">
        <v>631</v>
      </c>
      <c r="E336" s="185">
        <v>1</v>
      </c>
      <c r="F336" s="148">
        <v>151902</v>
      </c>
      <c r="G336" s="148">
        <f>8210+táj.2!G336</f>
        <v>8210</v>
      </c>
      <c r="H336" s="148">
        <f>1200+táj.2!H336</f>
        <v>1200</v>
      </c>
      <c r="I336" s="148">
        <f>6020+táj.2!I336</f>
        <v>6020</v>
      </c>
      <c r="J336" s="148">
        <f>0+táj.2!J336</f>
        <v>0</v>
      </c>
      <c r="K336" s="148">
        <f>5400+táj.2!K336</f>
        <v>5400</v>
      </c>
      <c r="L336" s="148">
        <f>0+táj.2!L336</f>
        <v>0</v>
      </c>
      <c r="M336" s="148">
        <f>0+táj.2!M336</f>
        <v>0</v>
      </c>
      <c r="N336" s="148">
        <f>0+táj.2!N336</f>
        <v>0</v>
      </c>
      <c r="O336" s="148">
        <f>0+táj.2!O336</f>
        <v>0</v>
      </c>
      <c r="P336" s="148">
        <f>0+táj.2!P336</f>
        <v>0</v>
      </c>
      <c r="Q336" s="148">
        <f t="shared" si="25"/>
        <v>20830</v>
      </c>
    </row>
    <row r="337" spans="1:18" ht="25.5" customHeight="1" x14ac:dyDescent="0.2">
      <c r="A337" s="174"/>
      <c r="B337" s="174"/>
      <c r="C337" s="194"/>
      <c r="D337" s="149" t="s">
        <v>632</v>
      </c>
      <c r="E337" s="185"/>
      <c r="F337" s="148">
        <v>151925</v>
      </c>
      <c r="G337" s="148">
        <f>0+táj.2!G337</f>
        <v>0</v>
      </c>
      <c r="H337" s="148">
        <f>0+táj.2!H337</f>
        <v>0</v>
      </c>
      <c r="I337" s="148">
        <f>3000+táj.2!I337</f>
        <v>3000</v>
      </c>
      <c r="J337" s="148">
        <f>0+táj.2!J337</f>
        <v>0</v>
      </c>
      <c r="K337" s="148">
        <f>0+táj.2!K337</f>
        <v>0</v>
      </c>
      <c r="L337" s="148">
        <f>0+táj.2!L337</f>
        <v>0</v>
      </c>
      <c r="M337" s="148">
        <f>0+táj.2!M337</f>
        <v>0</v>
      </c>
      <c r="N337" s="148">
        <f>0+táj.2!N337</f>
        <v>0</v>
      </c>
      <c r="O337" s="148">
        <f>0+táj.2!O337</f>
        <v>0</v>
      </c>
      <c r="P337" s="148">
        <f>0+táj.2!P337</f>
        <v>0</v>
      </c>
      <c r="Q337" s="148">
        <f t="shared" si="25"/>
        <v>3000</v>
      </c>
    </row>
    <row r="338" spans="1:18" ht="15" customHeight="1" x14ac:dyDescent="0.2">
      <c r="A338" s="174"/>
      <c r="B338" s="174"/>
      <c r="C338" s="194"/>
      <c r="D338" s="150" t="s">
        <v>254</v>
      </c>
      <c r="E338" s="217"/>
      <c r="F338" s="217"/>
      <c r="G338" s="148"/>
      <c r="H338" s="148"/>
      <c r="I338" s="148"/>
      <c r="J338" s="148"/>
      <c r="K338" s="148"/>
      <c r="L338" s="148"/>
      <c r="M338" s="148"/>
      <c r="N338" s="148"/>
      <c r="O338" s="148"/>
      <c r="P338" s="148"/>
      <c r="Q338" s="148"/>
    </row>
    <row r="339" spans="1:18" ht="24.95" customHeight="1" x14ac:dyDescent="0.2">
      <c r="A339" s="174"/>
      <c r="B339" s="174"/>
      <c r="C339" s="194"/>
      <c r="D339" s="150" t="s">
        <v>633</v>
      </c>
      <c r="E339" s="156">
        <v>2</v>
      </c>
      <c r="F339" s="226">
        <v>151910</v>
      </c>
      <c r="G339" s="148">
        <f>0+táj.2!G339</f>
        <v>0</v>
      </c>
      <c r="H339" s="148">
        <f>0+táj.2!H339</f>
        <v>0</v>
      </c>
      <c r="I339" s="148">
        <f>95758+táj.2!I339</f>
        <v>95758</v>
      </c>
      <c r="J339" s="148">
        <f>0+táj.2!J339</f>
        <v>0</v>
      </c>
      <c r="K339" s="148">
        <f>0+táj.2!K339</f>
        <v>0</v>
      </c>
      <c r="L339" s="148">
        <f>0+táj.2!L339</f>
        <v>0</v>
      </c>
      <c r="M339" s="148">
        <f>0+táj.2!M339</f>
        <v>0</v>
      </c>
      <c r="N339" s="148">
        <f>0+táj.2!N339</f>
        <v>0</v>
      </c>
      <c r="O339" s="148">
        <f>0+táj.2!O339</f>
        <v>0</v>
      </c>
      <c r="P339" s="148">
        <f>0+táj.2!P339</f>
        <v>0</v>
      </c>
      <c r="Q339" s="148">
        <f>SUM(G339:P339)</f>
        <v>95758</v>
      </c>
    </row>
    <row r="340" spans="1:18" ht="24.75" customHeight="1" x14ac:dyDescent="0.2">
      <c r="A340" s="174"/>
      <c r="B340" s="174"/>
      <c r="C340" s="194"/>
      <c r="D340" s="150" t="s">
        <v>312</v>
      </c>
      <c r="E340" s="156"/>
      <c r="F340" s="217"/>
      <c r="G340" s="148"/>
      <c r="H340" s="148"/>
      <c r="I340" s="148"/>
      <c r="J340" s="148"/>
      <c r="K340" s="148"/>
      <c r="L340" s="148"/>
      <c r="M340" s="148"/>
      <c r="N340" s="148"/>
      <c r="O340" s="148"/>
      <c r="P340" s="148"/>
      <c r="Q340" s="148"/>
    </row>
    <row r="341" spans="1:18" ht="24.95" customHeight="1" x14ac:dyDescent="0.2">
      <c r="A341" s="174"/>
      <c r="B341" s="174"/>
      <c r="C341" s="194"/>
      <c r="D341" s="150" t="s">
        <v>634</v>
      </c>
      <c r="E341" s="156">
        <v>1</v>
      </c>
      <c r="F341" s="226">
        <v>152915</v>
      </c>
      <c r="G341" s="148">
        <f>0+táj.2!G341</f>
        <v>0</v>
      </c>
      <c r="H341" s="148">
        <f>0+táj.2!H341</f>
        <v>0</v>
      </c>
      <c r="I341" s="148">
        <f>15405+táj.2!I341</f>
        <v>15405</v>
      </c>
      <c r="J341" s="148">
        <f>0+táj.2!J341</f>
        <v>0</v>
      </c>
      <c r="K341" s="148">
        <f>0+táj.2!K341</f>
        <v>0</v>
      </c>
      <c r="L341" s="148">
        <f>0+táj.2!L341</f>
        <v>0</v>
      </c>
      <c r="M341" s="148">
        <f>0+táj.2!M341</f>
        <v>0</v>
      </c>
      <c r="N341" s="148">
        <f>0+táj.2!N341</f>
        <v>0</v>
      </c>
      <c r="O341" s="148">
        <f>0+táj.2!O341</f>
        <v>0</v>
      </c>
      <c r="P341" s="148">
        <f>0+táj.2!P341</f>
        <v>0</v>
      </c>
      <c r="Q341" s="148">
        <f>SUM(G341:P341)</f>
        <v>15405</v>
      </c>
    </row>
    <row r="342" spans="1:18" ht="17.100000000000001" customHeight="1" x14ac:dyDescent="0.2">
      <c r="A342" s="174"/>
      <c r="B342" s="174"/>
      <c r="C342" s="194"/>
      <c r="D342" s="288" t="s">
        <v>635</v>
      </c>
      <c r="E342" s="185"/>
      <c r="F342" s="185"/>
      <c r="G342" s="148"/>
      <c r="H342" s="148"/>
      <c r="I342" s="148"/>
      <c r="J342" s="148"/>
      <c r="K342" s="148"/>
      <c r="L342" s="148"/>
      <c r="M342" s="148"/>
      <c r="N342" s="148"/>
      <c r="O342" s="148"/>
      <c r="P342" s="148"/>
      <c r="Q342" s="148"/>
    </row>
    <row r="343" spans="1:18" ht="17.100000000000001" customHeight="1" x14ac:dyDescent="0.2">
      <c r="A343" s="174"/>
      <c r="B343" s="174"/>
      <c r="C343" s="194"/>
      <c r="D343" s="288" t="s">
        <v>636</v>
      </c>
      <c r="E343" s="148">
        <v>1</v>
      </c>
      <c r="F343" s="148">
        <v>151704</v>
      </c>
      <c r="G343" s="148">
        <f>0+táj.2!G343</f>
        <v>0</v>
      </c>
      <c r="H343" s="148">
        <f>0+táj.2!H343</f>
        <v>0</v>
      </c>
      <c r="I343" s="148">
        <f>0+táj.2!I343</f>
        <v>0</v>
      </c>
      <c r="J343" s="148">
        <f>0+táj.2!J343</f>
        <v>0</v>
      </c>
      <c r="K343" s="148">
        <f>250+táj.2!K343</f>
        <v>250</v>
      </c>
      <c r="L343" s="148">
        <f>0+táj.2!L343</f>
        <v>0</v>
      </c>
      <c r="M343" s="148">
        <f>0+táj.2!M343</f>
        <v>0</v>
      </c>
      <c r="N343" s="148">
        <f>0+táj.2!N343</f>
        <v>0</v>
      </c>
      <c r="O343" s="148">
        <f>0+táj.2!O343</f>
        <v>0</v>
      </c>
      <c r="P343" s="148">
        <f>0+táj.2!P343</f>
        <v>0</v>
      </c>
      <c r="Q343" s="148">
        <f>SUM(G343:P343)</f>
        <v>250</v>
      </c>
    </row>
    <row r="344" spans="1:18" ht="17.100000000000001" customHeight="1" x14ac:dyDescent="0.2">
      <c r="A344" s="200"/>
      <c r="B344" s="200"/>
      <c r="C344" s="201"/>
      <c r="D344" s="300" t="s">
        <v>637</v>
      </c>
      <c r="E344" s="203"/>
      <c r="F344" s="204"/>
      <c r="G344" s="204">
        <f t="shared" ref="G344:Q344" si="26">SUM(G232:G343)</f>
        <v>8253</v>
      </c>
      <c r="H344" s="204">
        <f t="shared" si="26"/>
        <v>1208</v>
      </c>
      <c r="I344" s="204">
        <f t="shared" si="26"/>
        <v>1819974</v>
      </c>
      <c r="J344" s="204">
        <f t="shared" si="26"/>
        <v>0</v>
      </c>
      <c r="K344" s="204">
        <f t="shared" si="26"/>
        <v>665199</v>
      </c>
      <c r="L344" s="204">
        <f t="shared" si="26"/>
        <v>4034</v>
      </c>
      <c r="M344" s="204">
        <f t="shared" si="26"/>
        <v>5194</v>
      </c>
      <c r="N344" s="204">
        <f t="shared" si="26"/>
        <v>0</v>
      </c>
      <c r="O344" s="204">
        <f t="shared" si="26"/>
        <v>0</v>
      </c>
      <c r="P344" s="204">
        <f t="shared" si="26"/>
        <v>0</v>
      </c>
      <c r="Q344" s="204">
        <f t="shared" si="26"/>
        <v>2503862</v>
      </c>
      <c r="R344" s="15"/>
    </row>
    <row r="345" spans="1:18" ht="17.100000000000001" customHeight="1" x14ac:dyDescent="0.2">
      <c r="A345" s="206"/>
      <c r="B345" s="206"/>
      <c r="C345" s="206"/>
      <c r="D345" s="281" t="s">
        <v>378</v>
      </c>
      <c r="E345" s="209"/>
      <c r="F345" s="210"/>
      <c r="G345" s="210"/>
      <c r="H345" s="210"/>
      <c r="I345" s="210"/>
      <c r="J345" s="210"/>
      <c r="K345" s="210"/>
      <c r="L345" s="210"/>
      <c r="M345" s="210"/>
      <c r="N345" s="210"/>
      <c r="O345" s="210"/>
      <c r="P345" s="210"/>
      <c r="Q345" s="210"/>
    </row>
    <row r="346" spans="1:18" ht="17.25" customHeight="1" x14ac:dyDescent="0.2">
      <c r="A346" s="206"/>
      <c r="B346" s="206"/>
      <c r="C346" s="301" t="s">
        <v>100</v>
      </c>
      <c r="D346" s="302" t="s">
        <v>638</v>
      </c>
      <c r="E346" s="209"/>
      <c r="F346" s="210"/>
      <c r="G346" s="210"/>
      <c r="H346" s="210"/>
      <c r="I346" s="210"/>
      <c r="J346" s="210"/>
      <c r="K346" s="210"/>
      <c r="L346" s="210"/>
      <c r="M346" s="210"/>
      <c r="N346" s="210"/>
      <c r="O346" s="210"/>
      <c r="P346" s="210"/>
      <c r="Q346" s="210"/>
    </row>
    <row r="347" spans="1:18" ht="17.25" customHeight="1" x14ac:dyDescent="0.2">
      <c r="A347" s="206"/>
      <c r="B347" s="206"/>
      <c r="C347" s="174" t="s">
        <v>379</v>
      </c>
      <c r="D347" s="890" t="s">
        <v>1143</v>
      </c>
      <c r="E347" s="715"/>
      <c r="F347" s="503">
        <v>154133</v>
      </c>
      <c r="G347" s="148">
        <f>0+táj.2!G347</f>
        <v>0</v>
      </c>
      <c r="H347" s="148">
        <f>0+táj.2!H347</f>
        <v>0</v>
      </c>
      <c r="I347" s="148">
        <f>0+táj.2!I347</f>
        <v>0</v>
      </c>
      <c r="J347" s="148">
        <f>0+táj.2!J347</f>
        <v>0</v>
      </c>
      <c r="K347" s="148">
        <f>0+táj.2!K347</f>
        <v>0</v>
      </c>
      <c r="L347" s="148">
        <f>0+táj.2!L347</f>
        <v>0</v>
      </c>
      <c r="M347" s="148">
        <f>975+táj.2!M347</f>
        <v>745</v>
      </c>
      <c r="N347" s="148">
        <f>0+táj.2!N347</f>
        <v>0</v>
      </c>
      <c r="O347" s="148">
        <f>0+táj.2!O347</f>
        <v>0</v>
      </c>
      <c r="P347" s="148">
        <f>0+táj.2!P347</f>
        <v>0</v>
      </c>
      <c r="Q347" s="148">
        <f>SUM(G347:P347)</f>
        <v>745</v>
      </c>
    </row>
    <row r="348" spans="1:18" ht="17.100000000000001" customHeight="1" x14ac:dyDescent="0.2">
      <c r="A348" s="206"/>
      <c r="B348" s="206"/>
      <c r="C348" s="174" t="s">
        <v>639</v>
      </c>
      <c r="D348" s="682" t="s">
        <v>641</v>
      </c>
      <c r="E348" s="503"/>
      <c r="F348" s="503">
        <v>152112</v>
      </c>
      <c r="G348" s="148">
        <f>0+táj.2!G348</f>
        <v>0</v>
      </c>
      <c r="H348" s="148">
        <f>0+táj.2!H348</f>
        <v>0</v>
      </c>
      <c r="I348" s="148">
        <f>0+táj.2!I348</f>
        <v>0</v>
      </c>
      <c r="J348" s="148">
        <f>0+táj.2!J348</f>
        <v>0</v>
      </c>
      <c r="K348" s="148">
        <f>0+táj.2!K348</f>
        <v>0</v>
      </c>
      <c r="L348" s="148">
        <f>6610+táj.2!L348</f>
        <v>6170</v>
      </c>
      <c r="M348" s="148">
        <f>0+táj.2!M348</f>
        <v>0</v>
      </c>
      <c r="N348" s="148">
        <f>0+táj.2!N348</f>
        <v>0</v>
      </c>
      <c r="O348" s="148">
        <f>0+táj.2!O348</f>
        <v>0</v>
      </c>
      <c r="P348" s="148">
        <f>0+táj.2!P348</f>
        <v>0</v>
      </c>
      <c r="Q348" s="148">
        <f>SUM(G348:P348)</f>
        <v>6170</v>
      </c>
    </row>
    <row r="349" spans="1:18" ht="17.100000000000001" customHeight="1" x14ac:dyDescent="0.2">
      <c r="A349" s="206"/>
      <c r="B349" s="206"/>
      <c r="C349" s="174" t="s">
        <v>640</v>
      </c>
      <c r="D349" s="704" t="s">
        <v>643</v>
      </c>
      <c r="E349" s="503"/>
      <c r="F349" s="503">
        <v>152133</v>
      </c>
      <c r="G349" s="148">
        <f>0+táj.2!G349</f>
        <v>0</v>
      </c>
      <c r="H349" s="148">
        <f>0+táj.2!H349</f>
        <v>0</v>
      </c>
      <c r="I349" s="148">
        <f>1000+táj.2!I349</f>
        <v>1258</v>
      </c>
      <c r="J349" s="148">
        <f>0+táj.2!J349</f>
        <v>0</v>
      </c>
      <c r="K349" s="148">
        <f>0+táj.2!K349</f>
        <v>0</v>
      </c>
      <c r="L349" s="148">
        <f>0+táj.2!L349</f>
        <v>0</v>
      </c>
      <c r="M349" s="148">
        <f>0+táj.2!M349</f>
        <v>0</v>
      </c>
      <c r="N349" s="148">
        <f>0+táj.2!N349</f>
        <v>0</v>
      </c>
      <c r="O349" s="148">
        <f>0+táj.2!O349</f>
        <v>0</v>
      </c>
      <c r="P349" s="148">
        <f>0+táj.2!P349</f>
        <v>0</v>
      </c>
      <c r="Q349" s="148">
        <f t="shared" ref="Q349:Q356" si="27">SUM(G349:P349)</f>
        <v>1258</v>
      </c>
    </row>
    <row r="350" spans="1:18" ht="17.100000000000001" customHeight="1" x14ac:dyDescent="0.2">
      <c r="A350" s="206"/>
      <c r="B350" s="206"/>
      <c r="C350" s="174" t="s">
        <v>642</v>
      </c>
      <c r="D350" s="705" t="s">
        <v>1144</v>
      </c>
      <c r="E350" s="503"/>
      <c r="F350" s="503">
        <v>154134</v>
      </c>
      <c r="G350" s="148">
        <f>0+táj.2!G350</f>
        <v>0</v>
      </c>
      <c r="H350" s="148">
        <f>0+táj.2!H350</f>
        <v>0</v>
      </c>
      <c r="I350" s="148">
        <f>0+táj.2!I350</f>
        <v>0</v>
      </c>
      <c r="J350" s="148">
        <f>0+táj.2!J350</f>
        <v>0</v>
      </c>
      <c r="K350" s="148">
        <f>0+táj.2!K350</f>
        <v>0</v>
      </c>
      <c r="L350" s="148">
        <f>0+táj.2!L350</f>
        <v>0</v>
      </c>
      <c r="M350" s="148">
        <f>1076+táj.2!M350</f>
        <v>1076</v>
      </c>
      <c r="N350" s="148">
        <f>0+táj.2!N350</f>
        <v>0</v>
      </c>
      <c r="O350" s="148">
        <f>0+táj.2!O350</f>
        <v>0</v>
      </c>
      <c r="P350" s="148">
        <f>0+táj.2!P350</f>
        <v>0</v>
      </c>
      <c r="Q350" s="148">
        <f t="shared" si="27"/>
        <v>1076</v>
      </c>
    </row>
    <row r="351" spans="1:18" ht="17.100000000000001" customHeight="1" x14ac:dyDescent="0.2">
      <c r="A351" s="836"/>
      <c r="B351" s="836"/>
      <c r="C351" s="839" t="s">
        <v>1302</v>
      </c>
      <c r="D351" s="840" t="s">
        <v>1303</v>
      </c>
      <c r="E351" s="841"/>
      <c r="F351" s="841">
        <v>154922</v>
      </c>
      <c r="G351" s="148">
        <f>0+táj.2!G351</f>
        <v>0</v>
      </c>
      <c r="H351" s="148">
        <f>0+táj.2!H351</f>
        <v>0</v>
      </c>
      <c r="I351" s="148">
        <f>0+táj.2!I351</f>
        <v>0</v>
      </c>
      <c r="J351" s="148">
        <f>0+táj.2!J351</f>
        <v>0</v>
      </c>
      <c r="K351" s="148">
        <f>0+táj.2!K351</f>
        <v>0</v>
      </c>
      <c r="L351" s="148">
        <f>0+táj.2!L351</f>
        <v>0</v>
      </c>
      <c r="M351" s="148">
        <f>2705+táj.2!M351</f>
        <v>2705</v>
      </c>
      <c r="N351" s="148">
        <f>0+táj.2!N351</f>
        <v>0</v>
      </c>
      <c r="O351" s="148">
        <f>0+táj.2!O351</f>
        <v>0</v>
      </c>
      <c r="P351" s="148">
        <f>0+táj.2!P351</f>
        <v>0</v>
      </c>
      <c r="Q351" s="148">
        <f t="shared" si="27"/>
        <v>2705</v>
      </c>
    </row>
    <row r="352" spans="1:18" ht="13.5" customHeight="1" x14ac:dyDescent="0.2">
      <c r="A352" s="206"/>
      <c r="B352" s="206"/>
      <c r="C352" s="706"/>
      <c r="D352" s="707" t="s">
        <v>1145</v>
      </c>
      <c r="E352" s="708"/>
      <c r="F352" s="708"/>
      <c r="G352" s="148"/>
      <c r="H352" s="148"/>
      <c r="I352" s="148"/>
      <c r="J352" s="148"/>
      <c r="K352" s="148"/>
      <c r="L352" s="148"/>
      <c r="M352" s="148"/>
      <c r="N352" s="148"/>
      <c r="O352" s="148"/>
      <c r="P352" s="148"/>
      <c r="Q352" s="148"/>
    </row>
    <row r="353" spans="1:17" ht="17.100000000000001" customHeight="1" x14ac:dyDescent="0.2">
      <c r="A353" s="206"/>
      <c r="B353" s="206"/>
      <c r="C353" s="709" t="s">
        <v>382</v>
      </c>
      <c r="D353" s="710" t="s">
        <v>1013</v>
      </c>
      <c r="E353" s="503"/>
      <c r="F353" s="503">
        <v>154103</v>
      </c>
      <c r="G353" s="148">
        <f>0+táj.2!G353</f>
        <v>0</v>
      </c>
      <c r="H353" s="148">
        <f>0+táj.2!H353</f>
        <v>0</v>
      </c>
      <c r="I353" s="148">
        <f>0+táj.2!I353</f>
        <v>0</v>
      </c>
      <c r="J353" s="148">
        <f>0+táj.2!J353</f>
        <v>0</v>
      </c>
      <c r="K353" s="148">
        <f>0+táj.2!K353</f>
        <v>0</v>
      </c>
      <c r="L353" s="148">
        <f>0+táj.2!L353</f>
        <v>0</v>
      </c>
      <c r="M353" s="148">
        <f>3004+táj.2!M353</f>
        <v>3004</v>
      </c>
      <c r="N353" s="148">
        <f>0+táj.2!N353</f>
        <v>0</v>
      </c>
      <c r="O353" s="148">
        <f>0+táj.2!O353</f>
        <v>0</v>
      </c>
      <c r="P353" s="148">
        <f>0+táj.2!P353</f>
        <v>0</v>
      </c>
      <c r="Q353" s="148">
        <f t="shared" si="27"/>
        <v>3004</v>
      </c>
    </row>
    <row r="354" spans="1:17" ht="17.100000000000001" customHeight="1" x14ac:dyDescent="0.2">
      <c r="A354" s="206"/>
      <c r="B354" s="206"/>
      <c r="C354" s="709" t="s">
        <v>644</v>
      </c>
      <c r="D354" s="711" t="s">
        <v>645</v>
      </c>
      <c r="E354" s="708"/>
      <c r="F354" s="503">
        <v>152129</v>
      </c>
      <c r="G354" s="148">
        <f>0+táj.2!G354</f>
        <v>0</v>
      </c>
      <c r="H354" s="148">
        <f>0+táj.2!H354</f>
        <v>0</v>
      </c>
      <c r="I354" s="148">
        <f>0+táj.2!I354</f>
        <v>0</v>
      </c>
      <c r="J354" s="148">
        <f>0+táj.2!J354</f>
        <v>0</v>
      </c>
      <c r="K354" s="148">
        <f>0+táj.2!K354</f>
        <v>0</v>
      </c>
      <c r="L354" s="148">
        <f>1714+táj.2!L354</f>
        <v>1714</v>
      </c>
      <c r="M354" s="148">
        <f>0+táj.2!M354</f>
        <v>0</v>
      </c>
      <c r="N354" s="148">
        <f>0+táj.2!N354</f>
        <v>0</v>
      </c>
      <c r="O354" s="148">
        <f>0+táj.2!O354</f>
        <v>0</v>
      </c>
      <c r="P354" s="148">
        <f>0+táj.2!P354</f>
        <v>0</v>
      </c>
      <c r="Q354" s="148">
        <f t="shared" si="27"/>
        <v>1714</v>
      </c>
    </row>
    <row r="355" spans="1:17" ht="22.5" customHeight="1" x14ac:dyDescent="0.2">
      <c r="A355" s="206"/>
      <c r="B355" s="206"/>
      <c r="C355" s="709" t="s">
        <v>646</v>
      </c>
      <c r="D355" s="712" t="s">
        <v>647</v>
      </c>
      <c r="E355" s="503"/>
      <c r="F355" s="503">
        <v>152122</v>
      </c>
      <c r="G355" s="148">
        <f>0+táj.2!G355</f>
        <v>0</v>
      </c>
      <c r="H355" s="148">
        <f>0+táj.2!H355</f>
        <v>0</v>
      </c>
      <c r="I355" s="148">
        <f>0+táj.2!I355</f>
        <v>0</v>
      </c>
      <c r="J355" s="148">
        <f>0+táj.2!J355</f>
        <v>0</v>
      </c>
      <c r="K355" s="148">
        <f>0+táj.2!K355</f>
        <v>0</v>
      </c>
      <c r="L355" s="148">
        <f>2062+táj.2!L355</f>
        <v>2502</v>
      </c>
      <c r="M355" s="148">
        <f>0+táj.2!M355</f>
        <v>0</v>
      </c>
      <c r="N355" s="148">
        <f>0+táj.2!N355</f>
        <v>0</v>
      </c>
      <c r="O355" s="148">
        <f>0+táj.2!O355</f>
        <v>0</v>
      </c>
      <c r="P355" s="148">
        <f>0+táj.2!P355</f>
        <v>0</v>
      </c>
      <c r="Q355" s="148">
        <f t="shared" si="27"/>
        <v>2502</v>
      </c>
    </row>
    <row r="356" spans="1:17" ht="17.100000000000001" customHeight="1" x14ac:dyDescent="0.2">
      <c r="A356" s="206"/>
      <c r="B356" s="206"/>
      <c r="C356" s="709" t="s">
        <v>648</v>
      </c>
      <c r="D356" s="713" t="s">
        <v>649</v>
      </c>
      <c r="E356" s="708"/>
      <c r="F356" s="503">
        <v>154128</v>
      </c>
      <c r="G356" s="148">
        <f>0+táj.2!G356</f>
        <v>0</v>
      </c>
      <c r="H356" s="148">
        <f>0+táj.2!H356</f>
        <v>0</v>
      </c>
      <c r="I356" s="148">
        <f>0+táj.2!I356</f>
        <v>0</v>
      </c>
      <c r="J356" s="148">
        <f>0+táj.2!J356</f>
        <v>0</v>
      </c>
      <c r="K356" s="148">
        <f>0+táj.2!K356</f>
        <v>0</v>
      </c>
      <c r="L356" s="148">
        <f>0+táj.2!L356</f>
        <v>0</v>
      </c>
      <c r="M356" s="148">
        <f>709+táj.2!M356</f>
        <v>709</v>
      </c>
      <c r="N356" s="148">
        <f>0+táj.2!N356</f>
        <v>0</v>
      </c>
      <c r="O356" s="148">
        <f>0+táj.2!O356</f>
        <v>0</v>
      </c>
      <c r="P356" s="148">
        <f>0+táj.2!P356</f>
        <v>0</v>
      </c>
      <c r="Q356" s="148">
        <f t="shared" si="27"/>
        <v>709</v>
      </c>
    </row>
    <row r="357" spans="1:17" ht="17.100000000000001" customHeight="1" x14ac:dyDescent="0.2">
      <c r="A357" s="206"/>
      <c r="B357" s="206"/>
      <c r="C357" s="306" t="s">
        <v>99</v>
      </c>
      <c r="D357" s="307" t="s">
        <v>650</v>
      </c>
      <c r="E357" s="209"/>
      <c r="F357" s="148"/>
      <c r="G357" s="148"/>
      <c r="H357" s="148"/>
      <c r="I357" s="148"/>
      <c r="J357" s="148"/>
      <c r="K357" s="148"/>
      <c r="L357" s="148"/>
      <c r="M357" s="148"/>
      <c r="N357" s="148"/>
      <c r="O357" s="148"/>
      <c r="P357" s="148"/>
      <c r="Q357" s="148"/>
    </row>
    <row r="358" spans="1:17" ht="17.100000000000001" customHeight="1" x14ac:dyDescent="0.2">
      <c r="A358" s="206"/>
      <c r="B358" s="206"/>
      <c r="C358" s="308" t="s">
        <v>101</v>
      </c>
      <c r="D358" s="516" t="s">
        <v>651</v>
      </c>
      <c r="E358" s="209"/>
      <c r="F358" s="210"/>
      <c r="G358" s="148"/>
      <c r="H358" s="148"/>
      <c r="I358" s="148"/>
      <c r="J358" s="148"/>
      <c r="K358" s="148"/>
      <c r="L358" s="148"/>
      <c r="M358" s="148"/>
      <c r="N358" s="148"/>
      <c r="O358" s="148"/>
      <c r="P358" s="148"/>
      <c r="Q358" s="148"/>
    </row>
    <row r="359" spans="1:17" ht="17.100000000000001" customHeight="1" x14ac:dyDescent="0.2">
      <c r="A359" s="206"/>
      <c r="B359" s="206"/>
      <c r="C359" s="309" t="s">
        <v>521</v>
      </c>
      <c r="D359" s="716" t="s">
        <v>1146</v>
      </c>
      <c r="E359" s="503"/>
      <c r="F359" s="503">
        <v>152309</v>
      </c>
      <c r="G359" s="148">
        <f>0+táj.2!G359</f>
        <v>0</v>
      </c>
      <c r="H359" s="148">
        <f>0+táj.2!H359</f>
        <v>0</v>
      </c>
      <c r="I359" s="148">
        <f>0+táj.2!I359</f>
        <v>0</v>
      </c>
      <c r="J359" s="148">
        <f>0+táj.2!J359</f>
        <v>0</v>
      </c>
      <c r="K359" s="148">
        <f>0+táj.2!K359</f>
        <v>0</v>
      </c>
      <c r="L359" s="148">
        <f>1300+táj.2!L359</f>
        <v>1300</v>
      </c>
      <c r="M359" s="148">
        <f>0+táj.2!M359</f>
        <v>0</v>
      </c>
      <c r="N359" s="148">
        <f>0+táj.2!N359</f>
        <v>0</v>
      </c>
      <c r="O359" s="148">
        <f>0+táj.2!O359</f>
        <v>0</v>
      </c>
      <c r="P359" s="148">
        <f>0+táj.2!P359</f>
        <v>0</v>
      </c>
      <c r="Q359" s="148">
        <f t="shared" ref="Q359:Q365" si="28">SUM(G359:P359)</f>
        <v>1300</v>
      </c>
    </row>
    <row r="360" spans="1:17" ht="17.100000000000001" customHeight="1" x14ac:dyDescent="0.2">
      <c r="A360" s="206"/>
      <c r="B360" s="206"/>
      <c r="C360" s="309" t="s">
        <v>522</v>
      </c>
      <c r="D360" s="716" t="s">
        <v>1147</v>
      </c>
      <c r="E360" s="708"/>
      <c r="F360" s="503">
        <v>152310</v>
      </c>
      <c r="G360" s="148">
        <f>0+táj.2!G360</f>
        <v>0</v>
      </c>
      <c r="H360" s="148">
        <f>0+táj.2!H360</f>
        <v>0</v>
      </c>
      <c r="I360" s="148">
        <f>0+táj.2!I360</f>
        <v>0</v>
      </c>
      <c r="J360" s="148">
        <f>0+táj.2!J360</f>
        <v>0</v>
      </c>
      <c r="K360" s="148">
        <f>0+táj.2!K360</f>
        <v>0</v>
      </c>
      <c r="L360" s="148">
        <f>1226+táj.2!L360</f>
        <v>1226</v>
      </c>
      <c r="M360" s="148">
        <f>0+táj.2!M360</f>
        <v>0</v>
      </c>
      <c r="N360" s="148">
        <f>0+táj.2!N360</f>
        <v>0</v>
      </c>
      <c r="O360" s="148">
        <f>0+táj.2!O360</f>
        <v>0</v>
      </c>
      <c r="P360" s="148">
        <f>0+táj.2!P360</f>
        <v>0</v>
      </c>
      <c r="Q360" s="148">
        <f t="shared" si="28"/>
        <v>1226</v>
      </c>
    </row>
    <row r="361" spans="1:17" ht="17.100000000000001" customHeight="1" x14ac:dyDescent="0.2">
      <c r="A361" s="206"/>
      <c r="B361" s="206"/>
      <c r="C361" s="309" t="s">
        <v>652</v>
      </c>
      <c r="D361" s="705" t="s">
        <v>1148</v>
      </c>
      <c r="E361" s="503"/>
      <c r="F361" s="503">
        <v>152349</v>
      </c>
      <c r="G361" s="148">
        <f>0+táj.2!G361</f>
        <v>0</v>
      </c>
      <c r="H361" s="148">
        <f>0+táj.2!H361</f>
        <v>0</v>
      </c>
      <c r="I361" s="148">
        <f>0+táj.2!I361</f>
        <v>0</v>
      </c>
      <c r="J361" s="148">
        <f>0+táj.2!J361</f>
        <v>0</v>
      </c>
      <c r="K361" s="148">
        <f>0+táj.2!K361</f>
        <v>0</v>
      </c>
      <c r="L361" s="148">
        <f>2500+táj.2!L361</f>
        <v>2500</v>
      </c>
      <c r="M361" s="148">
        <f>0+táj.2!M361</f>
        <v>0</v>
      </c>
      <c r="N361" s="148">
        <f>0+táj.2!N361</f>
        <v>0</v>
      </c>
      <c r="O361" s="148">
        <f>0+táj.2!O361</f>
        <v>0</v>
      </c>
      <c r="P361" s="148">
        <f>0+táj.2!P361</f>
        <v>0</v>
      </c>
      <c r="Q361" s="148">
        <f t="shared" si="28"/>
        <v>2500</v>
      </c>
    </row>
    <row r="362" spans="1:17" ht="18.75" customHeight="1" x14ac:dyDescent="0.2">
      <c r="A362" s="206"/>
      <c r="B362" s="206"/>
      <c r="C362" s="309" t="s">
        <v>653</v>
      </c>
      <c r="D362" s="714" t="s">
        <v>1149</v>
      </c>
      <c r="E362" s="717"/>
      <c r="F362" s="148">
        <v>152311</v>
      </c>
      <c r="G362" s="148">
        <f>0+táj.2!G362</f>
        <v>0</v>
      </c>
      <c r="H362" s="148">
        <f>0+táj.2!H362</f>
        <v>0</v>
      </c>
      <c r="I362" s="148">
        <f>0+táj.2!I362</f>
        <v>0</v>
      </c>
      <c r="J362" s="148">
        <f>0+táj.2!J362</f>
        <v>0</v>
      </c>
      <c r="K362" s="148">
        <f>0+táj.2!K362</f>
        <v>0</v>
      </c>
      <c r="L362" s="148">
        <f>2000+táj.2!L362</f>
        <v>2000</v>
      </c>
      <c r="M362" s="148">
        <f>0+táj.2!M362</f>
        <v>0</v>
      </c>
      <c r="N362" s="148">
        <f>0+táj.2!N362</f>
        <v>0</v>
      </c>
      <c r="O362" s="148">
        <f>0+táj.2!O362</f>
        <v>0</v>
      </c>
      <c r="P362" s="148">
        <f>0+táj.2!P362</f>
        <v>0</v>
      </c>
      <c r="Q362" s="148">
        <f t="shared" si="28"/>
        <v>2000</v>
      </c>
    </row>
    <row r="363" spans="1:17" ht="18.75" customHeight="1" x14ac:dyDescent="0.2">
      <c r="A363" s="863"/>
      <c r="B363" s="863"/>
      <c r="C363" s="309" t="s">
        <v>1371</v>
      </c>
      <c r="D363" s="924" t="s">
        <v>1370</v>
      </c>
      <c r="E363" s="865"/>
      <c r="F363" s="864">
        <v>154301</v>
      </c>
      <c r="G363" s="148">
        <f>0+táj.2!G363</f>
        <v>0</v>
      </c>
      <c r="H363" s="148">
        <f>0+táj.2!H363</f>
        <v>0</v>
      </c>
      <c r="I363" s="148">
        <f>0+táj.2!I363</f>
        <v>0</v>
      </c>
      <c r="J363" s="148">
        <f>0+táj.2!J363</f>
        <v>0</v>
      </c>
      <c r="K363" s="148">
        <f>0+táj.2!K363</f>
        <v>0</v>
      </c>
      <c r="L363" s="148">
        <f>0+táj.2!L363</f>
        <v>0</v>
      </c>
      <c r="M363" s="148">
        <f>0+táj.2!M363</f>
        <v>10000</v>
      </c>
      <c r="N363" s="148">
        <f>0+táj.2!N363</f>
        <v>0</v>
      </c>
      <c r="O363" s="148">
        <f>0+táj.2!O363</f>
        <v>0</v>
      </c>
      <c r="P363" s="148">
        <f>0+táj.2!P363</f>
        <v>0</v>
      </c>
      <c r="Q363" s="148">
        <f t="shared" si="28"/>
        <v>10000</v>
      </c>
    </row>
    <row r="364" spans="1:17" ht="14.25" customHeight="1" x14ac:dyDescent="0.2">
      <c r="A364" s="206"/>
      <c r="B364" s="206"/>
      <c r="C364" s="718"/>
      <c r="D364" s="707" t="s">
        <v>1145</v>
      </c>
      <c r="E364" s="708"/>
      <c r="F364" s="503"/>
      <c r="G364" s="148"/>
      <c r="H364" s="148"/>
      <c r="I364" s="148"/>
      <c r="J364" s="148"/>
      <c r="K364" s="148"/>
      <c r="L364" s="148"/>
      <c r="M364" s="148"/>
      <c r="N364" s="148"/>
      <c r="O364" s="148"/>
      <c r="P364" s="148"/>
      <c r="Q364" s="148"/>
    </row>
    <row r="365" spans="1:17" ht="17.100000000000001" customHeight="1" x14ac:dyDescent="0.2">
      <c r="A365" s="206"/>
      <c r="B365" s="206"/>
      <c r="C365" s="311" t="s">
        <v>654</v>
      </c>
      <c r="D365" s="719" t="s">
        <v>655</v>
      </c>
      <c r="E365" s="708"/>
      <c r="F365" s="503">
        <v>152301</v>
      </c>
      <c r="G365" s="148">
        <f>0+táj.2!G365</f>
        <v>0</v>
      </c>
      <c r="H365" s="148">
        <f>0+táj.2!H365</f>
        <v>0</v>
      </c>
      <c r="I365" s="148">
        <f>0+táj.2!I365</f>
        <v>0</v>
      </c>
      <c r="J365" s="148">
        <f>0+táj.2!J365</f>
        <v>0</v>
      </c>
      <c r="K365" s="148">
        <f>0+táj.2!K365</f>
        <v>0</v>
      </c>
      <c r="L365" s="148">
        <f>16576+táj.2!L365</f>
        <v>17026</v>
      </c>
      <c r="M365" s="148">
        <f>108+táj.2!M365</f>
        <v>108</v>
      </c>
      <c r="N365" s="148">
        <f>0+táj.2!N365</f>
        <v>0</v>
      </c>
      <c r="O365" s="148">
        <f>0+táj.2!O365</f>
        <v>0</v>
      </c>
      <c r="P365" s="148">
        <f>0+táj.2!P365</f>
        <v>0</v>
      </c>
      <c r="Q365" s="148">
        <f t="shared" si="28"/>
        <v>17134</v>
      </c>
    </row>
    <row r="366" spans="1:17" ht="17.100000000000001" customHeight="1" x14ac:dyDescent="0.2">
      <c r="A366" s="206"/>
      <c r="B366" s="206"/>
      <c r="C366" s="310" t="s">
        <v>102</v>
      </c>
      <c r="D366" s="312" t="s">
        <v>656</v>
      </c>
      <c r="E366" s="313"/>
      <c r="F366" s="148"/>
      <c r="G366" s="148"/>
      <c r="H366" s="148"/>
      <c r="I366" s="148"/>
      <c r="J366" s="148"/>
      <c r="K366" s="148"/>
      <c r="L366" s="148"/>
      <c r="M366" s="148"/>
      <c r="N366" s="148"/>
      <c r="O366" s="148"/>
      <c r="P366" s="148"/>
      <c r="Q366" s="148"/>
    </row>
    <row r="367" spans="1:17" ht="17.25" customHeight="1" x14ac:dyDescent="0.2">
      <c r="A367" s="206"/>
      <c r="B367" s="206"/>
      <c r="C367" s="309" t="s">
        <v>657</v>
      </c>
      <c r="D367" s="704" t="s">
        <v>1150</v>
      </c>
      <c r="E367" s="503"/>
      <c r="F367" s="503">
        <v>152429</v>
      </c>
      <c r="G367" s="148">
        <f>0+táj.2!G367</f>
        <v>0</v>
      </c>
      <c r="H367" s="148">
        <f>0+táj.2!H367</f>
        <v>0</v>
      </c>
      <c r="I367" s="148">
        <f>100+táj.2!I367</f>
        <v>100</v>
      </c>
      <c r="J367" s="148">
        <f>0+táj.2!J367</f>
        <v>0</v>
      </c>
      <c r="K367" s="148">
        <f>0+táj.2!K367</f>
        <v>0</v>
      </c>
      <c r="L367" s="148">
        <f>2900+táj.2!L367</f>
        <v>5448</v>
      </c>
      <c r="M367" s="148">
        <f>0+táj.2!M367</f>
        <v>0</v>
      </c>
      <c r="N367" s="148">
        <f>0+táj.2!N367</f>
        <v>0</v>
      </c>
      <c r="O367" s="148">
        <f>0+táj.2!O367</f>
        <v>0</v>
      </c>
      <c r="P367" s="148">
        <f>0+táj.2!P367</f>
        <v>0</v>
      </c>
      <c r="Q367" s="148">
        <f t="shared" ref="Q367:Q411" si="29">SUM(G367:P367)</f>
        <v>5548</v>
      </c>
    </row>
    <row r="368" spans="1:17" ht="17.25" customHeight="1" x14ac:dyDescent="0.2">
      <c r="A368" s="206"/>
      <c r="B368" s="206"/>
      <c r="C368" s="309" t="s">
        <v>658</v>
      </c>
      <c r="D368" s="704" t="s">
        <v>1151</v>
      </c>
      <c r="E368" s="503"/>
      <c r="F368" s="503">
        <v>155421</v>
      </c>
      <c r="G368" s="148">
        <f>0+táj.2!G368</f>
        <v>0</v>
      </c>
      <c r="H368" s="148">
        <f>0+táj.2!H368</f>
        <v>0</v>
      </c>
      <c r="I368" s="148">
        <f>0+táj.2!I368</f>
        <v>0</v>
      </c>
      <c r="J368" s="148">
        <f>0+táj.2!J368</f>
        <v>0</v>
      </c>
      <c r="K368" s="148">
        <f>0+táj.2!K368</f>
        <v>0</v>
      </c>
      <c r="L368" s="148">
        <f>2000+táj.2!L368</f>
        <v>2000</v>
      </c>
      <c r="M368" s="148">
        <f>0+táj.2!M368</f>
        <v>0</v>
      </c>
      <c r="N368" s="148">
        <f>0+táj.2!N368</f>
        <v>0</v>
      </c>
      <c r="O368" s="148">
        <f>0+táj.2!O368</f>
        <v>0</v>
      </c>
      <c r="P368" s="148">
        <f>0+táj.2!P368</f>
        <v>0</v>
      </c>
      <c r="Q368" s="148">
        <f t="shared" si="29"/>
        <v>2000</v>
      </c>
    </row>
    <row r="369" spans="1:17" ht="18" customHeight="1" x14ac:dyDescent="0.2">
      <c r="A369" s="206"/>
      <c r="B369" s="206"/>
      <c r="C369" s="309" t="s">
        <v>659</v>
      </c>
      <c r="D369" s="704" t="s">
        <v>1152</v>
      </c>
      <c r="E369" s="503"/>
      <c r="F369" s="503">
        <v>152430</v>
      </c>
      <c r="G369" s="148">
        <f>0+táj.2!G369</f>
        <v>0</v>
      </c>
      <c r="H369" s="148">
        <f>0+táj.2!H369</f>
        <v>0</v>
      </c>
      <c r="I369" s="148">
        <f>0+táj.2!I369</f>
        <v>0</v>
      </c>
      <c r="J369" s="148">
        <f>0+táj.2!J369</f>
        <v>0</v>
      </c>
      <c r="K369" s="148">
        <f>0+táj.2!K369</f>
        <v>0</v>
      </c>
      <c r="L369" s="148">
        <f>5000+táj.2!L369</f>
        <v>1170</v>
      </c>
      <c r="M369" s="148">
        <f>0+táj.2!M369</f>
        <v>0</v>
      </c>
      <c r="N369" s="148">
        <f>0+táj.2!N369</f>
        <v>0</v>
      </c>
      <c r="O369" s="148">
        <f>0+táj.2!O369</f>
        <v>0</v>
      </c>
      <c r="P369" s="148">
        <f>0+táj.2!P369</f>
        <v>0</v>
      </c>
      <c r="Q369" s="148">
        <f t="shared" si="29"/>
        <v>1170</v>
      </c>
    </row>
    <row r="370" spans="1:17" ht="17.25" customHeight="1" x14ac:dyDescent="0.2">
      <c r="A370" s="206"/>
      <c r="B370" s="206"/>
      <c r="C370" s="309" t="s">
        <v>661</v>
      </c>
      <c r="D370" s="704" t="s">
        <v>1153</v>
      </c>
      <c r="E370" s="503"/>
      <c r="F370" s="503">
        <v>151422</v>
      </c>
      <c r="G370" s="148">
        <f>0+táj.2!G370</f>
        <v>0</v>
      </c>
      <c r="H370" s="148">
        <f>0+táj.2!H370</f>
        <v>0</v>
      </c>
      <c r="I370" s="148">
        <f>10000+táj.2!I370</f>
        <v>10000</v>
      </c>
      <c r="J370" s="148">
        <f>0+táj.2!J370</f>
        <v>0</v>
      </c>
      <c r="K370" s="148">
        <f>0+táj.2!K370</f>
        <v>0</v>
      </c>
      <c r="L370" s="148">
        <f>0+táj.2!L370</f>
        <v>0</v>
      </c>
      <c r="M370" s="148">
        <f>0+táj.2!M370</f>
        <v>0</v>
      </c>
      <c r="N370" s="148">
        <f>0+táj.2!N370</f>
        <v>0</v>
      </c>
      <c r="O370" s="148">
        <f>0+táj.2!O370</f>
        <v>0</v>
      </c>
      <c r="P370" s="148">
        <f>0+táj.2!P370</f>
        <v>0</v>
      </c>
      <c r="Q370" s="148">
        <f t="shared" si="29"/>
        <v>10000</v>
      </c>
    </row>
    <row r="371" spans="1:17" ht="17.25" customHeight="1" x14ac:dyDescent="0.2">
      <c r="A371" s="206"/>
      <c r="B371" s="206"/>
      <c r="C371" s="309" t="s">
        <v>662</v>
      </c>
      <c r="D371" s="704" t="s">
        <v>1340</v>
      </c>
      <c r="E371" s="503"/>
      <c r="F371" s="503">
        <v>155433</v>
      </c>
      <c r="G371" s="148">
        <f>0+táj.2!G371</f>
        <v>0</v>
      </c>
      <c r="H371" s="148">
        <f>0+táj.2!H371</f>
        <v>0</v>
      </c>
      <c r="I371" s="148">
        <f>0+táj.2!I371</f>
        <v>0</v>
      </c>
      <c r="J371" s="148">
        <f>0+táj.2!J371</f>
        <v>0</v>
      </c>
      <c r="K371" s="148">
        <f>0+táj.2!K371</f>
        <v>0</v>
      </c>
      <c r="L371" s="148">
        <f>0+táj.2!L371</f>
        <v>0</v>
      </c>
      <c r="M371" s="148">
        <f>3000+táj.2!M371</f>
        <v>3000</v>
      </c>
      <c r="N371" s="148">
        <f>0+táj.2!N371</f>
        <v>0</v>
      </c>
      <c r="O371" s="148">
        <f>0+táj.2!O371</f>
        <v>0</v>
      </c>
      <c r="P371" s="148">
        <f>0+táj.2!P371</f>
        <v>0</v>
      </c>
      <c r="Q371" s="148">
        <f t="shared" si="29"/>
        <v>3000</v>
      </c>
    </row>
    <row r="372" spans="1:17" ht="16.5" customHeight="1" x14ac:dyDescent="0.2">
      <c r="A372" s="206"/>
      <c r="B372" s="206"/>
      <c r="C372" s="309" t="s">
        <v>663</v>
      </c>
      <c r="D372" s="720" t="s">
        <v>1154</v>
      </c>
      <c r="E372" s="503"/>
      <c r="F372" s="503">
        <v>155434</v>
      </c>
      <c r="G372" s="148">
        <f>0+táj.2!G372</f>
        <v>0</v>
      </c>
      <c r="H372" s="148">
        <f>0+táj.2!H372</f>
        <v>0</v>
      </c>
      <c r="I372" s="148">
        <f>0+táj.2!I372</f>
        <v>0</v>
      </c>
      <c r="J372" s="148">
        <f>0+táj.2!J372</f>
        <v>0</v>
      </c>
      <c r="K372" s="148">
        <f>0+táj.2!K372</f>
        <v>0</v>
      </c>
      <c r="L372" s="148">
        <f>0+táj.2!L372</f>
        <v>0</v>
      </c>
      <c r="M372" s="148">
        <f>2000+táj.2!M372</f>
        <v>2000</v>
      </c>
      <c r="N372" s="148">
        <f>0+táj.2!N372</f>
        <v>0</v>
      </c>
      <c r="O372" s="148">
        <f>0+táj.2!O372</f>
        <v>0</v>
      </c>
      <c r="P372" s="148">
        <f>0+táj.2!P372</f>
        <v>0</v>
      </c>
      <c r="Q372" s="148">
        <f t="shared" si="29"/>
        <v>2000</v>
      </c>
    </row>
    <row r="373" spans="1:17" ht="17.25" customHeight="1" x14ac:dyDescent="0.2">
      <c r="A373" s="206"/>
      <c r="B373" s="206"/>
      <c r="C373" s="309" t="s">
        <v>665</v>
      </c>
      <c r="D373" s="721" t="s">
        <v>1155</v>
      </c>
      <c r="E373" s="503"/>
      <c r="F373" s="503">
        <v>155435</v>
      </c>
      <c r="G373" s="148">
        <f>0+táj.2!G373</f>
        <v>0</v>
      </c>
      <c r="H373" s="148">
        <f>0+táj.2!H373</f>
        <v>0</v>
      </c>
      <c r="I373" s="148">
        <f>0+táj.2!I373</f>
        <v>0</v>
      </c>
      <c r="J373" s="148">
        <f>0+táj.2!J373</f>
        <v>0</v>
      </c>
      <c r="K373" s="148">
        <f>0+táj.2!K373</f>
        <v>0</v>
      </c>
      <c r="L373" s="148">
        <f>0+táj.2!L373</f>
        <v>0</v>
      </c>
      <c r="M373" s="148">
        <f>4000+táj.2!M373</f>
        <v>4000</v>
      </c>
      <c r="N373" s="148">
        <f>0+táj.2!N373</f>
        <v>0</v>
      </c>
      <c r="O373" s="148">
        <f>0+táj.2!O373</f>
        <v>0</v>
      </c>
      <c r="P373" s="148">
        <f>0+táj.2!P373</f>
        <v>0</v>
      </c>
      <c r="Q373" s="148">
        <f t="shared" si="29"/>
        <v>4000</v>
      </c>
    </row>
    <row r="374" spans="1:17" ht="17.25" customHeight="1" x14ac:dyDescent="0.2">
      <c r="A374" s="206"/>
      <c r="B374" s="206"/>
      <c r="C374" s="309" t="s">
        <v>667</v>
      </c>
      <c r="D374" s="721" t="s">
        <v>1156</v>
      </c>
      <c r="E374" s="503"/>
      <c r="F374" s="503">
        <v>151423</v>
      </c>
      <c r="G374" s="148">
        <f>0+táj.2!G374</f>
        <v>0</v>
      </c>
      <c r="H374" s="148">
        <f>0+táj.2!H374</f>
        <v>0</v>
      </c>
      <c r="I374" s="148">
        <f>2000+táj.2!I374</f>
        <v>0</v>
      </c>
      <c r="J374" s="148">
        <f>0+táj.2!J374</f>
        <v>0</v>
      </c>
      <c r="K374" s="148">
        <f>0+táj.2!K374</f>
        <v>0</v>
      </c>
      <c r="L374" s="148">
        <f>0+táj.2!L374</f>
        <v>0</v>
      </c>
      <c r="M374" s="148">
        <f>0+táj.2!M374</f>
        <v>2000</v>
      </c>
      <c r="N374" s="148">
        <f>0+táj.2!N374</f>
        <v>0</v>
      </c>
      <c r="O374" s="148">
        <f>0+táj.2!O374</f>
        <v>0</v>
      </c>
      <c r="P374" s="148">
        <f>0+táj.2!P374</f>
        <v>0</v>
      </c>
      <c r="Q374" s="148">
        <f t="shared" si="29"/>
        <v>2000</v>
      </c>
    </row>
    <row r="375" spans="1:17" ht="18" customHeight="1" x14ac:dyDescent="0.2">
      <c r="A375" s="206"/>
      <c r="B375" s="206"/>
      <c r="C375" s="309" t="s">
        <v>669</v>
      </c>
      <c r="D375" s="705" t="s">
        <v>664</v>
      </c>
      <c r="E375" s="503"/>
      <c r="F375" s="503">
        <v>155483</v>
      </c>
      <c r="G375" s="148">
        <f>0+táj.2!G375</f>
        <v>0</v>
      </c>
      <c r="H375" s="148">
        <f>0+táj.2!H375</f>
        <v>0</v>
      </c>
      <c r="I375" s="148">
        <f>0+táj.2!I375</f>
        <v>0</v>
      </c>
      <c r="J375" s="148">
        <f>0+táj.2!J375</f>
        <v>0</v>
      </c>
      <c r="K375" s="148">
        <f>0+táj.2!K375</f>
        <v>0</v>
      </c>
      <c r="L375" s="148">
        <f>0+táj.2!L375</f>
        <v>0</v>
      </c>
      <c r="M375" s="148">
        <f>3000+táj.2!M375</f>
        <v>3413</v>
      </c>
      <c r="N375" s="148">
        <f>0+táj.2!N375</f>
        <v>0</v>
      </c>
      <c r="O375" s="148">
        <f>0+táj.2!O375</f>
        <v>0</v>
      </c>
      <c r="P375" s="148">
        <f>0+táj.2!P375</f>
        <v>0</v>
      </c>
      <c r="Q375" s="148">
        <f t="shared" si="29"/>
        <v>3413</v>
      </c>
    </row>
    <row r="376" spans="1:17" ht="16.5" customHeight="1" x14ac:dyDescent="0.2">
      <c r="A376" s="206"/>
      <c r="B376" s="206"/>
      <c r="C376" s="309" t="s">
        <v>670</v>
      </c>
      <c r="D376" s="722" t="s">
        <v>1157</v>
      </c>
      <c r="E376" s="503"/>
      <c r="F376" s="503">
        <v>152431</v>
      </c>
      <c r="G376" s="148">
        <f>0+táj.2!G376</f>
        <v>0</v>
      </c>
      <c r="H376" s="148">
        <f>0+táj.2!H376</f>
        <v>0</v>
      </c>
      <c r="I376" s="148">
        <f>0+táj.2!I376</f>
        <v>0</v>
      </c>
      <c r="J376" s="148">
        <f>0+táj.2!J376</f>
        <v>0</v>
      </c>
      <c r="K376" s="148">
        <f>0+táj.2!K376</f>
        <v>0</v>
      </c>
      <c r="L376" s="148">
        <f>5000+táj.2!L376</f>
        <v>6876</v>
      </c>
      <c r="M376" s="148">
        <f>0+táj.2!M376</f>
        <v>0</v>
      </c>
      <c r="N376" s="148">
        <f>0+táj.2!N376</f>
        <v>0</v>
      </c>
      <c r="O376" s="148">
        <f>0+táj.2!O376</f>
        <v>0</v>
      </c>
      <c r="P376" s="148">
        <f>0+táj.2!P376</f>
        <v>0</v>
      </c>
      <c r="Q376" s="148">
        <f t="shared" si="29"/>
        <v>6876</v>
      </c>
    </row>
    <row r="377" spans="1:17" ht="16.5" customHeight="1" x14ac:dyDescent="0.2">
      <c r="A377" s="206"/>
      <c r="B377" s="206"/>
      <c r="C377" s="309" t="s">
        <v>671</v>
      </c>
      <c r="D377" s="722" t="s">
        <v>1158</v>
      </c>
      <c r="E377" s="503"/>
      <c r="F377" s="503">
        <v>155436</v>
      </c>
      <c r="G377" s="148">
        <f>0+táj.2!G377</f>
        <v>0</v>
      </c>
      <c r="H377" s="148">
        <f>0+táj.2!H377</f>
        <v>0</v>
      </c>
      <c r="I377" s="148">
        <f>0+táj.2!I377</f>
        <v>0</v>
      </c>
      <c r="J377" s="148">
        <f>0+táj.2!J377</f>
        <v>0</v>
      </c>
      <c r="K377" s="148">
        <f>0+táj.2!K377</f>
        <v>0</v>
      </c>
      <c r="L377" s="148">
        <f>0+táj.2!L377</f>
        <v>0</v>
      </c>
      <c r="M377" s="148">
        <f>3000+táj.2!M377</f>
        <v>3000</v>
      </c>
      <c r="N377" s="148">
        <f>0+táj.2!N377</f>
        <v>0</v>
      </c>
      <c r="O377" s="148">
        <f>0+táj.2!O377</f>
        <v>0</v>
      </c>
      <c r="P377" s="148">
        <f>0+táj.2!P377</f>
        <v>0</v>
      </c>
      <c r="Q377" s="148">
        <f t="shared" si="29"/>
        <v>3000</v>
      </c>
    </row>
    <row r="378" spans="1:17" ht="15.75" customHeight="1" x14ac:dyDescent="0.2">
      <c r="A378" s="206"/>
      <c r="B378" s="206"/>
      <c r="C378" s="309" t="s">
        <v>672</v>
      </c>
      <c r="D378" s="722" t="s">
        <v>1159</v>
      </c>
      <c r="E378" s="503"/>
      <c r="F378" s="503">
        <v>155437</v>
      </c>
      <c r="G378" s="148">
        <f>0+táj.2!G378</f>
        <v>0</v>
      </c>
      <c r="H378" s="148">
        <f>0+táj.2!H378</f>
        <v>0</v>
      </c>
      <c r="I378" s="148">
        <f>0+táj.2!I378</f>
        <v>0</v>
      </c>
      <c r="J378" s="148">
        <f>0+táj.2!J378</f>
        <v>0</v>
      </c>
      <c r="K378" s="148">
        <f>0+táj.2!K378</f>
        <v>0</v>
      </c>
      <c r="L378" s="148">
        <f>0+táj.2!L378</f>
        <v>0</v>
      </c>
      <c r="M378" s="148">
        <f>4077+táj.2!M378</f>
        <v>4077</v>
      </c>
      <c r="N378" s="148">
        <f>0+táj.2!N378</f>
        <v>0</v>
      </c>
      <c r="O378" s="148">
        <f>0+táj.2!O378</f>
        <v>0</v>
      </c>
      <c r="P378" s="148">
        <f>0+táj.2!P378</f>
        <v>0</v>
      </c>
      <c r="Q378" s="148">
        <f t="shared" si="29"/>
        <v>4077</v>
      </c>
    </row>
    <row r="379" spans="1:17" ht="15.75" customHeight="1" x14ac:dyDescent="0.2">
      <c r="A379" s="206"/>
      <c r="B379" s="206"/>
      <c r="C379" s="309" t="s">
        <v>673</v>
      </c>
      <c r="D379" s="722" t="s">
        <v>1160</v>
      </c>
      <c r="E379" s="503"/>
      <c r="F379" s="503">
        <v>155438</v>
      </c>
      <c r="G379" s="148">
        <f>0+táj.2!G379</f>
        <v>0</v>
      </c>
      <c r="H379" s="148">
        <f>0+táj.2!H379</f>
        <v>0</v>
      </c>
      <c r="I379" s="148">
        <f>0+táj.2!I379</f>
        <v>0</v>
      </c>
      <c r="J379" s="148">
        <f>0+táj.2!J379</f>
        <v>0</v>
      </c>
      <c r="K379" s="148">
        <f>0+táj.2!K379</f>
        <v>0</v>
      </c>
      <c r="L379" s="148">
        <f>0+táj.2!L379</f>
        <v>0</v>
      </c>
      <c r="M379" s="148">
        <f>2500+táj.2!M379</f>
        <v>2500</v>
      </c>
      <c r="N379" s="148">
        <f>0+táj.2!N379</f>
        <v>0</v>
      </c>
      <c r="O379" s="148">
        <f>0+táj.2!O379</f>
        <v>0</v>
      </c>
      <c r="P379" s="148">
        <f>0+táj.2!P379</f>
        <v>0</v>
      </c>
      <c r="Q379" s="148">
        <f t="shared" si="29"/>
        <v>2500</v>
      </c>
    </row>
    <row r="380" spans="1:17" ht="17.100000000000001" customHeight="1" x14ac:dyDescent="0.2">
      <c r="A380" s="206"/>
      <c r="B380" s="206"/>
      <c r="C380" s="309" t="s">
        <v>674</v>
      </c>
      <c r="D380" s="722" t="s">
        <v>1161</v>
      </c>
      <c r="E380" s="503"/>
      <c r="F380" s="503">
        <v>155439</v>
      </c>
      <c r="G380" s="148">
        <f>0+táj.2!G380</f>
        <v>0</v>
      </c>
      <c r="H380" s="148">
        <f>0+táj.2!H380</f>
        <v>0</v>
      </c>
      <c r="I380" s="148">
        <f>0+táj.2!I380</f>
        <v>0</v>
      </c>
      <c r="J380" s="148">
        <f>0+táj.2!J380</f>
        <v>0</v>
      </c>
      <c r="K380" s="148">
        <f>0+táj.2!K380</f>
        <v>0</v>
      </c>
      <c r="L380" s="148">
        <f>0+táj.2!L380</f>
        <v>0</v>
      </c>
      <c r="M380" s="148">
        <f>2975+táj.2!M380</f>
        <v>2975</v>
      </c>
      <c r="N380" s="148">
        <f>0+táj.2!N380</f>
        <v>0</v>
      </c>
      <c r="O380" s="148">
        <f>0+táj.2!O380</f>
        <v>0</v>
      </c>
      <c r="P380" s="148">
        <f>0+táj.2!P380</f>
        <v>0</v>
      </c>
      <c r="Q380" s="148">
        <f t="shared" si="29"/>
        <v>2975</v>
      </c>
    </row>
    <row r="381" spans="1:17" ht="17.100000000000001" customHeight="1" x14ac:dyDescent="0.2">
      <c r="A381" s="206"/>
      <c r="B381" s="206"/>
      <c r="C381" s="309" t="s">
        <v>675</v>
      </c>
      <c r="D381" s="722" t="s">
        <v>1162</v>
      </c>
      <c r="E381" s="503"/>
      <c r="F381" s="503">
        <v>155440</v>
      </c>
      <c r="G381" s="148">
        <f>0+táj.2!G381</f>
        <v>0</v>
      </c>
      <c r="H381" s="148">
        <f>0+táj.2!H381</f>
        <v>0</v>
      </c>
      <c r="I381" s="148">
        <f>0+táj.2!I381</f>
        <v>0</v>
      </c>
      <c r="J381" s="148">
        <f>0+táj.2!J381</f>
        <v>0</v>
      </c>
      <c r="K381" s="148">
        <f>0+táj.2!K381</f>
        <v>0</v>
      </c>
      <c r="L381" s="148">
        <f>0+táj.2!L381</f>
        <v>0</v>
      </c>
      <c r="M381" s="148">
        <f>4000+táj.2!M381</f>
        <v>7025</v>
      </c>
      <c r="N381" s="148">
        <f>0+táj.2!N381</f>
        <v>0</v>
      </c>
      <c r="O381" s="148">
        <f>0+táj.2!O381</f>
        <v>0</v>
      </c>
      <c r="P381" s="148">
        <f>0+táj.2!P381</f>
        <v>0</v>
      </c>
      <c r="Q381" s="148">
        <f t="shared" si="29"/>
        <v>7025</v>
      </c>
    </row>
    <row r="382" spans="1:17" ht="17.100000000000001" customHeight="1" x14ac:dyDescent="0.2">
      <c r="A382" s="206"/>
      <c r="B382" s="206"/>
      <c r="C382" s="309" t="s">
        <v>676</v>
      </c>
      <c r="D382" s="722" t="s">
        <v>1163</v>
      </c>
      <c r="E382" s="503"/>
      <c r="F382" s="503">
        <v>155441</v>
      </c>
      <c r="G382" s="148">
        <f>0+táj.2!G382</f>
        <v>0</v>
      </c>
      <c r="H382" s="148">
        <f>0+táj.2!H382</f>
        <v>0</v>
      </c>
      <c r="I382" s="148">
        <f>0+táj.2!I382</f>
        <v>0</v>
      </c>
      <c r="J382" s="148">
        <f>0+táj.2!J382</f>
        <v>0</v>
      </c>
      <c r="K382" s="148">
        <f>0+táj.2!K382</f>
        <v>0</v>
      </c>
      <c r="L382" s="148">
        <f>0+táj.2!L382</f>
        <v>0</v>
      </c>
      <c r="M382" s="148">
        <f>822+táj.2!M382</f>
        <v>0</v>
      </c>
      <c r="N382" s="148">
        <f>0+táj.2!N382</f>
        <v>0</v>
      </c>
      <c r="O382" s="148">
        <f>0+táj.2!O382</f>
        <v>0</v>
      </c>
      <c r="P382" s="148">
        <f>0+táj.2!P382</f>
        <v>0</v>
      </c>
      <c r="Q382" s="148">
        <f t="shared" si="29"/>
        <v>0</v>
      </c>
    </row>
    <row r="383" spans="1:17" ht="17.100000000000001" customHeight="1" x14ac:dyDescent="0.2">
      <c r="A383" s="206"/>
      <c r="B383" s="206"/>
      <c r="C383" s="309" t="s">
        <v>678</v>
      </c>
      <c r="D383" s="722" t="s">
        <v>1164</v>
      </c>
      <c r="E383" s="503"/>
      <c r="F383" s="503">
        <v>155442</v>
      </c>
      <c r="G383" s="148">
        <f>0+táj.2!G383</f>
        <v>0</v>
      </c>
      <c r="H383" s="148">
        <f>0+táj.2!H383</f>
        <v>0</v>
      </c>
      <c r="I383" s="148">
        <f>0+táj.2!I383</f>
        <v>0</v>
      </c>
      <c r="J383" s="148">
        <f>0+táj.2!J383</f>
        <v>0</v>
      </c>
      <c r="K383" s="148">
        <f>0+táj.2!K383</f>
        <v>0</v>
      </c>
      <c r="L383" s="148">
        <f>0+táj.2!L383</f>
        <v>0</v>
      </c>
      <c r="M383" s="148">
        <f>0+táj.2!M383</f>
        <v>0</v>
      </c>
      <c r="N383" s="148">
        <f>0+táj.2!N383</f>
        <v>0</v>
      </c>
      <c r="O383" s="148">
        <f>0+táj.2!O383</f>
        <v>0</v>
      </c>
      <c r="P383" s="148">
        <f>0+táj.2!P383</f>
        <v>0</v>
      </c>
      <c r="Q383" s="148">
        <f t="shared" si="29"/>
        <v>0</v>
      </c>
    </row>
    <row r="384" spans="1:17" ht="17.100000000000001" customHeight="1" x14ac:dyDescent="0.2">
      <c r="A384" s="206"/>
      <c r="B384" s="206"/>
      <c r="C384" s="309" t="s">
        <v>679</v>
      </c>
      <c r="D384" s="723" t="s">
        <v>1165</v>
      </c>
      <c r="E384" s="503"/>
      <c r="F384" s="503">
        <v>155443</v>
      </c>
      <c r="G384" s="148">
        <f>0+táj.2!G384</f>
        <v>0</v>
      </c>
      <c r="H384" s="148">
        <f>0+táj.2!H384</f>
        <v>0</v>
      </c>
      <c r="I384" s="148">
        <f>0+táj.2!I384</f>
        <v>0</v>
      </c>
      <c r="J384" s="148">
        <f>0+táj.2!J384</f>
        <v>0</v>
      </c>
      <c r="K384" s="148">
        <f>0+táj.2!K384</f>
        <v>0</v>
      </c>
      <c r="L384" s="148">
        <f>0+táj.2!L384</f>
        <v>0</v>
      </c>
      <c r="M384" s="148">
        <f>7805+táj.2!M384</f>
        <v>7805</v>
      </c>
      <c r="N384" s="148">
        <f>0+táj.2!N384</f>
        <v>0</v>
      </c>
      <c r="O384" s="148">
        <f>0+táj.2!O384</f>
        <v>0</v>
      </c>
      <c r="P384" s="148">
        <f>0+táj.2!P384</f>
        <v>0</v>
      </c>
      <c r="Q384" s="148">
        <f t="shared" si="29"/>
        <v>7805</v>
      </c>
    </row>
    <row r="385" spans="1:17" ht="17.100000000000001" customHeight="1" x14ac:dyDescent="0.2">
      <c r="A385" s="206"/>
      <c r="B385" s="206"/>
      <c r="C385" s="309" t="s">
        <v>681</v>
      </c>
      <c r="D385" s="722" t="s">
        <v>1166</v>
      </c>
      <c r="E385" s="503"/>
      <c r="F385" s="503">
        <v>155444</v>
      </c>
      <c r="G385" s="148">
        <f>0+táj.2!G385</f>
        <v>0</v>
      </c>
      <c r="H385" s="148">
        <f>0+táj.2!H385</f>
        <v>0</v>
      </c>
      <c r="I385" s="148">
        <f>0+táj.2!I385</f>
        <v>0</v>
      </c>
      <c r="J385" s="148">
        <f>0+táj.2!J385</f>
        <v>0</v>
      </c>
      <c r="K385" s="148">
        <f>0+táj.2!K385</f>
        <v>0</v>
      </c>
      <c r="L385" s="148">
        <f>0+táj.2!L385</f>
        <v>0</v>
      </c>
      <c r="M385" s="148">
        <f>1431+táj.2!M385</f>
        <v>1431</v>
      </c>
      <c r="N385" s="148">
        <f>0+táj.2!N385</f>
        <v>0</v>
      </c>
      <c r="O385" s="148">
        <f>0+táj.2!O385</f>
        <v>0</v>
      </c>
      <c r="P385" s="148">
        <f>0+táj.2!P385</f>
        <v>0</v>
      </c>
      <c r="Q385" s="148">
        <f t="shared" si="29"/>
        <v>1431</v>
      </c>
    </row>
    <row r="386" spans="1:17" ht="17.100000000000001" customHeight="1" x14ac:dyDescent="0.2">
      <c r="A386" s="206"/>
      <c r="B386" s="206"/>
      <c r="C386" s="309" t="s">
        <v>682</v>
      </c>
      <c r="D386" s="722" t="s">
        <v>1167</v>
      </c>
      <c r="E386" s="503"/>
      <c r="F386" s="503">
        <v>155445</v>
      </c>
      <c r="G386" s="148">
        <f>0+táj.2!G386</f>
        <v>0</v>
      </c>
      <c r="H386" s="148">
        <f>0+táj.2!H386</f>
        <v>0</v>
      </c>
      <c r="I386" s="148">
        <f>0+táj.2!I386</f>
        <v>0</v>
      </c>
      <c r="J386" s="148">
        <f>0+táj.2!J386</f>
        <v>0</v>
      </c>
      <c r="K386" s="148">
        <f>0+táj.2!K386</f>
        <v>0</v>
      </c>
      <c r="L386" s="148">
        <f>0+táj.2!L386</f>
        <v>0</v>
      </c>
      <c r="M386" s="148">
        <f>1000+táj.2!M386</f>
        <v>1000</v>
      </c>
      <c r="N386" s="148">
        <f>0+táj.2!N386</f>
        <v>0</v>
      </c>
      <c r="O386" s="148">
        <f>0+táj.2!O386</f>
        <v>0</v>
      </c>
      <c r="P386" s="148">
        <f>0+táj.2!P386</f>
        <v>0</v>
      </c>
      <c r="Q386" s="148">
        <f t="shared" si="29"/>
        <v>1000</v>
      </c>
    </row>
    <row r="387" spans="1:17" ht="17.100000000000001" customHeight="1" x14ac:dyDescent="0.2">
      <c r="A387" s="206"/>
      <c r="B387" s="206"/>
      <c r="C387" s="309" t="s">
        <v>683</v>
      </c>
      <c r="D387" s="722" t="s">
        <v>1168</v>
      </c>
      <c r="E387" s="503"/>
      <c r="F387" s="503">
        <v>152432</v>
      </c>
      <c r="G387" s="148">
        <f>0+táj.2!G387</f>
        <v>0</v>
      </c>
      <c r="H387" s="148">
        <f>0+táj.2!H387</f>
        <v>0</v>
      </c>
      <c r="I387" s="148">
        <f>0+táj.2!I387</f>
        <v>0</v>
      </c>
      <c r="J387" s="148">
        <f>0+táj.2!J387</f>
        <v>0</v>
      </c>
      <c r="K387" s="148">
        <f>0+táj.2!K387</f>
        <v>0</v>
      </c>
      <c r="L387" s="148">
        <f>680+táj.2!L387</f>
        <v>680</v>
      </c>
      <c r="M387" s="148">
        <f>0+táj.2!M387</f>
        <v>0</v>
      </c>
      <c r="N387" s="148">
        <f>0+táj.2!N387</f>
        <v>0</v>
      </c>
      <c r="O387" s="148">
        <f>0+táj.2!O387</f>
        <v>0</v>
      </c>
      <c r="P387" s="148">
        <f>0+táj.2!P387</f>
        <v>0</v>
      </c>
      <c r="Q387" s="148">
        <f t="shared" si="29"/>
        <v>680</v>
      </c>
    </row>
    <row r="388" spans="1:17" ht="25.5" customHeight="1" x14ac:dyDescent="0.2">
      <c r="A388" s="206"/>
      <c r="B388" s="206"/>
      <c r="C388" s="309" t="s">
        <v>684</v>
      </c>
      <c r="D388" s="722" t="s">
        <v>1169</v>
      </c>
      <c r="E388" s="503"/>
      <c r="F388" s="503">
        <v>155446</v>
      </c>
      <c r="G388" s="148">
        <f>0+táj.2!G388</f>
        <v>0</v>
      </c>
      <c r="H388" s="148">
        <f>0+táj.2!H388</f>
        <v>0</v>
      </c>
      <c r="I388" s="148">
        <f>0+táj.2!I388</f>
        <v>0</v>
      </c>
      <c r="J388" s="148">
        <f>0+táj.2!J388</f>
        <v>0</v>
      </c>
      <c r="K388" s="148">
        <f>0+táj.2!K388</f>
        <v>0</v>
      </c>
      <c r="L388" s="148">
        <f>0+táj.2!L388</f>
        <v>0</v>
      </c>
      <c r="M388" s="148">
        <f>2000+táj.2!M388</f>
        <v>2260</v>
      </c>
      <c r="N388" s="148">
        <f>0+táj.2!N388</f>
        <v>0</v>
      </c>
      <c r="O388" s="148">
        <f>0+táj.2!O388</f>
        <v>0</v>
      </c>
      <c r="P388" s="148">
        <f>0+táj.2!P388</f>
        <v>0</v>
      </c>
      <c r="Q388" s="148">
        <f t="shared" si="29"/>
        <v>2260</v>
      </c>
    </row>
    <row r="389" spans="1:17" ht="27" customHeight="1" x14ac:dyDescent="0.2">
      <c r="A389" s="206"/>
      <c r="B389" s="206"/>
      <c r="C389" s="309" t="s">
        <v>686</v>
      </c>
      <c r="D389" s="722" t="s">
        <v>1170</v>
      </c>
      <c r="E389" s="503"/>
      <c r="F389" s="503">
        <v>155448</v>
      </c>
      <c r="G389" s="148">
        <f>0+táj.2!G389</f>
        <v>0</v>
      </c>
      <c r="H389" s="148">
        <f>0+táj.2!H389</f>
        <v>0</v>
      </c>
      <c r="I389" s="148">
        <f>0+táj.2!I389</f>
        <v>0</v>
      </c>
      <c r="J389" s="148">
        <f>0+táj.2!J389</f>
        <v>0</v>
      </c>
      <c r="K389" s="148">
        <f>0+táj.2!K389</f>
        <v>0</v>
      </c>
      <c r="L389" s="148">
        <f>0+táj.2!L389</f>
        <v>0</v>
      </c>
      <c r="M389" s="148">
        <f>3000+táj.2!M389</f>
        <v>3000</v>
      </c>
      <c r="N389" s="148">
        <f>0+táj.2!N389</f>
        <v>0</v>
      </c>
      <c r="O389" s="148">
        <f>0+táj.2!O389</f>
        <v>0</v>
      </c>
      <c r="P389" s="148">
        <f>0+táj.2!P389</f>
        <v>0</v>
      </c>
      <c r="Q389" s="148">
        <f t="shared" si="29"/>
        <v>3000</v>
      </c>
    </row>
    <row r="390" spans="1:17" ht="30" customHeight="1" x14ac:dyDescent="0.2">
      <c r="A390" s="206"/>
      <c r="B390" s="206"/>
      <c r="C390" s="309" t="s">
        <v>688</v>
      </c>
      <c r="D390" s="722" t="s">
        <v>1171</v>
      </c>
      <c r="E390" s="503"/>
      <c r="F390" s="503">
        <v>155447</v>
      </c>
      <c r="G390" s="148">
        <f>0+táj.2!G390</f>
        <v>0</v>
      </c>
      <c r="H390" s="148">
        <f>0+táj.2!H390</f>
        <v>0</v>
      </c>
      <c r="I390" s="148">
        <f>0+táj.2!I390</f>
        <v>0</v>
      </c>
      <c r="J390" s="148">
        <f>0+táj.2!J390</f>
        <v>0</v>
      </c>
      <c r="K390" s="148">
        <f>0+táj.2!K390</f>
        <v>0</v>
      </c>
      <c r="L390" s="148">
        <f>0+táj.2!L390</f>
        <v>0</v>
      </c>
      <c r="M390" s="148">
        <f>1000+táj.2!M390</f>
        <v>1000</v>
      </c>
      <c r="N390" s="148">
        <f>0+táj.2!N390</f>
        <v>0</v>
      </c>
      <c r="O390" s="148">
        <f>0+táj.2!O390</f>
        <v>0</v>
      </c>
      <c r="P390" s="148">
        <f>0+táj.2!P390</f>
        <v>0</v>
      </c>
      <c r="Q390" s="148">
        <f t="shared" si="29"/>
        <v>1000</v>
      </c>
    </row>
    <row r="391" spans="1:17" ht="16.5" customHeight="1" x14ac:dyDescent="0.2">
      <c r="A391" s="206"/>
      <c r="B391" s="206"/>
      <c r="C391" s="309" t="s">
        <v>689</v>
      </c>
      <c r="D391" s="722" t="s">
        <v>1172</v>
      </c>
      <c r="E391" s="503"/>
      <c r="F391" s="503">
        <v>152433</v>
      </c>
      <c r="G391" s="148">
        <f>0+táj.2!G391</f>
        <v>0</v>
      </c>
      <c r="H391" s="148">
        <f>0+táj.2!H391</f>
        <v>0</v>
      </c>
      <c r="I391" s="148">
        <f>0+táj.2!I391</f>
        <v>0</v>
      </c>
      <c r="J391" s="148">
        <f>0+táj.2!J391</f>
        <v>0</v>
      </c>
      <c r="K391" s="148">
        <f>0+táj.2!K391</f>
        <v>0</v>
      </c>
      <c r="L391" s="148">
        <f>5000+táj.2!L391</f>
        <v>5000</v>
      </c>
      <c r="M391" s="148">
        <f>0+táj.2!M391</f>
        <v>0</v>
      </c>
      <c r="N391" s="148">
        <f>0+táj.2!N391</f>
        <v>0</v>
      </c>
      <c r="O391" s="148">
        <f>0+táj.2!O391</f>
        <v>0</v>
      </c>
      <c r="P391" s="148">
        <f>0+táj.2!P391</f>
        <v>0</v>
      </c>
      <c r="Q391" s="148">
        <f t="shared" si="29"/>
        <v>5000</v>
      </c>
    </row>
    <row r="392" spans="1:17" ht="16.5" customHeight="1" x14ac:dyDescent="0.2">
      <c r="A392" s="206"/>
      <c r="B392" s="206"/>
      <c r="C392" s="309" t="s">
        <v>691</v>
      </c>
      <c r="D392" s="722" t="s">
        <v>1173</v>
      </c>
      <c r="E392" s="503"/>
      <c r="F392" s="503">
        <v>155450</v>
      </c>
      <c r="G392" s="148">
        <f>0+táj.2!G392</f>
        <v>0</v>
      </c>
      <c r="H392" s="148">
        <f>0+táj.2!H392</f>
        <v>0</v>
      </c>
      <c r="I392" s="148">
        <f>0+táj.2!I392</f>
        <v>0</v>
      </c>
      <c r="J392" s="148">
        <f>0+táj.2!J392</f>
        <v>0</v>
      </c>
      <c r="K392" s="148">
        <f>0+táj.2!K392</f>
        <v>0</v>
      </c>
      <c r="L392" s="148">
        <f>0+táj.2!L392</f>
        <v>0</v>
      </c>
      <c r="M392" s="148">
        <f>3094+táj.2!M392</f>
        <v>3094</v>
      </c>
      <c r="N392" s="148">
        <f>0+táj.2!N392</f>
        <v>0</v>
      </c>
      <c r="O392" s="148">
        <f>0+táj.2!O392</f>
        <v>0</v>
      </c>
      <c r="P392" s="148">
        <f>0+táj.2!P392</f>
        <v>0</v>
      </c>
      <c r="Q392" s="148">
        <f t="shared" si="29"/>
        <v>3094</v>
      </c>
    </row>
    <row r="393" spans="1:17" ht="16.5" customHeight="1" x14ac:dyDescent="0.2">
      <c r="A393" s="206"/>
      <c r="B393" s="206"/>
      <c r="C393" s="309" t="s">
        <v>692</v>
      </c>
      <c r="D393" s="722" t="s">
        <v>1174</v>
      </c>
      <c r="E393" s="503"/>
      <c r="F393" s="503">
        <v>155449</v>
      </c>
      <c r="G393" s="148">
        <f>0+táj.2!G393</f>
        <v>0</v>
      </c>
      <c r="H393" s="148">
        <f>0+táj.2!H393</f>
        <v>0</v>
      </c>
      <c r="I393" s="148">
        <f>0+táj.2!I393</f>
        <v>0</v>
      </c>
      <c r="J393" s="148">
        <f>0+táj.2!J393</f>
        <v>0</v>
      </c>
      <c r="K393" s="148">
        <f>0+táj.2!K393</f>
        <v>0</v>
      </c>
      <c r="L393" s="148">
        <f>0+táj.2!L393</f>
        <v>0</v>
      </c>
      <c r="M393" s="148">
        <f>2000+táj.2!M393</f>
        <v>2000</v>
      </c>
      <c r="N393" s="148">
        <f>0+táj.2!N393</f>
        <v>0</v>
      </c>
      <c r="O393" s="148">
        <f>0+táj.2!O393</f>
        <v>0</v>
      </c>
      <c r="P393" s="148">
        <f>0+táj.2!P393</f>
        <v>0</v>
      </c>
      <c r="Q393" s="148">
        <f t="shared" si="29"/>
        <v>2000</v>
      </c>
    </row>
    <row r="394" spans="1:17" ht="16.5" customHeight="1" x14ac:dyDescent="0.2">
      <c r="A394" s="206"/>
      <c r="B394" s="206"/>
      <c r="C394" s="309" t="s">
        <v>694</v>
      </c>
      <c r="D394" s="722" t="s">
        <v>1175</v>
      </c>
      <c r="E394" s="503"/>
      <c r="F394" s="503">
        <v>155451</v>
      </c>
      <c r="G394" s="148">
        <f>0+táj.2!G394</f>
        <v>0</v>
      </c>
      <c r="H394" s="148">
        <f>0+táj.2!H394</f>
        <v>0</v>
      </c>
      <c r="I394" s="148">
        <f>0+táj.2!I394</f>
        <v>0</v>
      </c>
      <c r="J394" s="148">
        <f>0+táj.2!J394</f>
        <v>0</v>
      </c>
      <c r="K394" s="148">
        <f>0+táj.2!K394</f>
        <v>0</v>
      </c>
      <c r="L394" s="148">
        <f>0+táj.2!L394</f>
        <v>0</v>
      </c>
      <c r="M394" s="148">
        <f>2725+táj.2!M394</f>
        <v>2725</v>
      </c>
      <c r="N394" s="148">
        <f>0+táj.2!N394</f>
        <v>0</v>
      </c>
      <c r="O394" s="148">
        <f>0+táj.2!O394</f>
        <v>0</v>
      </c>
      <c r="P394" s="148">
        <f>0+táj.2!P394</f>
        <v>0</v>
      </c>
      <c r="Q394" s="148">
        <f t="shared" si="29"/>
        <v>2725</v>
      </c>
    </row>
    <row r="395" spans="1:17" ht="15.75" customHeight="1" x14ac:dyDescent="0.2">
      <c r="A395" s="206"/>
      <c r="B395" s="206"/>
      <c r="C395" s="309" t="s">
        <v>696</v>
      </c>
      <c r="D395" s="722" t="s">
        <v>1176</v>
      </c>
      <c r="E395" s="503"/>
      <c r="F395" s="503">
        <v>155452</v>
      </c>
      <c r="G395" s="148">
        <f>0+táj.2!G395</f>
        <v>0</v>
      </c>
      <c r="H395" s="148">
        <f>0+táj.2!H395</f>
        <v>0</v>
      </c>
      <c r="I395" s="148">
        <f>0+táj.2!I395</f>
        <v>0</v>
      </c>
      <c r="J395" s="148">
        <f>0+táj.2!J395</f>
        <v>0</v>
      </c>
      <c r="K395" s="148">
        <f>0+táj.2!K395</f>
        <v>0</v>
      </c>
      <c r="L395" s="148">
        <f>0+táj.2!L395</f>
        <v>0</v>
      </c>
      <c r="M395" s="148">
        <f>4000+táj.2!M395</f>
        <v>4062</v>
      </c>
      <c r="N395" s="148">
        <f>0+táj.2!N395</f>
        <v>0</v>
      </c>
      <c r="O395" s="148">
        <f>0+táj.2!O395</f>
        <v>0</v>
      </c>
      <c r="P395" s="148">
        <f>0+táj.2!P395</f>
        <v>0</v>
      </c>
      <c r="Q395" s="148">
        <f t="shared" si="29"/>
        <v>4062</v>
      </c>
    </row>
    <row r="396" spans="1:17" ht="17.100000000000001" customHeight="1" x14ac:dyDescent="0.2">
      <c r="A396" s="206"/>
      <c r="B396" s="206"/>
      <c r="C396" s="309" t="s">
        <v>698</v>
      </c>
      <c r="D396" s="722" t="s">
        <v>1177</v>
      </c>
      <c r="E396" s="503"/>
      <c r="F396" s="503">
        <v>155453</v>
      </c>
      <c r="G396" s="148">
        <f>0+táj.2!G396</f>
        <v>0</v>
      </c>
      <c r="H396" s="148">
        <f>0+táj.2!H396</f>
        <v>0</v>
      </c>
      <c r="I396" s="148">
        <f>0+táj.2!I396</f>
        <v>0</v>
      </c>
      <c r="J396" s="148">
        <f>0+táj.2!J396</f>
        <v>0</v>
      </c>
      <c r="K396" s="148">
        <f>0+táj.2!K396</f>
        <v>0</v>
      </c>
      <c r="L396" s="148">
        <f>0+táj.2!L396</f>
        <v>0</v>
      </c>
      <c r="M396" s="148">
        <f>2000+táj.2!M396</f>
        <v>2021</v>
      </c>
      <c r="N396" s="148">
        <f>0+táj.2!N396</f>
        <v>0</v>
      </c>
      <c r="O396" s="148">
        <f>0+táj.2!O396</f>
        <v>0</v>
      </c>
      <c r="P396" s="148">
        <f>0+táj.2!P396</f>
        <v>0</v>
      </c>
      <c r="Q396" s="148">
        <f t="shared" si="29"/>
        <v>2021</v>
      </c>
    </row>
    <row r="397" spans="1:17" ht="17.100000000000001" customHeight="1" x14ac:dyDescent="0.2">
      <c r="A397" s="206"/>
      <c r="B397" s="206"/>
      <c r="C397" s="309" t="s">
        <v>700</v>
      </c>
      <c r="D397" s="705" t="s">
        <v>668</v>
      </c>
      <c r="E397" s="503"/>
      <c r="F397" s="503">
        <v>152420</v>
      </c>
      <c r="G397" s="148">
        <f>0+táj.2!G397</f>
        <v>0</v>
      </c>
      <c r="H397" s="148">
        <f>0+táj.2!H397</f>
        <v>0</v>
      </c>
      <c r="I397" s="148">
        <f>0+táj.2!I397</f>
        <v>0</v>
      </c>
      <c r="J397" s="148">
        <f>0+táj.2!J397</f>
        <v>0</v>
      </c>
      <c r="K397" s="148">
        <f>0+táj.2!K397</f>
        <v>0</v>
      </c>
      <c r="L397" s="148">
        <f>9000+táj.2!L397</f>
        <v>7124</v>
      </c>
      <c r="M397" s="148">
        <f>0+táj.2!M397</f>
        <v>0</v>
      </c>
      <c r="N397" s="148">
        <f>0+táj.2!N397</f>
        <v>0</v>
      </c>
      <c r="O397" s="148">
        <f>0+táj.2!O397</f>
        <v>0</v>
      </c>
      <c r="P397" s="148">
        <f>0+táj.2!P397</f>
        <v>0</v>
      </c>
      <c r="Q397" s="148">
        <f t="shared" si="29"/>
        <v>7124</v>
      </c>
    </row>
    <row r="398" spans="1:17" ht="17.100000000000001" customHeight="1" x14ac:dyDescent="0.2">
      <c r="A398" s="206"/>
      <c r="B398" s="206"/>
      <c r="C398" s="309" t="s">
        <v>701</v>
      </c>
      <c r="D398" s="705" t="s">
        <v>1178</v>
      </c>
      <c r="E398" s="503"/>
      <c r="F398" s="503">
        <v>155484</v>
      </c>
      <c r="G398" s="148">
        <f>0+táj.2!G398</f>
        <v>0</v>
      </c>
      <c r="H398" s="148">
        <f>0+táj.2!H398</f>
        <v>0</v>
      </c>
      <c r="I398" s="148">
        <f>0+táj.2!I398</f>
        <v>0</v>
      </c>
      <c r="J398" s="148">
        <f>0+táj.2!J398</f>
        <v>0</v>
      </c>
      <c r="K398" s="148">
        <f>0+táj.2!K398</f>
        <v>0</v>
      </c>
      <c r="L398" s="148">
        <f>0+táj.2!L398</f>
        <v>0</v>
      </c>
      <c r="M398" s="148">
        <f>2000+táj.2!M398</f>
        <v>2000</v>
      </c>
      <c r="N398" s="148">
        <f>0+táj.2!N398</f>
        <v>0</v>
      </c>
      <c r="O398" s="148">
        <f>0+táj.2!O398</f>
        <v>0</v>
      </c>
      <c r="P398" s="148">
        <f>0+táj.2!P398</f>
        <v>0</v>
      </c>
      <c r="Q398" s="148">
        <f t="shared" si="29"/>
        <v>2000</v>
      </c>
    </row>
    <row r="399" spans="1:17" ht="17.100000000000001" customHeight="1" x14ac:dyDescent="0.2">
      <c r="A399" s="206"/>
      <c r="B399" s="206"/>
      <c r="C399" s="309" t="s">
        <v>703</v>
      </c>
      <c r="D399" s="705" t="s">
        <v>680</v>
      </c>
      <c r="E399" s="503"/>
      <c r="F399" s="503">
        <v>155489</v>
      </c>
      <c r="G399" s="148">
        <f>0+táj.2!G399</f>
        <v>0</v>
      </c>
      <c r="H399" s="148">
        <f>0+táj.2!H399</f>
        <v>0</v>
      </c>
      <c r="I399" s="148">
        <f>0+táj.2!I399</f>
        <v>0</v>
      </c>
      <c r="J399" s="148">
        <f>0+táj.2!J399</f>
        <v>0</v>
      </c>
      <c r="K399" s="148">
        <f>0+táj.2!K399</f>
        <v>0</v>
      </c>
      <c r="L399" s="148">
        <f>0+táj.2!L399</f>
        <v>0</v>
      </c>
      <c r="M399" s="148">
        <f>3000+táj.2!M399</f>
        <v>3000</v>
      </c>
      <c r="N399" s="148">
        <f>0+táj.2!N399</f>
        <v>0</v>
      </c>
      <c r="O399" s="148">
        <f>0+táj.2!O399</f>
        <v>0</v>
      </c>
      <c r="P399" s="148">
        <f>0+táj.2!P399</f>
        <v>0</v>
      </c>
      <c r="Q399" s="148">
        <f t="shared" si="29"/>
        <v>3000</v>
      </c>
    </row>
    <row r="400" spans="1:17" ht="21" customHeight="1" x14ac:dyDescent="0.2">
      <c r="A400" s="206"/>
      <c r="B400" s="206"/>
      <c r="C400" s="309" t="s">
        <v>704</v>
      </c>
      <c r="D400" s="685" t="s">
        <v>685</v>
      </c>
      <c r="E400" s="503"/>
      <c r="F400" s="503">
        <v>155491</v>
      </c>
      <c r="G400" s="148">
        <f>0+táj.2!G400</f>
        <v>0</v>
      </c>
      <c r="H400" s="148">
        <f>0+táj.2!H400</f>
        <v>0</v>
      </c>
      <c r="I400" s="148">
        <f>0+táj.2!I400</f>
        <v>0</v>
      </c>
      <c r="J400" s="148">
        <f>0+táj.2!J400</f>
        <v>0</v>
      </c>
      <c r="K400" s="148">
        <f>0+táj.2!K400</f>
        <v>0</v>
      </c>
      <c r="L400" s="148">
        <f>0+táj.2!L400</f>
        <v>0</v>
      </c>
      <c r="M400" s="148">
        <f>3354+táj.2!M400</f>
        <v>3354</v>
      </c>
      <c r="N400" s="148">
        <f>0+táj.2!N400</f>
        <v>0</v>
      </c>
      <c r="O400" s="148">
        <f>0+táj.2!O400</f>
        <v>0</v>
      </c>
      <c r="P400" s="148">
        <f>0+táj.2!P400</f>
        <v>0</v>
      </c>
      <c r="Q400" s="148">
        <f t="shared" si="29"/>
        <v>3354</v>
      </c>
    </row>
    <row r="401" spans="1:17" ht="17.100000000000001" customHeight="1" x14ac:dyDescent="0.2">
      <c r="A401" s="206"/>
      <c r="B401" s="206"/>
      <c r="C401" s="309" t="s">
        <v>705</v>
      </c>
      <c r="D401" s="710" t="s">
        <v>687</v>
      </c>
      <c r="E401" s="503"/>
      <c r="F401" s="503">
        <v>154468</v>
      </c>
      <c r="G401" s="148">
        <f>0+táj.2!G401</f>
        <v>0</v>
      </c>
      <c r="H401" s="148">
        <f>0+táj.2!H401</f>
        <v>0</v>
      </c>
      <c r="I401" s="148">
        <f>0+táj.2!I401</f>
        <v>0</v>
      </c>
      <c r="J401" s="148">
        <f>0+táj.2!J401</f>
        <v>0</v>
      </c>
      <c r="K401" s="148">
        <f>0+táj.2!K401</f>
        <v>0</v>
      </c>
      <c r="L401" s="148">
        <f>0+táj.2!L401</f>
        <v>0</v>
      </c>
      <c r="M401" s="148">
        <f>2030+táj.2!M401</f>
        <v>1360</v>
      </c>
      <c r="N401" s="148">
        <f>0+táj.2!N401</f>
        <v>0</v>
      </c>
      <c r="O401" s="148">
        <f>0+táj.2!O401</f>
        <v>0</v>
      </c>
      <c r="P401" s="148">
        <f>0+táj.2!P401</f>
        <v>0</v>
      </c>
      <c r="Q401" s="148">
        <f t="shared" si="29"/>
        <v>1360</v>
      </c>
    </row>
    <row r="402" spans="1:17" ht="17.100000000000001" customHeight="1" x14ac:dyDescent="0.2">
      <c r="A402" s="206"/>
      <c r="B402" s="206"/>
      <c r="C402" s="309" t="s">
        <v>706</v>
      </c>
      <c r="D402" s="705" t="s">
        <v>690</v>
      </c>
      <c r="E402" s="503"/>
      <c r="F402" s="503">
        <v>155492</v>
      </c>
      <c r="G402" s="148">
        <f>0+táj.2!G402</f>
        <v>0</v>
      </c>
      <c r="H402" s="148">
        <f>0+táj.2!H402</f>
        <v>0</v>
      </c>
      <c r="I402" s="148">
        <f>0+táj.2!I402</f>
        <v>0</v>
      </c>
      <c r="J402" s="148">
        <f>0+táj.2!J402</f>
        <v>0</v>
      </c>
      <c r="K402" s="148">
        <f>0+táj.2!K402</f>
        <v>0</v>
      </c>
      <c r="L402" s="148">
        <f>0+táj.2!L402</f>
        <v>0</v>
      </c>
      <c r="M402" s="148">
        <f>4000+táj.2!M402</f>
        <v>13278</v>
      </c>
      <c r="N402" s="148">
        <f>0+táj.2!N402</f>
        <v>0</v>
      </c>
      <c r="O402" s="148">
        <f>0+táj.2!O402</f>
        <v>0</v>
      </c>
      <c r="P402" s="148">
        <f>0+táj.2!P402</f>
        <v>0</v>
      </c>
      <c r="Q402" s="148">
        <f t="shared" si="29"/>
        <v>13278</v>
      </c>
    </row>
    <row r="403" spans="1:17" ht="17.25" customHeight="1" x14ac:dyDescent="0.2">
      <c r="A403" s="206"/>
      <c r="B403" s="206"/>
      <c r="C403" s="309" t="s">
        <v>707</v>
      </c>
      <c r="D403" s="705" t="s">
        <v>695</v>
      </c>
      <c r="E403" s="503"/>
      <c r="F403" s="503">
        <v>155494</v>
      </c>
      <c r="G403" s="148">
        <f>0+táj.2!G403</f>
        <v>0</v>
      </c>
      <c r="H403" s="148">
        <f>0+táj.2!H403</f>
        <v>0</v>
      </c>
      <c r="I403" s="148">
        <f>0+táj.2!I403</f>
        <v>0</v>
      </c>
      <c r="J403" s="148">
        <f>0+táj.2!J403</f>
        <v>0</v>
      </c>
      <c r="K403" s="148">
        <f>0+táj.2!K403</f>
        <v>0</v>
      </c>
      <c r="L403" s="148">
        <f>0+táj.2!L403</f>
        <v>0</v>
      </c>
      <c r="M403" s="148">
        <f>3000+táj.2!M403</f>
        <v>0</v>
      </c>
      <c r="N403" s="148">
        <f>0+táj.2!N403</f>
        <v>0</v>
      </c>
      <c r="O403" s="148">
        <f>0+táj.2!O403</f>
        <v>0</v>
      </c>
      <c r="P403" s="148">
        <f>0+táj.2!P403</f>
        <v>0</v>
      </c>
      <c r="Q403" s="148">
        <f t="shared" si="29"/>
        <v>0</v>
      </c>
    </row>
    <row r="404" spans="1:17" ht="15.95" customHeight="1" x14ac:dyDescent="0.2">
      <c r="A404" s="206"/>
      <c r="B404" s="206"/>
      <c r="C404" s="309" t="s">
        <v>708</v>
      </c>
      <c r="D404" s="685" t="s">
        <v>699</v>
      </c>
      <c r="E404" s="503"/>
      <c r="F404" s="503">
        <v>152495</v>
      </c>
      <c r="G404" s="148">
        <f>0+táj.2!G404</f>
        <v>0</v>
      </c>
      <c r="H404" s="148">
        <f>0+táj.2!H404</f>
        <v>0</v>
      </c>
      <c r="I404" s="148">
        <f>0+táj.2!I404</f>
        <v>0</v>
      </c>
      <c r="J404" s="148">
        <f>0+táj.2!J404</f>
        <v>0</v>
      </c>
      <c r="K404" s="148">
        <f>0+táj.2!K404</f>
        <v>0</v>
      </c>
      <c r="L404" s="148">
        <f>5000+táj.2!L404</f>
        <v>6002</v>
      </c>
      <c r="M404" s="148">
        <f>0+táj.2!M404</f>
        <v>0</v>
      </c>
      <c r="N404" s="148">
        <f>0+táj.2!N404</f>
        <v>0</v>
      </c>
      <c r="O404" s="148">
        <f>0+táj.2!O404</f>
        <v>0</v>
      </c>
      <c r="P404" s="148">
        <f>0+táj.2!P404</f>
        <v>0</v>
      </c>
      <c r="Q404" s="148">
        <f t="shared" si="29"/>
        <v>6002</v>
      </c>
    </row>
    <row r="405" spans="1:17" ht="15.95" customHeight="1" x14ac:dyDescent="0.2">
      <c r="A405" s="206"/>
      <c r="B405" s="206"/>
      <c r="C405" s="309" t="s">
        <v>709</v>
      </c>
      <c r="D405" s="705" t="s">
        <v>710</v>
      </c>
      <c r="E405" s="503"/>
      <c r="F405" s="503">
        <v>155497</v>
      </c>
      <c r="G405" s="148">
        <f>0+táj.2!G405</f>
        <v>0</v>
      </c>
      <c r="H405" s="148">
        <f>0+táj.2!H405</f>
        <v>0</v>
      </c>
      <c r="I405" s="148">
        <f>0+táj.2!I405</f>
        <v>0</v>
      </c>
      <c r="J405" s="148">
        <f>0+táj.2!J405</f>
        <v>0</v>
      </c>
      <c r="K405" s="148">
        <f>0+táj.2!K405</f>
        <v>0</v>
      </c>
      <c r="L405" s="148">
        <f>0+táj.2!L405</f>
        <v>0</v>
      </c>
      <c r="M405" s="148">
        <f>4000+táj.2!M405</f>
        <v>6569</v>
      </c>
      <c r="N405" s="148">
        <f>0+táj.2!N405</f>
        <v>0</v>
      </c>
      <c r="O405" s="148">
        <f>0+táj.2!O405</f>
        <v>0</v>
      </c>
      <c r="P405" s="148">
        <f>0+táj.2!P405</f>
        <v>0</v>
      </c>
      <c r="Q405" s="148">
        <f t="shared" si="29"/>
        <v>6569</v>
      </c>
    </row>
    <row r="406" spans="1:17" ht="15.95" customHeight="1" x14ac:dyDescent="0.2">
      <c r="A406" s="206"/>
      <c r="B406" s="206"/>
      <c r="C406" s="309" t="s">
        <v>711</v>
      </c>
      <c r="D406" s="705" t="s">
        <v>717</v>
      </c>
      <c r="E406" s="503"/>
      <c r="F406" s="503">
        <v>155499</v>
      </c>
      <c r="G406" s="148">
        <f>0+táj.2!G406</f>
        <v>0</v>
      </c>
      <c r="H406" s="148">
        <f>0+táj.2!H406</f>
        <v>0</v>
      </c>
      <c r="I406" s="148">
        <f>0+táj.2!I406</f>
        <v>0</v>
      </c>
      <c r="J406" s="148">
        <f>0+táj.2!J406</f>
        <v>0</v>
      </c>
      <c r="K406" s="148">
        <f>0+táj.2!K406</f>
        <v>0</v>
      </c>
      <c r="L406" s="148">
        <f>0+táj.2!L406</f>
        <v>0</v>
      </c>
      <c r="M406" s="148">
        <f>2000+táj.2!M406</f>
        <v>4281</v>
      </c>
      <c r="N406" s="148">
        <f>0+táj.2!N406</f>
        <v>0</v>
      </c>
      <c r="O406" s="148">
        <f>0+táj.2!O406</f>
        <v>0</v>
      </c>
      <c r="P406" s="148">
        <f>0+táj.2!P406</f>
        <v>0</v>
      </c>
      <c r="Q406" s="148">
        <f t="shared" si="29"/>
        <v>4281</v>
      </c>
    </row>
    <row r="407" spans="1:17" ht="15.95" customHeight="1" x14ac:dyDescent="0.2">
      <c r="A407" s="206"/>
      <c r="B407" s="206"/>
      <c r="C407" s="309" t="s">
        <v>712</v>
      </c>
      <c r="D407" s="705" t="s">
        <v>719</v>
      </c>
      <c r="E407" s="503"/>
      <c r="F407" s="503">
        <v>155404</v>
      </c>
      <c r="G407" s="148">
        <f>0+táj.2!G407</f>
        <v>0</v>
      </c>
      <c r="H407" s="148">
        <f>0+táj.2!H407</f>
        <v>0</v>
      </c>
      <c r="I407" s="148">
        <f>0+táj.2!I407</f>
        <v>0</v>
      </c>
      <c r="J407" s="148">
        <f>0+táj.2!J407</f>
        <v>0</v>
      </c>
      <c r="K407" s="148">
        <f>0+táj.2!K407</f>
        <v>0</v>
      </c>
      <c r="L407" s="148">
        <f>0+táj.2!L407</f>
        <v>0</v>
      </c>
      <c r="M407" s="148">
        <f>2500+táj.2!M407</f>
        <v>2500</v>
      </c>
      <c r="N407" s="148">
        <f>0+táj.2!N407</f>
        <v>0</v>
      </c>
      <c r="O407" s="148">
        <f>0+táj.2!O407</f>
        <v>0</v>
      </c>
      <c r="P407" s="148">
        <f>0+táj.2!P407</f>
        <v>0</v>
      </c>
      <c r="Q407" s="148">
        <f t="shared" si="29"/>
        <v>2500</v>
      </c>
    </row>
    <row r="408" spans="1:17" ht="15.95" customHeight="1" x14ac:dyDescent="0.2">
      <c r="A408" s="206"/>
      <c r="B408" s="206"/>
      <c r="C408" s="309" t="s">
        <v>714</v>
      </c>
      <c r="D408" s="705" t="s">
        <v>721</v>
      </c>
      <c r="E408" s="503"/>
      <c r="F408" s="503">
        <v>155403</v>
      </c>
      <c r="G408" s="148">
        <f>0+táj.2!G408</f>
        <v>0</v>
      </c>
      <c r="H408" s="148">
        <f>0+táj.2!H408</f>
        <v>0</v>
      </c>
      <c r="I408" s="148">
        <f>0+táj.2!I408</f>
        <v>0</v>
      </c>
      <c r="J408" s="148">
        <f>0+táj.2!J408</f>
        <v>0</v>
      </c>
      <c r="K408" s="148">
        <f>0+táj.2!K408</f>
        <v>0</v>
      </c>
      <c r="L408" s="148">
        <f>0+táj.2!L408</f>
        <v>0</v>
      </c>
      <c r="M408" s="148">
        <f>6000+táj.2!M408</f>
        <v>6000</v>
      </c>
      <c r="N408" s="148">
        <f>0+táj.2!N408</f>
        <v>0</v>
      </c>
      <c r="O408" s="148">
        <f>0+táj.2!O408</f>
        <v>0</v>
      </c>
      <c r="P408" s="148">
        <f>0+táj.2!P408</f>
        <v>0</v>
      </c>
      <c r="Q408" s="148">
        <f t="shared" si="29"/>
        <v>6000</v>
      </c>
    </row>
    <row r="409" spans="1:17" ht="15.95" customHeight="1" x14ac:dyDescent="0.2">
      <c r="A409" s="206"/>
      <c r="B409" s="206"/>
      <c r="C409" s="309" t="s">
        <v>715</v>
      </c>
      <c r="D409" s="685" t="s">
        <v>727</v>
      </c>
      <c r="E409" s="503"/>
      <c r="F409" s="503">
        <v>155409</v>
      </c>
      <c r="G409" s="148">
        <f>0+táj.2!G409</f>
        <v>0</v>
      </c>
      <c r="H409" s="148">
        <f>0+táj.2!H409</f>
        <v>0</v>
      </c>
      <c r="I409" s="148">
        <f>0+táj.2!I409</f>
        <v>0</v>
      </c>
      <c r="J409" s="148">
        <f>0+táj.2!J409</f>
        <v>0</v>
      </c>
      <c r="K409" s="148">
        <f>0+táj.2!K409</f>
        <v>0</v>
      </c>
      <c r="L409" s="148">
        <f>0+táj.2!L409</f>
        <v>0</v>
      </c>
      <c r="M409" s="148">
        <f>3000+táj.2!M409</f>
        <v>4756</v>
      </c>
      <c r="N409" s="148">
        <f>0+táj.2!N409</f>
        <v>0</v>
      </c>
      <c r="O409" s="148">
        <f>0+táj.2!O409</f>
        <v>0</v>
      </c>
      <c r="P409" s="148">
        <f>0+táj.2!P409</f>
        <v>0</v>
      </c>
      <c r="Q409" s="148">
        <f t="shared" si="29"/>
        <v>4756</v>
      </c>
    </row>
    <row r="410" spans="1:17" ht="15.95" customHeight="1" x14ac:dyDescent="0.2">
      <c r="A410" s="206"/>
      <c r="B410" s="206"/>
      <c r="C410" s="309" t="s">
        <v>716</v>
      </c>
      <c r="D410" s="705" t="s">
        <v>728</v>
      </c>
      <c r="E410" s="503"/>
      <c r="F410" s="503">
        <v>155410</v>
      </c>
      <c r="G410" s="148">
        <f>0+táj.2!G410</f>
        <v>0</v>
      </c>
      <c r="H410" s="148">
        <f>0+táj.2!H410</f>
        <v>0</v>
      </c>
      <c r="I410" s="148">
        <f>0+táj.2!I410</f>
        <v>0</v>
      </c>
      <c r="J410" s="148">
        <f>0+táj.2!J410</f>
        <v>0</v>
      </c>
      <c r="K410" s="148">
        <f>0+táj.2!K410</f>
        <v>0</v>
      </c>
      <c r="L410" s="148">
        <f>0+táj.2!L410</f>
        <v>0</v>
      </c>
      <c r="M410" s="148">
        <f>2000+táj.2!M410</f>
        <v>3218</v>
      </c>
      <c r="N410" s="148">
        <f>0+táj.2!N410</f>
        <v>0</v>
      </c>
      <c r="O410" s="148">
        <f>0+táj.2!O410</f>
        <v>0</v>
      </c>
      <c r="P410" s="148">
        <f>0+táj.2!P410</f>
        <v>0</v>
      </c>
      <c r="Q410" s="148">
        <f t="shared" si="29"/>
        <v>3218</v>
      </c>
    </row>
    <row r="411" spans="1:17" ht="15.95" customHeight="1" x14ac:dyDescent="0.2">
      <c r="A411" s="206"/>
      <c r="B411" s="206"/>
      <c r="C411" s="309" t="s">
        <v>718</v>
      </c>
      <c r="D411" s="710" t="s">
        <v>729</v>
      </c>
      <c r="E411" s="503"/>
      <c r="F411" s="503">
        <v>152411</v>
      </c>
      <c r="G411" s="148">
        <f>0+táj.2!G411</f>
        <v>0</v>
      </c>
      <c r="H411" s="148">
        <f>0+táj.2!H411</f>
        <v>0</v>
      </c>
      <c r="I411" s="148">
        <f>0+táj.2!I411</f>
        <v>0</v>
      </c>
      <c r="J411" s="148">
        <f>0+táj.2!J411</f>
        <v>0</v>
      </c>
      <c r="K411" s="148">
        <f>0+táj.2!K411</f>
        <v>0</v>
      </c>
      <c r="L411" s="148">
        <f>4000+táj.2!L411</f>
        <v>4000</v>
      </c>
      <c r="M411" s="148">
        <f>0+táj.2!M411</f>
        <v>0</v>
      </c>
      <c r="N411" s="148">
        <f>0+táj.2!N411</f>
        <v>0</v>
      </c>
      <c r="O411" s="148">
        <f>0+táj.2!O411</f>
        <v>0</v>
      </c>
      <c r="P411" s="148">
        <f>0+táj.2!P411</f>
        <v>0</v>
      </c>
      <c r="Q411" s="148">
        <f t="shared" si="29"/>
        <v>4000</v>
      </c>
    </row>
    <row r="412" spans="1:17" ht="15.95" customHeight="1" x14ac:dyDescent="0.2">
      <c r="A412" s="206"/>
      <c r="B412" s="206"/>
      <c r="C412" s="309" t="s">
        <v>720</v>
      </c>
      <c r="D412" s="710" t="s">
        <v>730</v>
      </c>
      <c r="E412" s="503"/>
      <c r="F412" s="503">
        <v>154493</v>
      </c>
      <c r="G412" s="148">
        <f>0+táj.2!G412</f>
        <v>0</v>
      </c>
      <c r="H412" s="148">
        <f>0+táj.2!H412</f>
        <v>0</v>
      </c>
      <c r="I412" s="148">
        <f>0+táj.2!I412</f>
        <v>0</v>
      </c>
      <c r="J412" s="148">
        <f>0+táj.2!J412</f>
        <v>0</v>
      </c>
      <c r="K412" s="148">
        <f>0+táj.2!K412</f>
        <v>0</v>
      </c>
      <c r="L412" s="148">
        <f>0+táj.2!L412</f>
        <v>0</v>
      </c>
      <c r="M412" s="148">
        <f>2000+táj.2!M412</f>
        <v>2000</v>
      </c>
      <c r="N412" s="148">
        <f>0+táj.2!N412</f>
        <v>0</v>
      </c>
      <c r="O412" s="148">
        <f>0+táj.2!O412</f>
        <v>0</v>
      </c>
      <c r="P412" s="148">
        <f>0+táj.2!P412</f>
        <v>0</v>
      </c>
      <c r="Q412" s="148">
        <f t="shared" ref="Q412:Q435" si="30">SUM(G412:P412)</f>
        <v>2000</v>
      </c>
    </row>
    <row r="413" spans="1:17" ht="13.5" customHeight="1" x14ac:dyDescent="0.2">
      <c r="A413" s="206"/>
      <c r="B413" s="206"/>
      <c r="C413" s="309" t="s">
        <v>722</v>
      </c>
      <c r="D413" s="722" t="s">
        <v>1179</v>
      </c>
      <c r="E413" s="715"/>
      <c r="F413" s="503">
        <v>155454</v>
      </c>
      <c r="G413" s="148">
        <f>0+táj.2!G413</f>
        <v>0</v>
      </c>
      <c r="H413" s="148">
        <f>0+táj.2!H413</f>
        <v>0</v>
      </c>
      <c r="I413" s="148">
        <f>0+táj.2!I413</f>
        <v>0</v>
      </c>
      <c r="J413" s="148">
        <f>0+táj.2!J413</f>
        <v>0</v>
      </c>
      <c r="K413" s="148">
        <f>0+táj.2!K413</f>
        <v>0</v>
      </c>
      <c r="L413" s="148">
        <f>0+táj.2!L413</f>
        <v>0</v>
      </c>
      <c r="M413" s="148">
        <f>2000+táj.2!M413</f>
        <v>244</v>
      </c>
      <c r="N413" s="148">
        <f>0+táj.2!N413</f>
        <v>0</v>
      </c>
      <c r="O413" s="148">
        <f>0+táj.2!O413</f>
        <v>0</v>
      </c>
      <c r="P413" s="148">
        <f>0+táj.2!P413</f>
        <v>0</v>
      </c>
      <c r="Q413" s="148">
        <f t="shared" si="30"/>
        <v>244</v>
      </c>
    </row>
    <row r="414" spans="1:17" ht="19.5" customHeight="1" x14ac:dyDescent="0.2">
      <c r="A414" s="206"/>
      <c r="B414" s="206"/>
      <c r="C414" s="309" t="s">
        <v>723</v>
      </c>
      <c r="D414" s="705" t="s">
        <v>731</v>
      </c>
      <c r="E414" s="503"/>
      <c r="F414" s="503">
        <v>155412</v>
      </c>
      <c r="G414" s="148">
        <f>0+táj.2!G414</f>
        <v>0</v>
      </c>
      <c r="H414" s="148">
        <f>0+táj.2!H414</f>
        <v>0</v>
      </c>
      <c r="I414" s="148">
        <f>0+táj.2!I414</f>
        <v>0</v>
      </c>
      <c r="J414" s="148">
        <f>0+táj.2!J414</f>
        <v>0</v>
      </c>
      <c r="K414" s="148">
        <f>0+táj.2!K414</f>
        <v>0</v>
      </c>
      <c r="L414" s="148">
        <f>0+táj.2!L414</f>
        <v>0</v>
      </c>
      <c r="M414" s="148">
        <f>2000+táj.2!M414</f>
        <v>2000</v>
      </c>
      <c r="N414" s="148">
        <f>0+táj.2!N414</f>
        <v>0</v>
      </c>
      <c r="O414" s="148">
        <f>0+táj.2!O414</f>
        <v>0</v>
      </c>
      <c r="P414" s="148">
        <f>0+táj.2!P414</f>
        <v>0</v>
      </c>
      <c r="Q414" s="148">
        <f t="shared" si="30"/>
        <v>2000</v>
      </c>
    </row>
    <row r="415" spans="1:17" ht="16.5" customHeight="1" x14ac:dyDescent="0.2">
      <c r="A415" s="206"/>
      <c r="B415" s="206"/>
      <c r="C415" s="309" t="s">
        <v>724</v>
      </c>
      <c r="D415" s="704" t="s">
        <v>1000</v>
      </c>
      <c r="E415" s="503"/>
      <c r="F415" s="503">
        <v>155414</v>
      </c>
      <c r="G415" s="148">
        <f>0+táj.2!G415</f>
        <v>0</v>
      </c>
      <c r="H415" s="148">
        <f>0+táj.2!H415</f>
        <v>0</v>
      </c>
      <c r="I415" s="148">
        <f>0+táj.2!I415</f>
        <v>0</v>
      </c>
      <c r="J415" s="148">
        <f>0+táj.2!J415</f>
        <v>0</v>
      </c>
      <c r="K415" s="148">
        <f>0+táj.2!K415</f>
        <v>0</v>
      </c>
      <c r="L415" s="148">
        <f>0+táj.2!L415</f>
        <v>0</v>
      </c>
      <c r="M415" s="148">
        <f>8000+táj.2!M415</f>
        <v>18830</v>
      </c>
      <c r="N415" s="148">
        <f>0+táj.2!N415</f>
        <v>0</v>
      </c>
      <c r="O415" s="148">
        <f>0+táj.2!O415</f>
        <v>0</v>
      </c>
      <c r="P415" s="148">
        <f>0+táj.2!P415</f>
        <v>0</v>
      </c>
      <c r="Q415" s="148">
        <f t="shared" si="30"/>
        <v>18830</v>
      </c>
    </row>
    <row r="416" spans="1:17" ht="16.5" customHeight="1" x14ac:dyDescent="0.2">
      <c r="A416" s="206"/>
      <c r="B416" s="206"/>
      <c r="C416" s="309" t="s">
        <v>726</v>
      </c>
      <c r="D416" s="704" t="s">
        <v>735</v>
      </c>
      <c r="E416" s="503"/>
      <c r="F416" s="503">
        <v>155430</v>
      </c>
      <c r="G416" s="148">
        <f>0+táj.2!G416</f>
        <v>0</v>
      </c>
      <c r="H416" s="148">
        <f>0+táj.2!H416</f>
        <v>0</v>
      </c>
      <c r="I416" s="148">
        <f>0+táj.2!I416</f>
        <v>0</v>
      </c>
      <c r="J416" s="148">
        <f>0+táj.2!J416</f>
        <v>0</v>
      </c>
      <c r="K416" s="148">
        <f>0+táj.2!K416</f>
        <v>0</v>
      </c>
      <c r="L416" s="148">
        <f>0+táj.2!L416</f>
        <v>0</v>
      </c>
      <c r="M416" s="148">
        <f>2000+táj.2!M416</f>
        <v>2000</v>
      </c>
      <c r="N416" s="148">
        <f>0+táj.2!N416</f>
        <v>0</v>
      </c>
      <c r="O416" s="148">
        <f>0+táj.2!O416</f>
        <v>0</v>
      </c>
      <c r="P416" s="148">
        <f>0+táj.2!P416</f>
        <v>0</v>
      </c>
      <c r="Q416" s="148">
        <f t="shared" si="30"/>
        <v>2000</v>
      </c>
    </row>
    <row r="417" spans="1:17" ht="23.25" customHeight="1" x14ac:dyDescent="0.2">
      <c r="A417" s="585"/>
      <c r="B417" s="585"/>
      <c r="C417" s="171" t="s">
        <v>1268</v>
      </c>
      <c r="D417" s="700" t="s">
        <v>1269</v>
      </c>
      <c r="E417" s="587"/>
      <c r="F417" s="778">
        <v>152434</v>
      </c>
      <c r="G417" s="148">
        <f>0+táj.2!G417</f>
        <v>0</v>
      </c>
      <c r="H417" s="148">
        <f>0+táj.2!H417</f>
        <v>0</v>
      </c>
      <c r="I417" s="148">
        <f>0+táj.2!I417</f>
        <v>0</v>
      </c>
      <c r="J417" s="148">
        <f>0+táj.2!J417</f>
        <v>0</v>
      </c>
      <c r="K417" s="148">
        <f>0+táj.2!K417</f>
        <v>0</v>
      </c>
      <c r="L417" s="148">
        <f>2155+táj.2!L417</f>
        <v>2155</v>
      </c>
      <c r="M417" s="148">
        <f>0+táj.2!M417</f>
        <v>0</v>
      </c>
      <c r="N417" s="148">
        <f>0+táj.2!N417</f>
        <v>0</v>
      </c>
      <c r="O417" s="148">
        <f>0+táj.2!O417</f>
        <v>0</v>
      </c>
      <c r="P417" s="148">
        <f>0+táj.2!P417</f>
        <v>0</v>
      </c>
      <c r="Q417" s="148">
        <f t="shared" si="30"/>
        <v>2155</v>
      </c>
    </row>
    <row r="418" spans="1:17" ht="17.25" customHeight="1" x14ac:dyDescent="0.2">
      <c r="A418" s="836"/>
      <c r="B418" s="836"/>
      <c r="C418" s="842" t="s">
        <v>1304</v>
      </c>
      <c r="D418" s="843" t="s">
        <v>1305</v>
      </c>
      <c r="E418" s="841"/>
      <c r="F418" s="841">
        <v>155455</v>
      </c>
      <c r="G418" s="148">
        <f>0+táj.2!G418</f>
        <v>0</v>
      </c>
      <c r="H418" s="148">
        <f>0+táj.2!H418</f>
        <v>0</v>
      </c>
      <c r="I418" s="148">
        <f>0+táj.2!I418</f>
        <v>0</v>
      </c>
      <c r="J418" s="148">
        <f>0+táj.2!J418</f>
        <v>0</v>
      </c>
      <c r="K418" s="148">
        <f>0+táj.2!K418</f>
        <v>0</v>
      </c>
      <c r="L418" s="148">
        <f>0+táj.2!L418</f>
        <v>0</v>
      </c>
      <c r="M418" s="148">
        <f>1112+táj.2!M418</f>
        <v>1112</v>
      </c>
      <c r="N418" s="148">
        <f>0+táj.2!N418</f>
        <v>0</v>
      </c>
      <c r="O418" s="148">
        <f>0+táj.2!O418</f>
        <v>0</v>
      </c>
      <c r="P418" s="148">
        <f>0+táj.2!P418</f>
        <v>0</v>
      </c>
      <c r="Q418" s="148">
        <f t="shared" si="30"/>
        <v>1112</v>
      </c>
    </row>
    <row r="419" spans="1:17" ht="19.5" customHeight="1" x14ac:dyDescent="0.2">
      <c r="A419" s="836"/>
      <c r="B419" s="836"/>
      <c r="C419" s="842" t="s">
        <v>1306</v>
      </c>
      <c r="D419" s="843" t="s">
        <v>1307</v>
      </c>
      <c r="E419" s="841"/>
      <c r="F419" s="841">
        <v>152435</v>
      </c>
      <c r="G419" s="148">
        <f>0+táj.2!G419</f>
        <v>0</v>
      </c>
      <c r="H419" s="148">
        <f>0+táj.2!H419</f>
        <v>0</v>
      </c>
      <c r="I419" s="148">
        <f>0+táj.2!I419</f>
        <v>0</v>
      </c>
      <c r="J419" s="148">
        <f>0+táj.2!J419</f>
        <v>0</v>
      </c>
      <c r="K419" s="148">
        <f>0+táj.2!K419</f>
        <v>0</v>
      </c>
      <c r="L419" s="148">
        <f>1613+táj.2!L419</f>
        <v>1613</v>
      </c>
      <c r="M419" s="148">
        <f>0+táj.2!M419</f>
        <v>0</v>
      </c>
      <c r="N419" s="148">
        <f>0+táj.2!N419</f>
        <v>0</v>
      </c>
      <c r="O419" s="148">
        <f>0+táj.2!O419</f>
        <v>0</v>
      </c>
      <c r="P419" s="148">
        <f>0+táj.2!P419</f>
        <v>0</v>
      </c>
      <c r="Q419" s="148">
        <f t="shared" si="30"/>
        <v>1613</v>
      </c>
    </row>
    <row r="420" spans="1:17" ht="17.25" customHeight="1" x14ac:dyDescent="0.2">
      <c r="A420" s="836"/>
      <c r="B420" s="836"/>
      <c r="C420" s="842" t="s">
        <v>1308</v>
      </c>
      <c r="D420" s="843" t="s">
        <v>1309</v>
      </c>
      <c r="E420" s="841"/>
      <c r="F420" s="841">
        <v>155458</v>
      </c>
      <c r="G420" s="148">
        <f>0+táj.2!G420</f>
        <v>0</v>
      </c>
      <c r="H420" s="148">
        <f>0+táj.2!H420</f>
        <v>0</v>
      </c>
      <c r="I420" s="148">
        <f>0+táj.2!I420</f>
        <v>0</v>
      </c>
      <c r="J420" s="148">
        <f>0+táj.2!J420</f>
        <v>0</v>
      </c>
      <c r="K420" s="148">
        <f>0+táj.2!K420</f>
        <v>0</v>
      </c>
      <c r="L420" s="148">
        <f>0+táj.2!L420</f>
        <v>0</v>
      </c>
      <c r="M420" s="148">
        <f>1768+táj.2!M420</f>
        <v>1768</v>
      </c>
      <c r="N420" s="148">
        <f>0+táj.2!N420</f>
        <v>0</v>
      </c>
      <c r="O420" s="148">
        <f>0+táj.2!O420</f>
        <v>0</v>
      </c>
      <c r="P420" s="148">
        <f>0+táj.2!P420</f>
        <v>0</v>
      </c>
      <c r="Q420" s="148">
        <f t="shared" si="30"/>
        <v>1768</v>
      </c>
    </row>
    <row r="421" spans="1:17" ht="18" customHeight="1" x14ac:dyDescent="0.2">
      <c r="A421" s="836"/>
      <c r="B421" s="836"/>
      <c r="C421" s="842" t="s">
        <v>1310</v>
      </c>
      <c r="D421" s="891" t="s">
        <v>1311</v>
      </c>
      <c r="E421" s="841"/>
      <c r="F421" s="841">
        <v>152442</v>
      </c>
      <c r="G421" s="148">
        <f>0+táj.2!G421</f>
        <v>0</v>
      </c>
      <c r="H421" s="148">
        <f>0+táj.2!H421</f>
        <v>0</v>
      </c>
      <c r="I421" s="148">
        <f>0+táj.2!I421</f>
        <v>0</v>
      </c>
      <c r="J421" s="148">
        <f>0+táj.2!J421</f>
        <v>0</v>
      </c>
      <c r="K421" s="148">
        <f>0+táj.2!K421</f>
        <v>0</v>
      </c>
      <c r="L421" s="148">
        <f>6000+táj.2!L421</f>
        <v>6000</v>
      </c>
      <c r="M421" s="148">
        <f>0+táj.2!M421</f>
        <v>0</v>
      </c>
      <c r="N421" s="148">
        <f>0+táj.2!N421</f>
        <v>0</v>
      </c>
      <c r="O421" s="148">
        <f>0+táj.2!O421</f>
        <v>0</v>
      </c>
      <c r="P421" s="148">
        <f>0+táj.2!P421</f>
        <v>0</v>
      </c>
      <c r="Q421" s="148">
        <f t="shared" si="30"/>
        <v>6000</v>
      </c>
    </row>
    <row r="422" spans="1:17" ht="18" customHeight="1" x14ac:dyDescent="0.2">
      <c r="A422" s="863"/>
      <c r="B422" s="863"/>
      <c r="C422" s="171" t="s">
        <v>1372</v>
      </c>
      <c r="D422" s="925" t="s">
        <v>1373</v>
      </c>
      <c r="E422" s="865"/>
      <c r="F422" s="865">
        <v>155459</v>
      </c>
      <c r="G422" s="148">
        <f>0+táj.2!G422</f>
        <v>0</v>
      </c>
      <c r="H422" s="148">
        <f>0+táj.2!H422</f>
        <v>0</v>
      </c>
      <c r="I422" s="148">
        <f>0+táj.2!I422</f>
        <v>0</v>
      </c>
      <c r="J422" s="148">
        <f>0+táj.2!J422</f>
        <v>0</v>
      </c>
      <c r="K422" s="148">
        <f>0+táj.2!K422</f>
        <v>0</v>
      </c>
      <c r="L422" s="148">
        <f>0+táj.2!L422</f>
        <v>0</v>
      </c>
      <c r="M422" s="148">
        <f>0+táj.2!M422</f>
        <v>988</v>
      </c>
      <c r="N422" s="148">
        <f>0+táj.2!N422</f>
        <v>0</v>
      </c>
      <c r="O422" s="148">
        <f>0+táj.2!O422</f>
        <v>0</v>
      </c>
      <c r="P422" s="148">
        <f>0+táj.2!P422</f>
        <v>0</v>
      </c>
      <c r="Q422" s="148">
        <f t="shared" si="30"/>
        <v>988</v>
      </c>
    </row>
    <row r="423" spans="1:17" ht="18" customHeight="1" x14ac:dyDescent="0.2">
      <c r="A423" s="863"/>
      <c r="B423" s="863"/>
      <c r="C423" s="171" t="s">
        <v>1374</v>
      </c>
      <c r="D423" s="925" t="s">
        <v>1375</v>
      </c>
      <c r="E423" s="865"/>
      <c r="F423" s="865">
        <v>155460</v>
      </c>
      <c r="G423" s="148">
        <f>0+táj.2!G423</f>
        <v>0</v>
      </c>
      <c r="H423" s="148">
        <f>0+táj.2!H423</f>
        <v>0</v>
      </c>
      <c r="I423" s="148">
        <f>0+táj.2!I423</f>
        <v>0</v>
      </c>
      <c r="J423" s="148">
        <f>0+táj.2!J423</f>
        <v>0</v>
      </c>
      <c r="K423" s="148">
        <f>0+táj.2!K423</f>
        <v>0</v>
      </c>
      <c r="L423" s="148">
        <f>0+táj.2!L423</f>
        <v>0</v>
      </c>
      <c r="M423" s="148">
        <f>0+táj.2!M423</f>
        <v>1508</v>
      </c>
      <c r="N423" s="148">
        <f>0+táj.2!N423</f>
        <v>0</v>
      </c>
      <c r="O423" s="148">
        <f>0+táj.2!O423</f>
        <v>0</v>
      </c>
      <c r="P423" s="148">
        <f>0+táj.2!P423</f>
        <v>0</v>
      </c>
      <c r="Q423" s="148">
        <f t="shared" si="30"/>
        <v>1508</v>
      </c>
    </row>
    <row r="424" spans="1:17" ht="18" customHeight="1" x14ac:dyDescent="0.2">
      <c r="A424" s="863"/>
      <c r="B424" s="863"/>
      <c r="C424" s="171" t="s">
        <v>1376</v>
      </c>
      <c r="D424" s="926" t="s">
        <v>1377</v>
      </c>
      <c r="E424" s="865"/>
      <c r="F424" s="865">
        <v>164419</v>
      </c>
      <c r="G424" s="148">
        <f>0+táj.2!G424</f>
        <v>0</v>
      </c>
      <c r="H424" s="148">
        <f>0+táj.2!H424</f>
        <v>0</v>
      </c>
      <c r="I424" s="148">
        <f>0+táj.2!I424</f>
        <v>0</v>
      </c>
      <c r="J424" s="148">
        <f>0+táj.2!J424</f>
        <v>0</v>
      </c>
      <c r="K424" s="148">
        <f>0+táj.2!K424</f>
        <v>0</v>
      </c>
      <c r="L424" s="148">
        <f>0+táj.2!L424</f>
        <v>0</v>
      </c>
      <c r="M424" s="148">
        <f>0+táj.2!M424</f>
        <v>600</v>
      </c>
      <c r="N424" s="148">
        <f>0+táj.2!N424</f>
        <v>0</v>
      </c>
      <c r="O424" s="148">
        <f>0+táj.2!O424</f>
        <v>0</v>
      </c>
      <c r="P424" s="148">
        <f>0+táj.2!P424</f>
        <v>0</v>
      </c>
      <c r="Q424" s="148">
        <f t="shared" si="30"/>
        <v>600</v>
      </c>
    </row>
    <row r="425" spans="1:17" ht="26.25" customHeight="1" x14ac:dyDescent="0.2">
      <c r="A425" s="863"/>
      <c r="B425" s="863"/>
      <c r="C425" s="171" t="s">
        <v>1378</v>
      </c>
      <c r="D425" s="926" t="s">
        <v>1379</v>
      </c>
      <c r="E425" s="865"/>
      <c r="F425" s="865">
        <v>164411</v>
      </c>
      <c r="G425" s="148">
        <f>0+táj.2!G425</f>
        <v>0</v>
      </c>
      <c r="H425" s="148">
        <f>0+táj.2!H425</f>
        <v>0</v>
      </c>
      <c r="I425" s="148">
        <f>0+táj.2!I425</f>
        <v>0</v>
      </c>
      <c r="J425" s="148">
        <f>0+táj.2!J425</f>
        <v>0</v>
      </c>
      <c r="K425" s="148">
        <f>0+táj.2!K425</f>
        <v>0</v>
      </c>
      <c r="L425" s="148">
        <f>0+táj.2!L425</f>
        <v>0</v>
      </c>
      <c r="M425" s="148">
        <f>0+táj.2!M425</f>
        <v>2076</v>
      </c>
      <c r="N425" s="148">
        <f>0+táj.2!N425</f>
        <v>0</v>
      </c>
      <c r="O425" s="148">
        <f>0+táj.2!O425</f>
        <v>0</v>
      </c>
      <c r="P425" s="148">
        <f>0+táj.2!P425</f>
        <v>0</v>
      </c>
      <c r="Q425" s="148">
        <f t="shared" si="30"/>
        <v>2076</v>
      </c>
    </row>
    <row r="426" spans="1:17" ht="18" customHeight="1" x14ac:dyDescent="0.2">
      <c r="A426" s="863"/>
      <c r="B426" s="863"/>
      <c r="C426" s="171" t="s">
        <v>1380</v>
      </c>
      <c r="D426" s="926" t="s">
        <v>1381</v>
      </c>
      <c r="E426" s="865"/>
      <c r="F426" s="865">
        <v>152581</v>
      </c>
      <c r="G426" s="148">
        <f>0+táj.2!G426</f>
        <v>0</v>
      </c>
      <c r="H426" s="148">
        <f>0+táj.2!H426</f>
        <v>0</v>
      </c>
      <c r="I426" s="148">
        <f>0+táj.2!I426</f>
        <v>0</v>
      </c>
      <c r="J426" s="148">
        <f>0+táj.2!J426</f>
        <v>0</v>
      </c>
      <c r="K426" s="148">
        <f>0+táj.2!K426</f>
        <v>0</v>
      </c>
      <c r="L426" s="148">
        <f>0+táj.2!L426</f>
        <v>1711</v>
      </c>
      <c r="M426" s="148">
        <f>0+táj.2!M426</f>
        <v>0</v>
      </c>
      <c r="N426" s="148">
        <f>0+táj.2!N426</f>
        <v>0</v>
      </c>
      <c r="O426" s="148">
        <f>0+táj.2!O426</f>
        <v>0</v>
      </c>
      <c r="P426" s="148">
        <f>0+táj.2!P426</f>
        <v>0</v>
      </c>
      <c r="Q426" s="148">
        <f t="shared" si="30"/>
        <v>1711</v>
      </c>
    </row>
    <row r="427" spans="1:17" ht="18" customHeight="1" x14ac:dyDescent="0.2">
      <c r="A427" s="863"/>
      <c r="B427" s="863"/>
      <c r="C427" s="171" t="s">
        <v>1382</v>
      </c>
      <c r="D427" s="926" t="s">
        <v>1383</v>
      </c>
      <c r="E427" s="865"/>
      <c r="F427" s="864">
        <v>164413</v>
      </c>
      <c r="G427" s="148">
        <f>0+táj.2!G427</f>
        <v>0</v>
      </c>
      <c r="H427" s="148">
        <f>0+táj.2!H427</f>
        <v>0</v>
      </c>
      <c r="I427" s="148">
        <f>0+táj.2!I427</f>
        <v>0</v>
      </c>
      <c r="J427" s="148">
        <f>0+táj.2!J427</f>
        <v>0</v>
      </c>
      <c r="K427" s="148">
        <f>0+táj.2!K427</f>
        <v>0</v>
      </c>
      <c r="L427" s="148">
        <f>0+táj.2!L427</f>
        <v>0</v>
      </c>
      <c r="M427" s="148">
        <f>0+táj.2!M427</f>
        <v>1345</v>
      </c>
      <c r="N427" s="148">
        <f>0+táj.2!N427</f>
        <v>0</v>
      </c>
      <c r="O427" s="148">
        <f>0+táj.2!O427</f>
        <v>0</v>
      </c>
      <c r="P427" s="148">
        <f>0+táj.2!P427</f>
        <v>0</v>
      </c>
      <c r="Q427" s="148">
        <f t="shared" si="30"/>
        <v>1345</v>
      </c>
    </row>
    <row r="428" spans="1:17" ht="24.75" customHeight="1" x14ac:dyDescent="0.2">
      <c r="A428" s="863"/>
      <c r="B428" s="863"/>
      <c r="C428" s="171" t="s">
        <v>1384</v>
      </c>
      <c r="D428" s="926" t="s">
        <v>1385</v>
      </c>
      <c r="E428" s="865"/>
      <c r="F428" s="864">
        <v>164414</v>
      </c>
      <c r="G428" s="148">
        <f>0+táj.2!G428</f>
        <v>0</v>
      </c>
      <c r="H428" s="148">
        <f>0+táj.2!H428</f>
        <v>0</v>
      </c>
      <c r="I428" s="148">
        <f>0+táj.2!I428</f>
        <v>0</v>
      </c>
      <c r="J428" s="148">
        <f>0+táj.2!J428</f>
        <v>0</v>
      </c>
      <c r="K428" s="148">
        <f>0+táj.2!K428</f>
        <v>0</v>
      </c>
      <c r="L428" s="148">
        <f>0+táj.2!L428</f>
        <v>0</v>
      </c>
      <c r="M428" s="148">
        <f>0+táj.2!M428</f>
        <v>10017</v>
      </c>
      <c r="N428" s="148">
        <f>0+táj.2!N428</f>
        <v>0</v>
      </c>
      <c r="O428" s="148">
        <f>0+táj.2!O428</f>
        <v>0</v>
      </c>
      <c r="P428" s="148">
        <f>0+táj.2!P428</f>
        <v>0</v>
      </c>
      <c r="Q428" s="148">
        <f t="shared" si="30"/>
        <v>10017</v>
      </c>
    </row>
    <row r="429" spans="1:17" ht="18" customHeight="1" x14ac:dyDescent="0.2">
      <c r="A429" s="206"/>
      <c r="B429" s="206"/>
      <c r="C429" s="314"/>
      <c r="D429" s="277" t="s">
        <v>1145</v>
      </c>
      <c r="E429" s="313"/>
      <c r="F429" s="148"/>
      <c r="G429" s="148"/>
      <c r="H429" s="148"/>
      <c r="I429" s="148"/>
      <c r="J429" s="148"/>
      <c r="K429" s="148"/>
      <c r="L429" s="148"/>
      <c r="M429" s="148"/>
      <c r="N429" s="148"/>
      <c r="O429" s="148"/>
      <c r="P429" s="148"/>
      <c r="Q429" s="148"/>
    </row>
    <row r="430" spans="1:17" ht="18" customHeight="1" x14ac:dyDescent="0.2">
      <c r="A430" s="206"/>
      <c r="B430" s="206"/>
      <c r="C430" s="309" t="s">
        <v>737</v>
      </c>
      <c r="D430" s="710" t="s">
        <v>738</v>
      </c>
      <c r="E430" s="503"/>
      <c r="F430" s="503">
        <v>155420</v>
      </c>
      <c r="G430" s="148">
        <f>0+táj.2!G430</f>
        <v>0</v>
      </c>
      <c r="H430" s="148">
        <f>0+táj.2!H430</f>
        <v>0</v>
      </c>
      <c r="I430" s="148">
        <f>0+táj.2!I430</f>
        <v>0</v>
      </c>
      <c r="J430" s="148">
        <f>0+táj.2!J430</f>
        <v>0</v>
      </c>
      <c r="K430" s="148">
        <f>0+táj.2!K430</f>
        <v>0</v>
      </c>
      <c r="L430" s="148">
        <f>0+táj.2!L430</f>
        <v>0</v>
      </c>
      <c r="M430" s="148">
        <f>8000+táj.2!M430</f>
        <v>8000</v>
      </c>
      <c r="N430" s="148">
        <f>0+táj.2!N430</f>
        <v>0</v>
      </c>
      <c r="O430" s="148">
        <f>0+táj.2!O430</f>
        <v>0</v>
      </c>
      <c r="P430" s="148">
        <f>0+táj.2!P430</f>
        <v>0</v>
      </c>
      <c r="Q430" s="148">
        <f t="shared" si="30"/>
        <v>8000</v>
      </c>
    </row>
    <row r="431" spans="1:17" ht="15" customHeight="1" x14ac:dyDescent="0.2">
      <c r="A431" s="206"/>
      <c r="B431" s="206"/>
      <c r="C431" s="309" t="s">
        <v>739</v>
      </c>
      <c r="D431" s="710" t="s">
        <v>741</v>
      </c>
      <c r="E431" s="503"/>
      <c r="F431" s="503">
        <v>154479</v>
      </c>
      <c r="G431" s="148">
        <f>0+táj.2!G431</f>
        <v>0</v>
      </c>
      <c r="H431" s="148">
        <f>0+táj.2!H431</f>
        <v>0</v>
      </c>
      <c r="I431" s="148">
        <f>0+táj.2!I431</f>
        <v>0</v>
      </c>
      <c r="J431" s="148">
        <f>0+táj.2!J431</f>
        <v>0</v>
      </c>
      <c r="K431" s="148">
        <f>0+táj.2!K431</f>
        <v>0</v>
      </c>
      <c r="L431" s="148">
        <f>0+táj.2!L431</f>
        <v>0</v>
      </c>
      <c r="M431" s="148">
        <f>1045+táj.2!M431</f>
        <v>1045</v>
      </c>
      <c r="N431" s="148">
        <f>0+táj.2!N431</f>
        <v>0</v>
      </c>
      <c r="O431" s="148">
        <f>0+táj.2!O431</f>
        <v>0</v>
      </c>
      <c r="P431" s="148">
        <f>0+táj.2!P431</f>
        <v>0</v>
      </c>
      <c r="Q431" s="148">
        <f t="shared" si="30"/>
        <v>1045</v>
      </c>
    </row>
    <row r="432" spans="1:17" ht="18" customHeight="1" x14ac:dyDescent="0.2">
      <c r="A432" s="206"/>
      <c r="B432" s="206"/>
      <c r="C432" s="309" t="s">
        <v>740</v>
      </c>
      <c r="D432" s="720" t="s">
        <v>744</v>
      </c>
      <c r="E432" s="503"/>
      <c r="F432" s="503">
        <v>152414</v>
      </c>
      <c r="G432" s="148">
        <f>0+táj.2!G432</f>
        <v>0</v>
      </c>
      <c r="H432" s="148">
        <f>0+táj.2!H432</f>
        <v>0</v>
      </c>
      <c r="I432" s="148">
        <f>0+táj.2!I432</f>
        <v>0</v>
      </c>
      <c r="J432" s="148">
        <f>0+táj.2!J432</f>
        <v>0</v>
      </c>
      <c r="K432" s="148">
        <f>0+táj.2!K432</f>
        <v>0</v>
      </c>
      <c r="L432" s="148">
        <f>5197+táj.2!L432</f>
        <v>5197</v>
      </c>
      <c r="M432" s="148">
        <f>0+táj.2!M432</f>
        <v>0</v>
      </c>
      <c r="N432" s="148">
        <f>0+táj.2!N432</f>
        <v>0</v>
      </c>
      <c r="O432" s="148">
        <f>0+táj.2!O432</f>
        <v>0</v>
      </c>
      <c r="P432" s="148">
        <f>0+táj.2!P432</f>
        <v>0</v>
      </c>
      <c r="Q432" s="148">
        <f t="shared" si="30"/>
        <v>5197</v>
      </c>
    </row>
    <row r="433" spans="1:17" ht="21" customHeight="1" x14ac:dyDescent="0.2">
      <c r="A433" s="206"/>
      <c r="B433" s="206"/>
      <c r="C433" s="309" t="s">
        <v>742</v>
      </c>
      <c r="D433" s="724" t="s">
        <v>749</v>
      </c>
      <c r="E433" s="503"/>
      <c r="F433" s="503">
        <v>152405</v>
      </c>
      <c r="G433" s="148">
        <f>0+táj.2!G433</f>
        <v>0</v>
      </c>
      <c r="H433" s="148">
        <f>0+táj.2!H433</f>
        <v>0</v>
      </c>
      <c r="I433" s="148">
        <f>2065+táj.2!I433</f>
        <v>2165</v>
      </c>
      <c r="J433" s="148">
        <f>0+táj.2!J433</f>
        <v>0</v>
      </c>
      <c r="K433" s="148">
        <f>0+táj.2!K433</f>
        <v>0</v>
      </c>
      <c r="L433" s="148">
        <f>6941+táj.2!L433</f>
        <v>6661</v>
      </c>
      <c r="M433" s="148">
        <f>1495+táj.2!M433</f>
        <v>1675</v>
      </c>
      <c r="N433" s="148">
        <f>0+táj.2!N433</f>
        <v>0</v>
      </c>
      <c r="O433" s="148">
        <f>0+táj.2!O433</f>
        <v>0</v>
      </c>
      <c r="P433" s="148">
        <f>0+táj.2!P433</f>
        <v>0</v>
      </c>
      <c r="Q433" s="148">
        <f t="shared" si="30"/>
        <v>10501</v>
      </c>
    </row>
    <row r="434" spans="1:17" ht="18" customHeight="1" x14ac:dyDescent="0.2">
      <c r="A434" s="206"/>
      <c r="B434" s="206"/>
      <c r="C434" s="309" t="s">
        <v>743</v>
      </c>
      <c r="D434" s="705" t="s">
        <v>660</v>
      </c>
      <c r="E434" s="503"/>
      <c r="F434" s="503">
        <v>151419</v>
      </c>
      <c r="G434" s="148">
        <f>0+táj.2!G434</f>
        <v>0</v>
      </c>
      <c r="H434" s="148">
        <f>0+táj.2!H434</f>
        <v>0</v>
      </c>
      <c r="I434" s="148">
        <f>809+táj.2!I434</f>
        <v>809</v>
      </c>
      <c r="J434" s="148">
        <f>0+táj.2!J434</f>
        <v>0</v>
      </c>
      <c r="K434" s="148">
        <f>0+táj.2!K434</f>
        <v>0</v>
      </c>
      <c r="L434" s="148">
        <f>0+táj.2!L434</f>
        <v>0</v>
      </c>
      <c r="M434" s="148">
        <f>0+táj.2!M434</f>
        <v>0</v>
      </c>
      <c r="N434" s="148">
        <f>0+táj.2!N434</f>
        <v>0</v>
      </c>
      <c r="O434" s="148">
        <f>0+táj.2!O434</f>
        <v>0</v>
      </c>
      <c r="P434" s="148">
        <f>0+táj.2!P434</f>
        <v>0</v>
      </c>
      <c r="Q434" s="148">
        <f t="shared" si="30"/>
        <v>809</v>
      </c>
    </row>
    <row r="435" spans="1:17" ht="18" customHeight="1" x14ac:dyDescent="0.2">
      <c r="A435" s="206"/>
      <c r="B435" s="206"/>
      <c r="C435" s="309" t="s">
        <v>745</v>
      </c>
      <c r="D435" s="705" t="s">
        <v>693</v>
      </c>
      <c r="E435" s="503"/>
      <c r="F435" s="503">
        <v>154471</v>
      </c>
      <c r="G435" s="148">
        <f>0+táj.2!G435</f>
        <v>0</v>
      </c>
      <c r="H435" s="148">
        <f>0+táj.2!H435</f>
        <v>0</v>
      </c>
      <c r="I435" s="148">
        <f>0+táj.2!I435</f>
        <v>0</v>
      </c>
      <c r="J435" s="148">
        <f>0+táj.2!J435</f>
        <v>0</v>
      </c>
      <c r="K435" s="148">
        <f>0+táj.2!K435</f>
        <v>0</v>
      </c>
      <c r="L435" s="148">
        <f>0+táj.2!L435</f>
        <v>0</v>
      </c>
      <c r="M435" s="148">
        <f>2297+táj.2!M435</f>
        <v>2297</v>
      </c>
      <c r="N435" s="148">
        <f>0+táj.2!N435</f>
        <v>0</v>
      </c>
      <c r="O435" s="148">
        <f>0+táj.2!O435</f>
        <v>0</v>
      </c>
      <c r="P435" s="148">
        <f>0+táj.2!P435</f>
        <v>0</v>
      </c>
      <c r="Q435" s="148">
        <f t="shared" si="30"/>
        <v>2297</v>
      </c>
    </row>
    <row r="436" spans="1:17" ht="16.5" customHeight="1" x14ac:dyDescent="0.2">
      <c r="A436" s="206"/>
      <c r="B436" s="206"/>
      <c r="C436" s="309" t="s">
        <v>747</v>
      </c>
      <c r="D436" s="710" t="s">
        <v>725</v>
      </c>
      <c r="E436" s="503"/>
      <c r="F436" s="503">
        <v>154411</v>
      </c>
      <c r="G436" s="148">
        <f>0+táj.2!G436</f>
        <v>0</v>
      </c>
      <c r="H436" s="148">
        <f>0+táj.2!H436</f>
        <v>0</v>
      </c>
      <c r="I436" s="148">
        <f>0+táj.2!I436</f>
        <v>0</v>
      </c>
      <c r="J436" s="148">
        <f>0+táj.2!J436</f>
        <v>0</v>
      </c>
      <c r="K436" s="148">
        <f>0+táj.2!K436</f>
        <v>0</v>
      </c>
      <c r="L436" s="148">
        <f>1268+táj.2!L436</f>
        <v>1268</v>
      </c>
      <c r="M436" s="148">
        <f>748+táj.2!M436</f>
        <v>748</v>
      </c>
      <c r="N436" s="148">
        <f>0+táj.2!N436</f>
        <v>0</v>
      </c>
      <c r="O436" s="148">
        <f>0+táj.2!O436</f>
        <v>0</v>
      </c>
      <c r="P436" s="148">
        <f>0+táj.2!P436</f>
        <v>0</v>
      </c>
      <c r="Q436" s="148">
        <f>SUM(G436:P436)</f>
        <v>2016</v>
      </c>
    </row>
    <row r="437" spans="1:17" ht="18" customHeight="1" x14ac:dyDescent="0.2">
      <c r="A437" s="206"/>
      <c r="B437" s="206"/>
      <c r="C437" s="309" t="s">
        <v>748</v>
      </c>
      <c r="D437" s="705" t="s">
        <v>1014</v>
      </c>
      <c r="E437" s="503"/>
      <c r="F437" s="503">
        <v>155418</v>
      </c>
      <c r="G437" s="148">
        <f>0+táj.2!G437</f>
        <v>0</v>
      </c>
      <c r="H437" s="148">
        <f>0+táj.2!H437</f>
        <v>0</v>
      </c>
      <c r="I437" s="148">
        <f>1000+táj.2!I437</f>
        <v>1000</v>
      </c>
      <c r="J437" s="148">
        <f>0+táj.2!J437</f>
        <v>0</v>
      </c>
      <c r="K437" s="148">
        <f>0+táj.2!K437</f>
        <v>0</v>
      </c>
      <c r="L437" s="148">
        <f>0+táj.2!L437</f>
        <v>0</v>
      </c>
      <c r="M437" s="148">
        <f>0+táj.2!M437</f>
        <v>0</v>
      </c>
      <c r="N437" s="148">
        <f>0+táj.2!N437</f>
        <v>0</v>
      </c>
      <c r="O437" s="148">
        <f>0+táj.2!O437</f>
        <v>0</v>
      </c>
      <c r="P437" s="148">
        <f>0+táj.2!P437</f>
        <v>0</v>
      </c>
      <c r="Q437" s="148">
        <f>SUM(G437:P437)</f>
        <v>1000</v>
      </c>
    </row>
    <row r="438" spans="1:17" ht="29.25" customHeight="1" x14ac:dyDescent="0.2">
      <c r="A438" s="206"/>
      <c r="B438" s="206"/>
      <c r="C438" s="309" t="s">
        <v>1180</v>
      </c>
      <c r="D438" s="704" t="s">
        <v>732</v>
      </c>
      <c r="E438" s="503"/>
      <c r="F438" s="503">
        <v>155424</v>
      </c>
      <c r="G438" s="148">
        <f>0+táj.2!G438</f>
        <v>0</v>
      </c>
      <c r="H438" s="148">
        <f>0+táj.2!H438</f>
        <v>0</v>
      </c>
      <c r="I438" s="148">
        <f>0+táj.2!I438</f>
        <v>0</v>
      </c>
      <c r="J438" s="148">
        <f>0+táj.2!J438</f>
        <v>0</v>
      </c>
      <c r="K438" s="148">
        <f>0+táj.2!K438</f>
        <v>0</v>
      </c>
      <c r="L438" s="148">
        <f>0+táj.2!L438</f>
        <v>0</v>
      </c>
      <c r="M438" s="148">
        <f>2682+táj.2!M438</f>
        <v>2682</v>
      </c>
      <c r="N438" s="148">
        <f>0+táj.2!N438</f>
        <v>0</v>
      </c>
      <c r="O438" s="148">
        <f>0+táj.2!O438</f>
        <v>0</v>
      </c>
      <c r="P438" s="148">
        <f>0+táj.2!P438</f>
        <v>0</v>
      </c>
      <c r="Q438" s="148">
        <f t="shared" ref="Q438:Q446" si="31">SUM(G438:P438)</f>
        <v>2682</v>
      </c>
    </row>
    <row r="439" spans="1:17" ht="18.75" customHeight="1" x14ac:dyDescent="0.2">
      <c r="A439" s="206"/>
      <c r="B439" s="206"/>
      <c r="C439" s="309" t="s">
        <v>1181</v>
      </c>
      <c r="D439" s="704" t="s">
        <v>733</v>
      </c>
      <c r="E439" s="503"/>
      <c r="F439" s="503">
        <v>155426</v>
      </c>
      <c r="G439" s="148">
        <f>0+táj.2!G439</f>
        <v>0</v>
      </c>
      <c r="H439" s="148">
        <f>0+táj.2!H439</f>
        <v>0</v>
      </c>
      <c r="I439" s="148">
        <f>0+táj.2!I439</f>
        <v>0</v>
      </c>
      <c r="J439" s="148">
        <f>0+táj.2!J439</f>
        <v>0</v>
      </c>
      <c r="K439" s="148">
        <f>0+táj.2!K439</f>
        <v>0</v>
      </c>
      <c r="L439" s="148">
        <f>0+táj.2!L439</f>
        <v>0</v>
      </c>
      <c r="M439" s="148">
        <f>6000+táj.2!M439</f>
        <v>6000</v>
      </c>
      <c r="N439" s="148">
        <f>0+táj.2!N439</f>
        <v>0</v>
      </c>
      <c r="O439" s="148">
        <f>0+táj.2!O439</f>
        <v>0</v>
      </c>
      <c r="P439" s="148">
        <f>0+táj.2!P439</f>
        <v>0</v>
      </c>
      <c r="Q439" s="148">
        <f t="shared" si="31"/>
        <v>6000</v>
      </c>
    </row>
    <row r="440" spans="1:17" ht="15.75" customHeight="1" x14ac:dyDescent="0.2">
      <c r="A440" s="206"/>
      <c r="B440" s="206"/>
      <c r="C440" s="309" t="s">
        <v>1182</v>
      </c>
      <c r="D440" s="704" t="s">
        <v>734</v>
      </c>
      <c r="E440" s="503"/>
      <c r="F440" s="503">
        <v>152426</v>
      </c>
      <c r="G440" s="148">
        <f>0+táj.2!G440</f>
        <v>0</v>
      </c>
      <c r="H440" s="148">
        <f>0+táj.2!H440</f>
        <v>0</v>
      </c>
      <c r="I440" s="148">
        <f>0+táj.2!I440</f>
        <v>0</v>
      </c>
      <c r="J440" s="148">
        <f>0+táj.2!J440</f>
        <v>0</v>
      </c>
      <c r="K440" s="148">
        <f>0+táj.2!K440</f>
        <v>0</v>
      </c>
      <c r="L440" s="148">
        <f>12549+táj.2!L440</f>
        <v>12549</v>
      </c>
      <c r="M440" s="148">
        <f>0+táj.2!M440</f>
        <v>0</v>
      </c>
      <c r="N440" s="148">
        <f>0+táj.2!N440</f>
        <v>0</v>
      </c>
      <c r="O440" s="148">
        <f>0+táj.2!O440</f>
        <v>0</v>
      </c>
      <c r="P440" s="148">
        <f>0+táj.2!P440</f>
        <v>0</v>
      </c>
      <c r="Q440" s="148">
        <f t="shared" si="31"/>
        <v>12549</v>
      </c>
    </row>
    <row r="441" spans="1:17" ht="18" customHeight="1" x14ac:dyDescent="0.2">
      <c r="A441" s="206"/>
      <c r="B441" s="206"/>
      <c r="C441" s="309" t="s">
        <v>1183</v>
      </c>
      <c r="D441" s="704" t="s">
        <v>736</v>
      </c>
      <c r="E441" s="503"/>
      <c r="F441" s="503">
        <v>155427</v>
      </c>
      <c r="G441" s="148">
        <f>0+táj.2!G441</f>
        <v>0</v>
      </c>
      <c r="H441" s="148">
        <f>0+táj.2!H441</f>
        <v>0</v>
      </c>
      <c r="I441" s="148">
        <f>0+táj.2!I441</f>
        <v>0</v>
      </c>
      <c r="J441" s="148">
        <f>0+táj.2!J441</f>
        <v>0</v>
      </c>
      <c r="K441" s="148">
        <f>0+táj.2!K441</f>
        <v>0</v>
      </c>
      <c r="L441" s="148">
        <f>0+táj.2!L441</f>
        <v>0</v>
      </c>
      <c r="M441" s="148">
        <f>3462+táj.2!M441</f>
        <v>3462</v>
      </c>
      <c r="N441" s="148">
        <f>0+táj.2!N441</f>
        <v>0</v>
      </c>
      <c r="O441" s="148">
        <f>0+táj.2!O441</f>
        <v>0</v>
      </c>
      <c r="P441" s="148">
        <f>0+táj.2!P441</f>
        <v>0</v>
      </c>
      <c r="Q441" s="148">
        <f t="shared" si="31"/>
        <v>3462</v>
      </c>
    </row>
    <row r="442" spans="1:17" ht="18" customHeight="1" x14ac:dyDescent="0.2">
      <c r="A442" s="206"/>
      <c r="B442" s="206"/>
      <c r="C442" s="309" t="s">
        <v>1184</v>
      </c>
      <c r="D442" s="531" t="s">
        <v>1189</v>
      </c>
      <c r="E442" s="503"/>
      <c r="F442" s="503">
        <v>155431</v>
      </c>
      <c r="G442" s="148">
        <f>0+táj.2!G442</f>
        <v>0</v>
      </c>
      <c r="H442" s="148">
        <f>0+táj.2!H442</f>
        <v>0</v>
      </c>
      <c r="I442" s="148">
        <f>0+táj.2!I442</f>
        <v>0</v>
      </c>
      <c r="J442" s="148">
        <f>0+táj.2!J442</f>
        <v>0</v>
      </c>
      <c r="K442" s="148">
        <f>0+táj.2!K442</f>
        <v>0</v>
      </c>
      <c r="L442" s="148">
        <f>0+táj.2!L442</f>
        <v>0</v>
      </c>
      <c r="M442" s="148">
        <f>1021+táj.2!M442</f>
        <v>1021</v>
      </c>
      <c r="N442" s="148">
        <f>0+táj.2!N442</f>
        <v>0</v>
      </c>
      <c r="O442" s="148">
        <f>0+táj.2!O442</f>
        <v>0</v>
      </c>
      <c r="P442" s="148">
        <f>0+táj.2!P442</f>
        <v>0</v>
      </c>
      <c r="Q442" s="148">
        <f t="shared" si="31"/>
        <v>1021</v>
      </c>
    </row>
    <row r="443" spans="1:17" ht="24.75" customHeight="1" x14ac:dyDescent="0.2">
      <c r="A443" s="206"/>
      <c r="B443" s="206"/>
      <c r="C443" s="309" t="s">
        <v>1185</v>
      </c>
      <c r="D443" s="725" t="s">
        <v>1190</v>
      </c>
      <c r="E443" s="503"/>
      <c r="F443" s="503">
        <v>154401</v>
      </c>
      <c r="G443" s="148">
        <f>0+táj.2!G443</f>
        <v>0</v>
      </c>
      <c r="H443" s="148">
        <f>0+táj.2!H443</f>
        <v>0</v>
      </c>
      <c r="I443" s="148">
        <f>0+táj.2!I443</f>
        <v>0</v>
      </c>
      <c r="J443" s="148">
        <f>0+táj.2!J443</f>
        <v>0</v>
      </c>
      <c r="K443" s="148">
        <f>0+táj.2!K443</f>
        <v>0</v>
      </c>
      <c r="L443" s="148">
        <f>0+táj.2!L443</f>
        <v>0</v>
      </c>
      <c r="M443" s="148">
        <f>524+táj.2!M443</f>
        <v>524</v>
      </c>
      <c r="N443" s="148">
        <f>0+táj.2!N443</f>
        <v>0</v>
      </c>
      <c r="O443" s="148">
        <f>0+táj.2!O443</f>
        <v>0</v>
      </c>
      <c r="P443" s="148">
        <f>0+táj.2!P443</f>
        <v>0</v>
      </c>
      <c r="Q443" s="148">
        <f t="shared" si="31"/>
        <v>524</v>
      </c>
    </row>
    <row r="444" spans="1:17" ht="16.5" customHeight="1" x14ac:dyDescent="0.2">
      <c r="A444" s="206"/>
      <c r="B444" s="206"/>
      <c r="C444" s="309" t="s">
        <v>1186</v>
      </c>
      <c r="D444" s="725" t="s">
        <v>1191</v>
      </c>
      <c r="E444" s="503"/>
      <c r="F444" s="503">
        <v>152136</v>
      </c>
      <c r="G444" s="148">
        <f>0+táj.2!G444</f>
        <v>0</v>
      </c>
      <c r="H444" s="148">
        <f>0+táj.2!H444</f>
        <v>0</v>
      </c>
      <c r="I444" s="148">
        <f>0+táj.2!I444</f>
        <v>0</v>
      </c>
      <c r="J444" s="148">
        <f>0+táj.2!J444</f>
        <v>0</v>
      </c>
      <c r="K444" s="148">
        <f>0+táj.2!K444</f>
        <v>0</v>
      </c>
      <c r="L444" s="148">
        <f>657+táj.2!L444</f>
        <v>657</v>
      </c>
      <c r="M444" s="148">
        <f>0+táj.2!M444</f>
        <v>0</v>
      </c>
      <c r="N444" s="148">
        <f>0+táj.2!N444</f>
        <v>0</v>
      </c>
      <c r="O444" s="148">
        <f>0+táj.2!O444</f>
        <v>0</v>
      </c>
      <c r="P444" s="148">
        <f>0+táj.2!P444</f>
        <v>0</v>
      </c>
      <c r="Q444" s="148">
        <f t="shared" si="31"/>
        <v>657</v>
      </c>
    </row>
    <row r="445" spans="1:17" ht="15.75" customHeight="1" x14ac:dyDescent="0.2">
      <c r="A445" s="206"/>
      <c r="B445" s="206"/>
      <c r="C445" s="309" t="s">
        <v>1187</v>
      </c>
      <c r="D445" s="725" t="s">
        <v>1192</v>
      </c>
      <c r="E445" s="503"/>
      <c r="F445" s="503">
        <v>152427</v>
      </c>
      <c r="G445" s="148">
        <f>0+táj.2!G445</f>
        <v>0</v>
      </c>
      <c r="H445" s="148">
        <f>0+táj.2!H445</f>
        <v>0</v>
      </c>
      <c r="I445" s="148">
        <f>0+táj.2!I445</f>
        <v>0</v>
      </c>
      <c r="J445" s="148">
        <f>0+táj.2!J445</f>
        <v>0</v>
      </c>
      <c r="K445" s="148">
        <f>0+táj.2!K445</f>
        <v>0</v>
      </c>
      <c r="L445" s="148">
        <f>1235+táj.2!L445</f>
        <v>1235</v>
      </c>
      <c r="M445" s="148">
        <f>0+táj.2!M445</f>
        <v>0</v>
      </c>
      <c r="N445" s="148">
        <f>0+táj.2!N445</f>
        <v>0</v>
      </c>
      <c r="O445" s="148">
        <f>0+táj.2!O445</f>
        <v>0</v>
      </c>
      <c r="P445" s="148">
        <f>0+táj.2!P445</f>
        <v>0</v>
      </c>
      <c r="Q445" s="148">
        <f t="shared" si="31"/>
        <v>1235</v>
      </c>
    </row>
    <row r="446" spans="1:17" ht="27" customHeight="1" x14ac:dyDescent="0.2">
      <c r="A446" s="206"/>
      <c r="B446" s="206"/>
      <c r="C446" s="309" t="s">
        <v>1188</v>
      </c>
      <c r="D446" s="725" t="s">
        <v>1193</v>
      </c>
      <c r="E446" s="503"/>
      <c r="F446" s="503">
        <v>152428</v>
      </c>
      <c r="G446" s="148">
        <f>0+táj.2!G446</f>
        <v>0</v>
      </c>
      <c r="H446" s="148">
        <f>0+táj.2!H446</f>
        <v>0</v>
      </c>
      <c r="I446" s="148">
        <f>284+táj.2!I446</f>
        <v>284</v>
      </c>
      <c r="J446" s="148">
        <f>0+táj.2!J446</f>
        <v>0</v>
      </c>
      <c r="K446" s="148">
        <f>0+táj.2!K446</f>
        <v>0</v>
      </c>
      <c r="L446" s="148">
        <f>0+táj.2!L446</f>
        <v>0</v>
      </c>
      <c r="M446" s="148">
        <f>0+táj.2!M446</f>
        <v>0</v>
      </c>
      <c r="N446" s="148">
        <f>0+táj.2!N446</f>
        <v>0</v>
      </c>
      <c r="O446" s="148">
        <f>0+táj.2!O446</f>
        <v>0</v>
      </c>
      <c r="P446" s="148">
        <f>0+táj.2!P446</f>
        <v>0</v>
      </c>
      <c r="Q446" s="148">
        <f t="shared" si="31"/>
        <v>284</v>
      </c>
    </row>
    <row r="447" spans="1:17" ht="15.75" customHeight="1" x14ac:dyDescent="0.2">
      <c r="A447" s="206"/>
      <c r="B447" s="206"/>
      <c r="C447" s="315" t="s">
        <v>90</v>
      </c>
      <c r="D447" s="316" t="s">
        <v>750</v>
      </c>
      <c r="E447" s="209"/>
      <c r="F447" s="210"/>
      <c r="G447" s="148"/>
      <c r="H447" s="148"/>
      <c r="I447" s="148"/>
      <c r="J447" s="148"/>
      <c r="K447" s="148"/>
      <c r="L447" s="148"/>
      <c r="M447" s="148"/>
      <c r="N447" s="148"/>
      <c r="O447" s="148"/>
      <c r="P447" s="148"/>
      <c r="Q447" s="148"/>
    </row>
    <row r="448" spans="1:17" ht="18.75" customHeight="1" x14ac:dyDescent="0.2">
      <c r="A448" s="206"/>
      <c r="B448" s="206"/>
      <c r="C448" s="726" t="s">
        <v>751</v>
      </c>
      <c r="D448" s="705" t="s">
        <v>1194</v>
      </c>
      <c r="E448" s="503"/>
      <c r="F448" s="503">
        <v>152574</v>
      </c>
      <c r="G448" s="148">
        <f>0+táj.2!G448</f>
        <v>0</v>
      </c>
      <c r="H448" s="148">
        <f>0+táj.2!H448</f>
        <v>0</v>
      </c>
      <c r="I448" s="148">
        <f>0+táj.2!I448</f>
        <v>0</v>
      </c>
      <c r="J448" s="148">
        <f>0+táj.2!J448</f>
        <v>0</v>
      </c>
      <c r="K448" s="148">
        <f>0+táj.2!K448</f>
        <v>0</v>
      </c>
      <c r="L448" s="148">
        <f>16820+táj.2!L448</f>
        <v>19433</v>
      </c>
      <c r="M448" s="148">
        <f>0+táj.2!M448</f>
        <v>0</v>
      </c>
      <c r="N448" s="148">
        <f>0+táj.2!N448</f>
        <v>0</v>
      </c>
      <c r="O448" s="148">
        <f>0+táj.2!O448</f>
        <v>0</v>
      </c>
      <c r="P448" s="148">
        <f>0+táj.2!P448</f>
        <v>0</v>
      </c>
      <c r="Q448" s="148">
        <f t="shared" ref="Q448:Q464" si="32">SUM(G448:P448)</f>
        <v>19433</v>
      </c>
    </row>
    <row r="449" spans="1:17" ht="18.75" customHeight="1" x14ac:dyDescent="0.2">
      <c r="A449" s="206"/>
      <c r="B449" s="206"/>
      <c r="C449" s="726" t="s">
        <v>752</v>
      </c>
      <c r="D449" s="704" t="s">
        <v>765</v>
      </c>
      <c r="E449" s="503"/>
      <c r="F449" s="503">
        <v>152571</v>
      </c>
      <c r="G449" s="148">
        <f>0+táj.2!G449</f>
        <v>0</v>
      </c>
      <c r="H449" s="148">
        <f>0+táj.2!H449</f>
        <v>0</v>
      </c>
      <c r="I449" s="148">
        <f>0+táj.2!I449</f>
        <v>0</v>
      </c>
      <c r="J449" s="148">
        <f>0+táj.2!J449</f>
        <v>0</v>
      </c>
      <c r="K449" s="148">
        <f>0+táj.2!K449</f>
        <v>0</v>
      </c>
      <c r="L449" s="148">
        <f>16000+táj.2!L449</f>
        <v>16000</v>
      </c>
      <c r="M449" s="148">
        <f>0+táj.2!M449</f>
        <v>0</v>
      </c>
      <c r="N449" s="148">
        <f>0+táj.2!N449</f>
        <v>0</v>
      </c>
      <c r="O449" s="148">
        <f>0+táj.2!O449</f>
        <v>0</v>
      </c>
      <c r="P449" s="148">
        <f>0+táj.2!P449</f>
        <v>0</v>
      </c>
      <c r="Q449" s="148">
        <f t="shared" si="32"/>
        <v>16000</v>
      </c>
    </row>
    <row r="450" spans="1:17" ht="18.75" customHeight="1" x14ac:dyDescent="0.2">
      <c r="A450" s="206"/>
      <c r="B450" s="206"/>
      <c r="C450" s="726" t="s">
        <v>753</v>
      </c>
      <c r="D450" s="727" t="s">
        <v>1195</v>
      </c>
      <c r="E450" s="708"/>
      <c r="F450" s="503">
        <v>152558</v>
      </c>
      <c r="G450" s="148">
        <f>0+táj.2!G450</f>
        <v>0</v>
      </c>
      <c r="H450" s="148">
        <f>0+táj.2!H450</f>
        <v>0</v>
      </c>
      <c r="I450" s="148">
        <f>0+táj.2!I450</f>
        <v>0</v>
      </c>
      <c r="J450" s="148">
        <f>0+táj.2!J450</f>
        <v>0</v>
      </c>
      <c r="K450" s="148">
        <f>0+táj.2!K450</f>
        <v>0</v>
      </c>
      <c r="L450" s="148">
        <f>500+táj.2!L450</f>
        <v>500</v>
      </c>
      <c r="M450" s="148">
        <f>0+táj.2!M450</f>
        <v>0</v>
      </c>
      <c r="N450" s="148">
        <f>0+táj.2!N450</f>
        <v>0</v>
      </c>
      <c r="O450" s="148">
        <f>0+táj.2!O450</f>
        <v>0</v>
      </c>
      <c r="P450" s="148">
        <f>0+táj.2!P450</f>
        <v>0</v>
      </c>
      <c r="Q450" s="148">
        <f t="shared" si="32"/>
        <v>500</v>
      </c>
    </row>
    <row r="451" spans="1:17" ht="18.75" customHeight="1" x14ac:dyDescent="0.2">
      <c r="A451" s="206"/>
      <c r="B451" s="206"/>
      <c r="C451" s="726" t="s">
        <v>754</v>
      </c>
      <c r="D451" s="714" t="s">
        <v>1196</v>
      </c>
      <c r="E451" s="503"/>
      <c r="F451" s="503">
        <v>152575</v>
      </c>
      <c r="G451" s="148">
        <f>0+táj.2!G451</f>
        <v>0</v>
      </c>
      <c r="H451" s="148">
        <f>0+táj.2!H451</f>
        <v>0</v>
      </c>
      <c r="I451" s="148">
        <f>0+táj.2!I451</f>
        <v>0</v>
      </c>
      <c r="J451" s="148">
        <f>0+táj.2!J451</f>
        <v>0</v>
      </c>
      <c r="K451" s="148">
        <f>0+táj.2!K451</f>
        <v>0</v>
      </c>
      <c r="L451" s="148">
        <f>2000+táj.2!L451</f>
        <v>850</v>
      </c>
      <c r="M451" s="148">
        <f>0+táj.2!M451</f>
        <v>0</v>
      </c>
      <c r="N451" s="148">
        <f>0+táj.2!N451</f>
        <v>0</v>
      </c>
      <c r="O451" s="148">
        <f>0+táj.2!O451</f>
        <v>0</v>
      </c>
      <c r="P451" s="148">
        <f>0+táj.2!P451</f>
        <v>0</v>
      </c>
      <c r="Q451" s="148">
        <f t="shared" si="32"/>
        <v>850</v>
      </c>
    </row>
    <row r="452" spans="1:17" ht="18.75" customHeight="1" x14ac:dyDescent="0.2">
      <c r="A452" s="206"/>
      <c r="B452" s="206"/>
      <c r="C452" s="726" t="s">
        <v>756</v>
      </c>
      <c r="D452" s="728" t="s">
        <v>1197</v>
      </c>
      <c r="E452" s="729"/>
      <c r="F452" s="503">
        <v>152577</v>
      </c>
      <c r="G452" s="148">
        <f>0+táj.2!G452</f>
        <v>0</v>
      </c>
      <c r="H452" s="148">
        <f>0+táj.2!H452</f>
        <v>0</v>
      </c>
      <c r="I452" s="148">
        <f>0+táj.2!I452</f>
        <v>0</v>
      </c>
      <c r="J452" s="148">
        <f>0+táj.2!J452</f>
        <v>0</v>
      </c>
      <c r="K452" s="148">
        <f>0+táj.2!K452</f>
        <v>0</v>
      </c>
      <c r="L452" s="148">
        <f>0+táj.2!L452</f>
        <v>0</v>
      </c>
      <c r="M452" s="148">
        <f>0+táj.2!M452</f>
        <v>0</v>
      </c>
      <c r="N452" s="148">
        <f>0+táj.2!N452</f>
        <v>0</v>
      </c>
      <c r="O452" s="148">
        <f>0+táj.2!O452</f>
        <v>0</v>
      </c>
      <c r="P452" s="148">
        <f>0+táj.2!P452</f>
        <v>0</v>
      </c>
      <c r="Q452" s="148">
        <f t="shared" si="32"/>
        <v>0</v>
      </c>
    </row>
    <row r="453" spans="1:17" ht="18.75" customHeight="1" x14ac:dyDescent="0.2">
      <c r="A453" s="206"/>
      <c r="B453" s="206"/>
      <c r="C453" s="726" t="s">
        <v>757</v>
      </c>
      <c r="D453" s="714" t="s">
        <v>1198</v>
      </c>
      <c r="E453" s="708"/>
      <c r="F453" s="503">
        <v>152578</v>
      </c>
      <c r="G453" s="148">
        <f>0+táj.2!G453</f>
        <v>0</v>
      </c>
      <c r="H453" s="148">
        <f>0+táj.2!H453</f>
        <v>0</v>
      </c>
      <c r="I453" s="148">
        <f>0+táj.2!I453</f>
        <v>0</v>
      </c>
      <c r="J453" s="148">
        <f>0+táj.2!J453</f>
        <v>0</v>
      </c>
      <c r="K453" s="148">
        <f>0+táj.2!K453</f>
        <v>0</v>
      </c>
      <c r="L453" s="148">
        <f>0+táj.2!L453</f>
        <v>0</v>
      </c>
      <c r="M453" s="148">
        <f>0+táj.2!M453</f>
        <v>0</v>
      </c>
      <c r="N453" s="148">
        <f>0+táj.2!N453</f>
        <v>0</v>
      </c>
      <c r="O453" s="148">
        <f>0+táj.2!O453</f>
        <v>0</v>
      </c>
      <c r="P453" s="148">
        <f>0+táj.2!P453</f>
        <v>0</v>
      </c>
      <c r="Q453" s="148">
        <f t="shared" si="32"/>
        <v>0</v>
      </c>
    </row>
    <row r="454" spans="1:17" ht="18.75" customHeight="1" x14ac:dyDescent="0.2">
      <c r="A454" s="206"/>
      <c r="B454" s="206"/>
      <c r="C454" s="726" t="s">
        <v>758</v>
      </c>
      <c r="D454" s="705" t="s">
        <v>755</v>
      </c>
      <c r="E454" s="708"/>
      <c r="F454" s="503">
        <v>152566</v>
      </c>
      <c r="G454" s="148">
        <f>0+táj.2!G454</f>
        <v>0</v>
      </c>
      <c r="H454" s="148">
        <f>0+táj.2!H454</f>
        <v>0</v>
      </c>
      <c r="I454" s="148">
        <f>0+táj.2!I454</f>
        <v>0</v>
      </c>
      <c r="J454" s="148">
        <f>0+táj.2!J454</f>
        <v>0</v>
      </c>
      <c r="K454" s="148">
        <f>0+táj.2!K454</f>
        <v>0</v>
      </c>
      <c r="L454" s="148">
        <f>0+táj.2!L454</f>
        <v>0</v>
      </c>
      <c r="M454" s="148">
        <f>0+táj.2!M454</f>
        <v>0</v>
      </c>
      <c r="N454" s="148">
        <f>0+táj.2!N454</f>
        <v>0</v>
      </c>
      <c r="O454" s="148">
        <f>0+táj.2!O454</f>
        <v>0</v>
      </c>
      <c r="P454" s="148">
        <f>0+táj.2!P454</f>
        <v>0</v>
      </c>
      <c r="Q454" s="148">
        <f t="shared" si="32"/>
        <v>0</v>
      </c>
    </row>
    <row r="455" spans="1:17" ht="18" customHeight="1" x14ac:dyDescent="0.2">
      <c r="A455" s="206"/>
      <c r="B455" s="206"/>
      <c r="C455" s="726" t="s">
        <v>759</v>
      </c>
      <c r="D455" s="714" t="s">
        <v>1199</v>
      </c>
      <c r="E455" s="715"/>
      <c r="F455" s="503">
        <v>152579</v>
      </c>
      <c r="G455" s="148">
        <f>0+táj.2!G455</f>
        <v>0</v>
      </c>
      <c r="H455" s="148">
        <f>0+táj.2!H455</f>
        <v>0</v>
      </c>
      <c r="I455" s="148">
        <f>0+táj.2!I455</f>
        <v>0</v>
      </c>
      <c r="J455" s="148">
        <f>0+táj.2!J455</f>
        <v>0</v>
      </c>
      <c r="K455" s="148">
        <f>0+táj.2!K455</f>
        <v>0</v>
      </c>
      <c r="L455" s="148">
        <f>500+táj.2!L455</f>
        <v>500</v>
      </c>
      <c r="M455" s="148">
        <f>0+táj.2!M455</f>
        <v>0</v>
      </c>
      <c r="N455" s="148">
        <f>0+táj.2!N455</f>
        <v>0</v>
      </c>
      <c r="O455" s="148">
        <f>0+táj.2!O455</f>
        <v>0</v>
      </c>
      <c r="P455" s="148">
        <f>0+táj.2!P455</f>
        <v>0</v>
      </c>
      <c r="Q455" s="148">
        <f t="shared" si="32"/>
        <v>500</v>
      </c>
    </row>
    <row r="456" spans="1:17" ht="18" customHeight="1" x14ac:dyDescent="0.2">
      <c r="A456" s="206"/>
      <c r="B456" s="206"/>
      <c r="C456" s="726" t="s">
        <v>761</v>
      </c>
      <c r="D456" s="714" t="s">
        <v>1200</v>
      </c>
      <c r="E456" s="715"/>
      <c r="F456" s="503">
        <v>152580</v>
      </c>
      <c r="G456" s="148">
        <f>0+táj.2!G456</f>
        <v>0</v>
      </c>
      <c r="H456" s="148">
        <f>0+táj.2!H456</f>
        <v>0</v>
      </c>
      <c r="I456" s="148">
        <f>0+táj.2!I456</f>
        <v>0</v>
      </c>
      <c r="J456" s="148">
        <f>0+táj.2!J456</f>
        <v>0</v>
      </c>
      <c r="K456" s="148">
        <f>0+táj.2!K456</f>
        <v>0</v>
      </c>
      <c r="L456" s="148">
        <f>0+táj.2!L456</f>
        <v>0</v>
      </c>
      <c r="M456" s="148">
        <f>0+táj.2!M456</f>
        <v>0</v>
      </c>
      <c r="N456" s="148">
        <f>0+táj.2!N456</f>
        <v>0</v>
      </c>
      <c r="O456" s="148">
        <f>0+táj.2!O456</f>
        <v>0</v>
      </c>
      <c r="P456" s="148">
        <f>0+táj.2!P456</f>
        <v>0</v>
      </c>
      <c r="Q456" s="148">
        <f t="shared" si="32"/>
        <v>0</v>
      </c>
    </row>
    <row r="457" spans="1:17" ht="18.75" customHeight="1" x14ac:dyDescent="0.2">
      <c r="A457" s="206"/>
      <c r="B457" s="206"/>
      <c r="C457" s="726" t="s">
        <v>762</v>
      </c>
      <c r="D457" s="728" t="s">
        <v>760</v>
      </c>
      <c r="E457" s="503"/>
      <c r="F457" s="503">
        <v>152570</v>
      </c>
      <c r="G457" s="148">
        <f>0+táj.2!G457</f>
        <v>0</v>
      </c>
      <c r="H457" s="148">
        <f>0+táj.2!H457</f>
        <v>0</v>
      </c>
      <c r="I457" s="148">
        <f>0+táj.2!I457</f>
        <v>0</v>
      </c>
      <c r="J457" s="148">
        <f>0+táj.2!J457</f>
        <v>0</v>
      </c>
      <c r="K457" s="148">
        <f>0+táj.2!K457</f>
        <v>0</v>
      </c>
      <c r="L457" s="148">
        <f>750+táj.2!L457</f>
        <v>750</v>
      </c>
      <c r="M457" s="148">
        <f>0+táj.2!M457</f>
        <v>0</v>
      </c>
      <c r="N457" s="148">
        <f>0+táj.2!N457</f>
        <v>0</v>
      </c>
      <c r="O457" s="148">
        <f>0+táj.2!O457</f>
        <v>0</v>
      </c>
      <c r="P457" s="148">
        <f>0+táj.2!P457</f>
        <v>0</v>
      </c>
      <c r="Q457" s="148">
        <f t="shared" si="32"/>
        <v>750</v>
      </c>
    </row>
    <row r="458" spans="1:17" ht="18.75" customHeight="1" x14ac:dyDescent="0.2">
      <c r="A458" s="206"/>
      <c r="B458" s="206"/>
      <c r="C458" s="726" t="s">
        <v>764</v>
      </c>
      <c r="D458" s="705" t="s">
        <v>763</v>
      </c>
      <c r="E458" s="503"/>
      <c r="F458" s="503">
        <v>154544</v>
      </c>
      <c r="G458" s="148">
        <f>0+táj.2!G458</f>
        <v>0</v>
      </c>
      <c r="H458" s="148">
        <f>0+táj.2!H458</f>
        <v>0</v>
      </c>
      <c r="I458" s="148">
        <f>0+táj.2!I458</f>
        <v>0</v>
      </c>
      <c r="J458" s="148">
        <f>0+táj.2!J458</f>
        <v>0</v>
      </c>
      <c r="K458" s="148">
        <f>0+táj.2!K458</f>
        <v>0</v>
      </c>
      <c r="L458" s="148">
        <f>0+táj.2!L458</f>
        <v>0</v>
      </c>
      <c r="M458" s="148">
        <f>0+táj.2!M458</f>
        <v>0</v>
      </c>
      <c r="N458" s="148">
        <f>0+táj.2!N458</f>
        <v>0</v>
      </c>
      <c r="O458" s="148">
        <f>0+táj.2!O458</f>
        <v>0</v>
      </c>
      <c r="P458" s="148">
        <f>0+táj.2!P458</f>
        <v>0</v>
      </c>
      <c r="Q458" s="148">
        <f t="shared" si="32"/>
        <v>0</v>
      </c>
    </row>
    <row r="459" spans="1:17" ht="23.25" customHeight="1" x14ac:dyDescent="0.2">
      <c r="A459" s="206"/>
      <c r="B459" s="206"/>
      <c r="C459" s="726" t="s">
        <v>766</v>
      </c>
      <c r="D459" s="714" t="s">
        <v>1201</v>
      </c>
      <c r="E459" s="717"/>
      <c r="F459" s="531">
        <v>154545</v>
      </c>
      <c r="G459" s="148">
        <f>0+táj.2!G459</f>
        <v>0</v>
      </c>
      <c r="H459" s="148">
        <f>0+táj.2!H459</f>
        <v>0</v>
      </c>
      <c r="I459" s="148">
        <f>0+táj.2!I459</f>
        <v>0</v>
      </c>
      <c r="J459" s="148">
        <f>0+táj.2!J459</f>
        <v>0</v>
      </c>
      <c r="K459" s="148">
        <f>0+táj.2!K459</f>
        <v>0</v>
      </c>
      <c r="L459" s="148">
        <f>0+táj.2!L459</f>
        <v>0</v>
      </c>
      <c r="M459" s="148">
        <f>500+táj.2!M459</f>
        <v>500</v>
      </c>
      <c r="N459" s="148">
        <f>0+táj.2!N459</f>
        <v>0</v>
      </c>
      <c r="O459" s="148">
        <f>0+táj.2!O459</f>
        <v>0</v>
      </c>
      <c r="P459" s="148">
        <f>0+táj.2!P459</f>
        <v>0</v>
      </c>
      <c r="Q459" s="148">
        <f t="shared" si="32"/>
        <v>500</v>
      </c>
    </row>
    <row r="460" spans="1:17" ht="23.25" customHeight="1" x14ac:dyDescent="0.2">
      <c r="A460" s="836"/>
      <c r="B460" s="836"/>
      <c r="C460" s="845" t="s">
        <v>1312</v>
      </c>
      <c r="D460" s="846" t="s">
        <v>1313</v>
      </c>
      <c r="E460" s="841"/>
      <c r="F460" s="841">
        <v>152904</v>
      </c>
      <c r="G460" s="148">
        <f>0+táj.2!G460</f>
        <v>0</v>
      </c>
      <c r="H460" s="148">
        <f>0+táj.2!H460</f>
        <v>0</v>
      </c>
      <c r="I460" s="148">
        <f>0+táj.2!I460</f>
        <v>0</v>
      </c>
      <c r="J460" s="148">
        <f>0+táj.2!J460</f>
        <v>0</v>
      </c>
      <c r="K460" s="148">
        <f>0+táj.2!K460</f>
        <v>0</v>
      </c>
      <c r="L460" s="148">
        <f>3581+táj.2!L460</f>
        <v>3581</v>
      </c>
      <c r="M460" s="148">
        <f>0+táj.2!M460</f>
        <v>0</v>
      </c>
      <c r="N460" s="148">
        <f>0+táj.2!N460</f>
        <v>0</v>
      </c>
      <c r="O460" s="148">
        <f>0+táj.2!O460</f>
        <v>0</v>
      </c>
      <c r="P460" s="148">
        <f>0+táj.2!P460</f>
        <v>0</v>
      </c>
      <c r="Q460" s="148">
        <f t="shared" si="32"/>
        <v>3581</v>
      </c>
    </row>
    <row r="461" spans="1:17" ht="15" customHeight="1" x14ac:dyDescent="0.2">
      <c r="A461" s="863"/>
      <c r="B461" s="863"/>
      <c r="C461" s="879" t="s">
        <v>1387</v>
      </c>
      <c r="D461" s="924" t="s">
        <v>1386</v>
      </c>
      <c r="E461" s="865"/>
      <c r="F461" s="865">
        <v>152502</v>
      </c>
      <c r="G461" s="148">
        <f>0+táj.2!G461</f>
        <v>0</v>
      </c>
      <c r="H461" s="148">
        <f>0+táj.2!H461</f>
        <v>0</v>
      </c>
      <c r="I461" s="148">
        <f>0+táj.2!I461</f>
        <v>0</v>
      </c>
      <c r="J461" s="148">
        <f>0+táj.2!J461</f>
        <v>0</v>
      </c>
      <c r="K461" s="148">
        <f>0+táj.2!K461</f>
        <v>0</v>
      </c>
      <c r="L461" s="148">
        <f>0+táj.2!L461</f>
        <v>964</v>
      </c>
      <c r="M461" s="148">
        <f>0+táj.2!M461</f>
        <v>0</v>
      </c>
      <c r="N461" s="148">
        <f>0+táj.2!N461</f>
        <v>0</v>
      </c>
      <c r="O461" s="148">
        <f>0+táj.2!O461</f>
        <v>0</v>
      </c>
      <c r="P461" s="148">
        <f>0+táj.2!P461</f>
        <v>0</v>
      </c>
      <c r="Q461" s="148">
        <f t="shared" si="32"/>
        <v>964</v>
      </c>
    </row>
    <row r="462" spans="1:17" ht="24.75" customHeight="1" x14ac:dyDescent="0.2">
      <c r="A462" s="206"/>
      <c r="B462" s="206"/>
      <c r="C462" s="206"/>
      <c r="D462" s="707" t="s">
        <v>1145</v>
      </c>
      <c r="E462" s="708"/>
      <c r="F462" s="708"/>
      <c r="G462" s="148"/>
      <c r="H462" s="148"/>
      <c r="I462" s="148"/>
      <c r="J462" s="148"/>
      <c r="K462" s="148"/>
      <c r="L462" s="148"/>
      <c r="M462" s="148"/>
      <c r="N462" s="148"/>
      <c r="O462" s="148"/>
      <c r="P462" s="148"/>
      <c r="Q462" s="148"/>
    </row>
    <row r="463" spans="1:17" ht="17.100000000000001" customHeight="1" x14ac:dyDescent="0.2">
      <c r="A463" s="206"/>
      <c r="B463" s="206"/>
      <c r="C463" s="317" t="s">
        <v>767</v>
      </c>
      <c r="D463" s="710" t="s">
        <v>769</v>
      </c>
      <c r="E463" s="730"/>
      <c r="F463" s="503">
        <v>152562</v>
      </c>
      <c r="G463" s="148">
        <f>0+táj.2!G463</f>
        <v>0</v>
      </c>
      <c r="H463" s="148">
        <f>0+táj.2!H463</f>
        <v>0</v>
      </c>
      <c r="I463" s="148">
        <f>0+táj.2!I463</f>
        <v>0</v>
      </c>
      <c r="J463" s="148">
        <f>0+táj.2!J463</f>
        <v>0</v>
      </c>
      <c r="K463" s="148">
        <f>0+táj.2!K463</f>
        <v>0</v>
      </c>
      <c r="L463" s="148">
        <f>17723+táj.2!L463</f>
        <v>17723</v>
      </c>
      <c r="M463" s="148">
        <f>0+táj.2!M463</f>
        <v>0</v>
      </c>
      <c r="N463" s="148">
        <f>0+táj.2!N463</f>
        <v>0</v>
      </c>
      <c r="O463" s="148">
        <f>0+táj.2!O463</f>
        <v>0</v>
      </c>
      <c r="P463" s="148">
        <f>0+táj.2!P463</f>
        <v>0</v>
      </c>
      <c r="Q463" s="148">
        <f t="shared" si="32"/>
        <v>17723</v>
      </c>
    </row>
    <row r="464" spans="1:17" ht="17.100000000000001" customHeight="1" x14ac:dyDescent="0.2">
      <c r="A464" s="206"/>
      <c r="B464" s="206"/>
      <c r="C464" s="317" t="s">
        <v>768</v>
      </c>
      <c r="D464" s="704" t="s">
        <v>1202</v>
      </c>
      <c r="E464" s="503"/>
      <c r="F464" s="503">
        <v>154905</v>
      </c>
      <c r="G464" s="148">
        <f>0+táj.2!G464</f>
        <v>0</v>
      </c>
      <c r="H464" s="148">
        <f>0+táj.2!H464</f>
        <v>0</v>
      </c>
      <c r="I464" s="148">
        <f>0+táj.2!I464</f>
        <v>0</v>
      </c>
      <c r="J464" s="148">
        <f>0+táj.2!J464</f>
        <v>0</v>
      </c>
      <c r="K464" s="148">
        <f>0+táj.2!K464</f>
        <v>0</v>
      </c>
      <c r="L464" s="148">
        <f>2500+táj.2!L464</f>
        <v>2500</v>
      </c>
      <c r="M464" s="148">
        <f>0+táj.2!M464</f>
        <v>0</v>
      </c>
      <c r="N464" s="148">
        <f>0+táj.2!N464</f>
        <v>0</v>
      </c>
      <c r="O464" s="148">
        <f>0+táj.2!O464</f>
        <v>0</v>
      </c>
      <c r="P464" s="148">
        <f>0+táj.2!P464</f>
        <v>0</v>
      </c>
      <c r="Q464" s="148">
        <f t="shared" si="32"/>
        <v>2500</v>
      </c>
    </row>
    <row r="465" spans="1:17" ht="13.5" customHeight="1" x14ac:dyDescent="0.2">
      <c r="A465" s="206"/>
      <c r="B465" s="206"/>
      <c r="C465" s="318" t="s">
        <v>91</v>
      </c>
      <c r="D465" s="307" t="s">
        <v>770</v>
      </c>
      <c r="E465" s="209"/>
      <c r="F465" s="210"/>
      <c r="G465" s="148"/>
      <c r="H465" s="148"/>
      <c r="I465" s="148"/>
      <c r="J465" s="148"/>
      <c r="K465" s="148"/>
      <c r="L465" s="148"/>
      <c r="M465" s="148"/>
      <c r="N465" s="148"/>
      <c r="O465" s="148"/>
      <c r="P465" s="148"/>
      <c r="Q465" s="148"/>
    </row>
    <row r="466" spans="1:17" ht="15.75" customHeight="1" x14ac:dyDescent="0.2">
      <c r="A466" s="206"/>
      <c r="B466" s="206"/>
      <c r="C466" s="314" t="s">
        <v>92</v>
      </c>
      <c r="D466" s="517" t="s">
        <v>771</v>
      </c>
      <c r="E466" s="209"/>
      <c r="F466" s="210"/>
      <c r="G466" s="148"/>
      <c r="H466" s="148"/>
      <c r="I466" s="148"/>
      <c r="J466" s="148"/>
      <c r="K466" s="148"/>
      <c r="L466" s="148"/>
      <c r="M466" s="148"/>
      <c r="N466" s="148"/>
      <c r="O466" s="148"/>
      <c r="P466" s="148"/>
      <c r="Q466" s="148"/>
    </row>
    <row r="467" spans="1:17" ht="17.100000000000001" customHeight="1" x14ac:dyDescent="0.2">
      <c r="A467" s="206"/>
      <c r="B467" s="206"/>
      <c r="C467" s="309" t="s">
        <v>1205</v>
      </c>
      <c r="D467" s="892" t="s">
        <v>772</v>
      </c>
      <c r="E467" s="209"/>
      <c r="F467" s="148">
        <v>152801</v>
      </c>
      <c r="G467" s="148">
        <f>0+táj.2!G467</f>
        <v>0</v>
      </c>
      <c r="H467" s="148">
        <f>0+táj.2!H467</f>
        <v>0</v>
      </c>
      <c r="I467" s="148">
        <f>782+táj.2!I467</f>
        <v>852</v>
      </c>
      <c r="J467" s="148">
        <f>0+táj.2!J467</f>
        <v>0</v>
      </c>
      <c r="K467" s="148">
        <f>0+táj.2!K467</f>
        <v>0</v>
      </c>
      <c r="L467" s="148">
        <f>8090+táj.2!L467</f>
        <v>8020</v>
      </c>
      <c r="M467" s="148">
        <f>1816+táj.2!M467</f>
        <v>1816</v>
      </c>
      <c r="N467" s="148">
        <f>0+táj.2!N467</f>
        <v>0</v>
      </c>
      <c r="O467" s="148">
        <f>0+táj.2!O467</f>
        <v>0</v>
      </c>
      <c r="P467" s="148">
        <f>0+táj.2!P467</f>
        <v>0</v>
      </c>
      <c r="Q467" s="148">
        <f>SUM(G467:P467)</f>
        <v>10688</v>
      </c>
    </row>
    <row r="468" spans="1:17" ht="13.5" customHeight="1" x14ac:dyDescent="0.2">
      <c r="A468" s="206"/>
      <c r="B468" s="206"/>
      <c r="C468" s="320" t="s">
        <v>93</v>
      </c>
      <c r="D468" s="518" t="s">
        <v>773</v>
      </c>
      <c r="E468" s="313"/>
      <c r="F468" s="148"/>
      <c r="G468" s="148"/>
      <c r="H468" s="148"/>
      <c r="I468" s="148"/>
      <c r="J468" s="148"/>
      <c r="K468" s="148"/>
      <c r="L468" s="148"/>
      <c r="M468" s="148"/>
      <c r="N468" s="148"/>
      <c r="O468" s="148"/>
      <c r="P468" s="148"/>
      <c r="Q468" s="148"/>
    </row>
    <row r="469" spans="1:17" ht="17.100000000000001" customHeight="1" x14ac:dyDescent="0.2">
      <c r="A469" s="206"/>
      <c r="B469" s="206"/>
      <c r="C469" s="731" t="s">
        <v>774</v>
      </c>
      <c r="D469" s="685" t="s">
        <v>776</v>
      </c>
      <c r="E469" s="503"/>
      <c r="F469" s="503">
        <v>152947</v>
      </c>
      <c r="G469" s="148">
        <f>0+táj.2!G469</f>
        <v>0</v>
      </c>
      <c r="H469" s="148">
        <f>0+táj.2!H469</f>
        <v>0</v>
      </c>
      <c r="I469" s="148">
        <f>0+táj.2!I469</f>
        <v>0</v>
      </c>
      <c r="J469" s="148">
        <f>0+táj.2!J469</f>
        <v>0</v>
      </c>
      <c r="K469" s="148">
        <f>0+táj.2!K469</f>
        <v>0</v>
      </c>
      <c r="L469" s="148">
        <f>2500+táj.2!L469</f>
        <v>2500</v>
      </c>
      <c r="M469" s="148">
        <f>0+táj.2!M469</f>
        <v>0</v>
      </c>
      <c r="N469" s="148">
        <f>0+táj.2!N469</f>
        <v>0</v>
      </c>
      <c r="O469" s="148">
        <f>0+táj.2!O469</f>
        <v>0</v>
      </c>
      <c r="P469" s="148">
        <f>0+táj.2!P469</f>
        <v>0</v>
      </c>
      <c r="Q469" s="148">
        <f t="shared" ref="Q469:Q478" si="33">SUM(G469:P469)</f>
        <v>2500</v>
      </c>
    </row>
    <row r="470" spans="1:17" ht="17.100000000000001" customHeight="1" x14ac:dyDescent="0.2">
      <c r="A470" s="206"/>
      <c r="B470" s="206"/>
      <c r="C470" s="731" t="s">
        <v>775</v>
      </c>
      <c r="D470" s="705" t="s">
        <v>1203</v>
      </c>
      <c r="E470" s="503"/>
      <c r="F470" s="503">
        <v>154906</v>
      </c>
      <c r="G470" s="148">
        <f>0+táj.2!G470</f>
        <v>0</v>
      </c>
      <c r="H470" s="148">
        <f>0+táj.2!H470</f>
        <v>0</v>
      </c>
      <c r="I470" s="148">
        <f>0+táj.2!I470</f>
        <v>0</v>
      </c>
      <c r="J470" s="148">
        <f>0+táj.2!J470</f>
        <v>0</v>
      </c>
      <c r="K470" s="148">
        <f>0+táj.2!K470</f>
        <v>0</v>
      </c>
      <c r="L470" s="148">
        <f>0+táj.2!L470</f>
        <v>0</v>
      </c>
      <c r="M470" s="148">
        <f>500+táj.2!M470</f>
        <v>500</v>
      </c>
      <c r="N470" s="148">
        <f>0+táj.2!N470</f>
        <v>0</v>
      </c>
      <c r="O470" s="148">
        <f>0+táj.2!O470</f>
        <v>0</v>
      </c>
      <c r="P470" s="148">
        <f>0+táj.2!P470</f>
        <v>0</v>
      </c>
      <c r="Q470" s="148">
        <f t="shared" si="33"/>
        <v>500</v>
      </c>
    </row>
    <row r="471" spans="1:17" ht="24" customHeight="1" x14ac:dyDescent="0.2">
      <c r="A471" s="836"/>
      <c r="B471" s="836"/>
      <c r="C471" s="847" t="s">
        <v>1314</v>
      </c>
      <c r="D471" s="840" t="s">
        <v>1341</v>
      </c>
      <c r="E471" s="841"/>
      <c r="F471" s="841">
        <v>154920</v>
      </c>
      <c r="G471" s="148">
        <f>0+táj.2!G471</f>
        <v>0</v>
      </c>
      <c r="H471" s="148">
        <f>0+táj.2!H471</f>
        <v>0</v>
      </c>
      <c r="I471" s="148">
        <f>0+táj.2!I471</f>
        <v>0</v>
      </c>
      <c r="J471" s="148">
        <f>0+táj.2!J471</f>
        <v>0</v>
      </c>
      <c r="K471" s="148">
        <f>0+táj.2!K471</f>
        <v>0</v>
      </c>
      <c r="L471" s="148">
        <f>0+táj.2!L471</f>
        <v>0</v>
      </c>
      <c r="M471" s="148">
        <f>1002+táj.2!M471</f>
        <v>1002</v>
      </c>
      <c r="N471" s="148">
        <f>0+táj.2!N471</f>
        <v>0</v>
      </c>
      <c r="O471" s="148">
        <f>0+táj.2!O471</f>
        <v>0</v>
      </c>
      <c r="P471" s="148">
        <f>0+táj.2!P471</f>
        <v>0</v>
      </c>
      <c r="Q471" s="148">
        <f t="shared" si="33"/>
        <v>1002</v>
      </c>
    </row>
    <row r="472" spans="1:17" ht="17.100000000000001" customHeight="1" x14ac:dyDescent="0.2">
      <c r="A472" s="836"/>
      <c r="B472" s="836"/>
      <c r="C472" s="847" t="s">
        <v>1315</v>
      </c>
      <c r="D472" s="840" t="s">
        <v>1316</v>
      </c>
      <c r="E472" s="841"/>
      <c r="F472" s="841">
        <v>152950</v>
      </c>
      <c r="G472" s="148">
        <f>0+táj.2!G472</f>
        <v>0</v>
      </c>
      <c r="H472" s="148">
        <f>0+táj.2!H472</f>
        <v>0</v>
      </c>
      <c r="I472" s="148">
        <f>0+táj.2!I472</f>
        <v>0</v>
      </c>
      <c r="J472" s="148">
        <f>0+táj.2!J472</f>
        <v>0</v>
      </c>
      <c r="K472" s="148">
        <f>0+táj.2!K472</f>
        <v>0</v>
      </c>
      <c r="L472" s="148">
        <f>60000+táj.2!L472</f>
        <v>33448</v>
      </c>
      <c r="M472" s="148">
        <f>0+táj.2!M472</f>
        <v>0</v>
      </c>
      <c r="N472" s="148">
        <f>0+táj.2!N472</f>
        <v>0</v>
      </c>
      <c r="O472" s="148">
        <f>0+táj.2!O472</f>
        <v>0</v>
      </c>
      <c r="P472" s="148">
        <f>0+táj.2!P472</f>
        <v>0</v>
      </c>
      <c r="Q472" s="148">
        <f t="shared" si="33"/>
        <v>33448</v>
      </c>
    </row>
    <row r="473" spans="1:17" ht="17.100000000000001" customHeight="1" x14ac:dyDescent="0.2">
      <c r="A473" s="863"/>
      <c r="B473" s="863"/>
      <c r="C473" s="317" t="s">
        <v>1330</v>
      </c>
      <c r="D473" s="868" t="s">
        <v>1331</v>
      </c>
      <c r="E473" s="865"/>
      <c r="F473" s="864">
        <v>152951</v>
      </c>
      <c r="G473" s="148">
        <f>0+táj.2!G473</f>
        <v>0</v>
      </c>
      <c r="H473" s="148">
        <f>0+táj.2!H473</f>
        <v>0</v>
      </c>
      <c r="I473" s="148">
        <f>0+táj.2!I473</f>
        <v>0</v>
      </c>
      <c r="J473" s="148">
        <f>0+táj.2!J473</f>
        <v>0</v>
      </c>
      <c r="K473" s="148">
        <f>0+táj.2!K473</f>
        <v>0</v>
      </c>
      <c r="L473" s="148">
        <f>5788+táj.2!L473</f>
        <v>1788</v>
      </c>
      <c r="M473" s="148">
        <f>0+táj.2!M473</f>
        <v>0</v>
      </c>
      <c r="N473" s="148">
        <f>0+táj.2!N473</f>
        <v>0</v>
      </c>
      <c r="O473" s="148">
        <f>0+táj.2!O473</f>
        <v>0</v>
      </c>
      <c r="P473" s="148">
        <f>0+táj.2!P473</f>
        <v>0</v>
      </c>
      <c r="Q473" s="148">
        <f t="shared" si="33"/>
        <v>1788</v>
      </c>
    </row>
    <row r="474" spans="1:17" ht="17.100000000000001" customHeight="1" x14ac:dyDescent="0.2">
      <c r="A474" s="863"/>
      <c r="B474" s="863"/>
      <c r="C474" s="927" t="s">
        <v>1389</v>
      </c>
      <c r="D474" s="868" t="s">
        <v>1388</v>
      </c>
      <c r="E474" s="865"/>
      <c r="F474" s="865">
        <v>154907</v>
      </c>
      <c r="G474" s="148">
        <f>0+táj.2!G474</f>
        <v>0</v>
      </c>
      <c r="H474" s="148">
        <f>0+táj.2!H474</f>
        <v>0</v>
      </c>
      <c r="I474" s="148">
        <f>0+táj.2!I474</f>
        <v>0</v>
      </c>
      <c r="J474" s="148">
        <f>0+táj.2!J474</f>
        <v>0</v>
      </c>
      <c r="K474" s="148">
        <f>0+táj.2!K474</f>
        <v>0</v>
      </c>
      <c r="L474" s="148">
        <f>0+táj.2!L474</f>
        <v>0</v>
      </c>
      <c r="M474" s="148">
        <f>0+táj.2!M474</f>
        <v>0</v>
      </c>
      <c r="N474" s="148">
        <f>0+táj.2!N474</f>
        <v>5000</v>
      </c>
      <c r="O474" s="148">
        <f>0+táj.2!O474</f>
        <v>0</v>
      </c>
      <c r="P474" s="148">
        <f>0+táj.2!P474</f>
        <v>0</v>
      </c>
      <c r="Q474" s="148">
        <f t="shared" si="33"/>
        <v>5000</v>
      </c>
    </row>
    <row r="475" spans="1:17" ht="17.100000000000001" customHeight="1" x14ac:dyDescent="0.2">
      <c r="A475" s="863"/>
      <c r="B475" s="863"/>
      <c r="C475" s="928" t="s">
        <v>1321</v>
      </c>
      <c r="D475" s="929" t="s">
        <v>1390</v>
      </c>
      <c r="E475" s="865"/>
      <c r="F475" s="865">
        <v>152812</v>
      </c>
      <c r="G475" s="148">
        <f>0+táj.2!G475</f>
        <v>0</v>
      </c>
      <c r="H475" s="148">
        <f>0+táj.2!H475</f>
        <v>0</v>
      </c>
      <c r="I475" s="148">
        <f>0+táj.2!I475</f>
        <v>0</v>
      </c>
      <c r="J475" s="148">
        <f>0+táj.2!J475</f>
        <v>0</v>
      </c>
      <c r="K475" s="148">
        <f>0+táj.2!K475</f>
        <v>0</v>
      </c>
      <c r="L475" s="148">
        <f>0+táj.2!L475</f>
        <v>619</v>
      </c>
      <c r="M475" s="148">
        <f>0+táj.2!M475</f>
        <v>0</v>
      </c>
      <c r="N475" s="148">
        <f>0+táj.2!N475</f>
        <v>0</v>
      </c>
      <c r="O475" s="148">
        <f>0+táj.2!O475</f>
        <v>0</v>
      </c>
      <c r="P475" s="148">
        <f>0+táj.2!P475</f>
        <v>0</v>
      </c>
      <c r="Q475" s="148">
        <f t="shared" si="33"/>
        <v>619</v>
      </c>
    </row>
    <row r="476" spans="1:17" ht="17.100000000000001" customHeight="1" x14ac:dyDescent="0.2">
      <c r="A476" s="206"/>
      <c r="B476" s="206"/>
      <c r="C476" s="732"/>
      <c r="D476" s="707" t="s">
        <v>1145</v>
      </c>
      <c r="E476" s="503"/>
      <c r="F476" s="503"/>
      <c r="G476" s="148"/>
      <c r="H476" s="148"/>
      <c r="I476" s="148"/>
      <c r="J476" s="148"/>
      <c r="K476" s="148"/>
      <c r="L476" s="148"/>
      <c r="M476" s="148"/>
      <c r="N476" s="148"/>
      <c r="O476" s="148"/>
      <c r="P476" s="148"/>
      <c r="Q476" s="148"/>
    </row>
    <row r="477" spans="1:17" ht="23.25" customHeight="1" x14ac:dyDescent="0.2">
      <c r="A477" s="206"/>
      <c r="B477" s="206"/>
      <c r="C477" s="726" t="s">
        <v>777</v>
      </c>
      <c r="D477" s="733" t="s">
        <v>1204</v>
      </c>
      <c r="E477" s="503"/>
      <c r="F477" s="503">
        <v>152937</v>
      </c>
      <c r="G477" s="148">
        <f>0+táj.2!G477</f>
        <v>0</v>
      </c>
      <c r="H477" s="148">
        <f>0+táj.2!H477</f>
        <v>0</v>
      </c>
      <c r="I477" s="148">
        <f>50+táj.2!I477</f>
        <v>635</v>
      </c>
      <c r="J477" s="148">
        <f>0+táj.2!J477</f>
        <v>0</v>
      </c>
      <c r="K477" s="148">
        <f>0+táj.2!K477</f>
        <v>0</v>
      </c>
      <c r="L477" s="148">
        <f>27866+táj.2!L477</f>
        <v>27281</v>
      </c>
      <c r="M477" s="148">
        <f>0+táj.2!M477</f>
        <v>0</v>
      </c>
      <c r="N477" s="148">
        <f>0+táj.2!N477</f>
        <v>0</v>
      </c>
      <c r="O477" s="148">
        <f>0+táj.2!O477</f>
        <v>0</v>
      </c>
      <c r="P477" s="148">
        <f>0+táj.2!P477</f>
        <v>0</v>
      </c>
      <c r="Q477" s="148">
        <f t="shared" si="33"/>
        <v>27916</v>
      </c>
    </row>
    <row r="478" spans="1:17" ht="17.100000000000001" customHeight="1" x14ac:dyDescent="0.2">
      <c r="A478" s="206"/>
      <c r="B478" s="206"/>
      <c r="C478" s="726" t="s">
        <v>778</v>
      </c>
      <c r="D478" s="710" t="s">
        <v>779</v>
      </c>
      <c r="E478" s="503"/>
      <c r="F478" s="503">
        <v>152942</v>
      </c>
      <c r="G478" s="148">
        <f>0+táj.2!G478</f>
        <v>0</v>
      </c>
      <c r="H478" s="148">
        <f>0+táj.2!H478</f>
        <v>0</v>
      </c>
      <c r="I478" s="148">
        <f>248+táj.2!I478</f>
        <v>248</v>
      </c>
      <c r="J478" s="148">
        <f>0+táj.2!J478</f>
        <v>0</v>
      </c>
      <c r="K478" s="148">
        <f>0+táj.2!K478</f>
        <v>0</v>
      </c>
      <c r="L478" s="148">
        <f>6258+táj.2!L478</f>
        <v>6258</v>
      </c>
      <c r="M478" s="148">
        <f>0+táj.2!M478</f>
        <v>0</v>
      </c>
      <c r="N478" s="148">
        <f>0+táj.2!N478</f>
        <v>0</v>
      </c>
      <c r="O478" s="148">
        <f>0+táj.2!O478</f>
        <v>0</v>
      </c>
      <c r="P478" s="148">
        <f>0+táj.2!P478</f>
        <v>0</v>
      </c>
      <c r="Q478" s="148">
        <f t="shared" si="33"/>
        <v>6506</v>
      </c>
    </row>
    <row r="479" spans="1:17" ht="20.25" customHeight="1" x14ac:dyDescent="0.2">
      <c r="A479" s="200"/>
      <c r="B479" s="200"/>
      <c r="C479" s="201"/>
      <c r="D479" s="159" t="s">
        <v>784</v>
      </c>
      <c r="E479" s="204"/>
      <c r="F479" s="204"/>
      <c r="G479" s="204">
        <f t="shared" ref="G479:Q479" si="34">SUM(G344:G478)</f>
        <v>8253</v>
      </c>
      <c r="H479" s="204">
        <f t="shared" si="34"/>
        <v>1208</v>
      </c>
      <c r="I479" s="204">
        <f t="shared" si="34"/>
        <v>1837325</v>
      </c>
      <c r="J479" s="204">
        <f t="shared" si="34"/>
        <v>0</v>
      </c>
      <c r="K479" s="204">
        <f t="shared" si="34"/>
        <v>665199</v>
      </c>
      <c r="L479" s="204">
        <f t="shared" si="34"/>
        <v>258533</v>
      </c>
      <c r="M479" s="204">
        <f t="shared" si="34"/>
        <v>214005</v>
      </c>
      <c r="N479" s="204">
        <f t="shared" si="34"/>
        <v>5000</v>
      </c>
      <c r="O479" s="204">
        <f t="shared" si="34"/>
        <v>0</v>
      </c>
      <c r="P479" s="204">
        <f t="shared" si="34"/>
        <v>0</v>
      </c>
      <c r="Q479" s="204">
        <f t="shared" si="34"/>
        <v>2989523</v>
      </c>
    </row>
    <row r="480" spans="1:17" ht="15" customHeight="1" x14ac:dyDescent="0.2">
      <c r="A480" s="174">
        <v>1</v>
      </c>
      <c r="B480" s="174">
        <v>16</v>
      </c>
      <c r="C480" s="194"/>
      <c r="D480" s="276" t="s">
        <v>785</v>
      </c>
      <c r="E480" s="207"/>
      <c r="F480" s="148"/>
      <c r="G480" s="148"/>
      <c r="H480" s="179"/>
      <c r="I480" s="179"/>
      <c r="J480" s="179"/>
      <c r="K480" s="179"/>
      <c r="L480" s="179"/>
      <c r="M480" s="148"/>
      <c r="N480" s="148"/>
      <c r="O480" s="148"/>
      <c r="P480" s="148"/>
      <c r="Q480" s="148"/>
    </row>
    <row r="481" spans="1:17" ht="15" customHeight="1" x14ac:dyDescent="0.2">
      <c r="A481" s="559"/>
      <c r="B481" s="559"/>
      <c r="C481" s="560"/>
      <c r="D481" s="195" t="s">
        <v>238</v>
      </c>
      <c r="E481" s="207"/>
      <c r="F481" s="148"/>
      <c r="G481" s="148"/>
      <c r="H481" s="179"/>
      <c r="I481" s="179"/>
      <c r="J481" s="179"/>
      <c r="K481" s="179"/>
      <c r="L481" s="179"/>
      <c r="M481" s="148"/>
      <c r="N481" s="148"/>
      <c r="O481" s="148"/>
      <c r="P481" s="148"/>
      <c r="Q481" s="148"/>
    </row>
    <row r="482" spans="1:17" ht="15" customHeight="1" x14ac:dyDescent="0.2">
      <c r="A482" s="174"/>
      <c r="B482" s="174"/>
      <c r="C482" s="194"/>
      <c r="D482" s="190" t="s">
        <v>786</v>
      </c>
      <c r="E482" s="148">
        <v>2</v>
      </c>
      <c r="F482" s="148">
        <v>161910</v>
      </c>
      <c r="G482" s="148">
        <f>0+táj.2!G482</f>
        <v>0</v>
      </c>
      <c r="H482" s="148">
        <f>0+táj.2!H482</f>
        <v>0</v>
      </c>
      <c r="I482" s="148">
        <f>3039+táj.2!I482</f>
        <v>2689</v>
      </c>
      <c r="J482" s="148">
        <f>0+táj.2!J482</f>
        <v>0</v>
      </c>
      <c r="K482" s="148">
        <f>0+táj.2!K482</f>
        <v>0</v>
      </c>
      <c r="L482" s="148">
        <f>38+táj.2!L482</f>
        <v>38</v>
      </c>
      <c r="M482" s="148">
        <f>0+táj.2!M482</f>
        <v>0</v>
      </c>
      <c r="N482" s="148">
        <f>0+táj.2!N482</f>
        <v>0</v>
      </c>
      <c r="O482" s="148">
        <f>0+táj.2!O482</f>
        <v>0</v>
      </c>
      <c r="P482" s="148">
        <f>0+táj.2!P482</f>
        <v>0</v>
      </c>
      <c r="Q482" s="148">
        <f t="shared" ref="Q482:Q486" si="35">SUM(G482:P482)</f>
        <v>2727</v>
      </c>
    </row>
    <row r="483" spans="1:17" ht="15" customHeight="1" x14ac:dyDescent="0.2">
      <c r="A483" s="174"/>
      <c r="B483" s="174"/>
      <c r="C483" s="194"/>
      <c r="D483" s="190" t="s">
        <v>787</v>
      </c>
      <c r="E483" s="148">
        <v>1</v>
      </c>
      <c r="F483" s="148">
        <v>161908</v>
      </c>
      <c r="G483" s="148">
        <f>0+táj.2!G483</f>
        <v>0</v>
      </c>
      <c r="H483" s="148">
        <f>0+táj.2!H483</f>
        <v>0</v>
      </c>
      <c r="I483" s="148">
        <f>6971+táj.2!I483</f>
        <v>6476</v>
      </c>
      <c r="J483" s="148">
        <f>0+táj.2!J483</f>
        <v>0</v>
      </c>
      <c r="K483" s="148">
        <f>0+táj.2!K483</f>
        <v>0</v>
      </c>
      <c r="L483" s="148">
        <f>96+táj.2!L483</f>
        <v>591</v>
      </c>
      <c r="M483" s="148">
        <f>0+táj.2!M483</f>
        <v>0</v>
      </c>
      <c r="N483" s="148">
        <f>425+táj.2!N483</f>
        <v>425</v>
      </c>
      <c r="O483" s="148">
        <f>0+táj.2!O483</f>
        <v>0</v>
      </c>
      <c r="P483" s="148">
        <f>0+táj.2!P483</f>
        <v>0</v>
      </c>
      <c r="Q483" s="148">
        <f t="shared" si="35"/>
        <v>7492</v>
      </c>
    </row>
    <row r="484" spans="1:17" ht="29.25" customHeight="1" x14ac:dyDescent="0.2">
      <c r="A484" s="174"/>
      <c r="B484" s="174"/>
      <c r="C484" s="194"/>
      <c r="D484" s="199" t="s">
        <v>788</v>
      </c>
      <c r="E484" s="148">
        <v>2</v>
      </c>
      <c r="F484" s="148">
        <v>161911</v>
      </c>
      <c r="G484" s="148">
        <f>0+táj.2!G484</f>
        <v>0</v>
      </c>
      <c r="H484" s="148">
        <f>0+táj.2!H484</f>
        <v>0</v>
      </c>
      <c r="I484" s="148">
        <f>10150+táj.2!I484</f>
        <v>10150</v>
      </c>
      <c r="J484" s="148">
        <f>0+táj.2!J484</f>
        <v>0</v>
      </c>
      <c r="K484" s="148">
        <f>0+táj.2!K484</f>
        <v>0</v>
      </c>
      <c r="L484" s="148">
        <f>0+táj.2!L484</f>
        <v>0</v>
      </c>
      <c r="M484" s="148">
        <f>0+táj.2!M484</f>
        <v>0</v>
      </c>
      <c r="N484" s="148">
        <f>0+táj.2!N484</f>
        <v>0</v>
      </c>
      <c r="O484" s="148">
        <f>0+táj.2!O484</f>
        <v>0</v>
      </c>
      <c r="P484" s="148">
        <f>0+táj.2!P484</f>
        <v>0</v>
      </c>
      <c r="Q484" s="148">
        <f t="shared" si="35"/>
        <v>10150</v>
      </c>
    </row>
    <row r="485" spans="1:17" ht="24" customHeight="1" x14ac:dyDescent="0.2">
      <c r="A485" s="174"/>
      <c r="B485" s="174"/>
      <c r="C485" s="194"/>
      <c r="D485" s="213" t="s">
        <v>789</v>
      </c>
      <c r="E485" s="148">
        <v>2</v>
      </c>
      <c r="F485" s="148">
        <v>161904</v>
      </c>
      <c r="G485" s="148">
        <f>0+táj.2!G485</f>
        <v>0</v>
      </c>
      <c r="H485" s="148">
        <f>0+táj.2!H485</f>
        <v>0</v>
      </c>
      <c r="I485" s="148">
        <f>6010+táj.2!I485</f>
        <v>5496</v>
      </c>
      <c r="J485" s="148">
        <f>0+táj.2!J485</f>
        <v>0</v>
      </c>
      <c r="K485" s="148">
        <f>0+táj.2!K485</f>
        <v>0</v>
      </c>
      <c r="L485" s="148">
        <f>0+táj.2!L485</f>
        <v>0</v>
      </c>
      <c r="M485" s="148">
        <f>0+táj.2!M485</f>
        <v>0</v>
      </c>
      <c r="N485" s="148">
        <f>0+táj.2!N485</f>
        <v>0</v>
      </c>
      <c r="O485" s="148">
        <f>0+táj.2!O485</f>
        <v>0</v>
      </c>
      <c r="P485" s="148">
        <f>0+táj.2!P485</f>
        <v>0</v>
      </c>
      <c r="Q485" s="148">
        <f t="shared" si="35"/>
        <v>5496</v>
      </c>
    </row>
    <row r="486" spans="1:17" ht="24" customHeight="1" x14ac:dyDescent="0.2">
      <c r="A486" s="174"/>
      <c r="B486" s="174"/>
      <c r="C486" s="879"/>
      <c r="D486" s="936" t="s">
        <v>1403</v>
      </c>
      <c r="E486" s="322">
        <v>2</v>
      </c>
      <c r="F486" s="148">
        <v>161903</v>
      </c>
      <c r="G486" s="148">
        <f>0+táj.2!G486</f>
        <v>0</v>
      </c>
      <c r="H486" s="148">
        <f>0+táj.2!H486</f>
        <v>0</v>
      </c>
      <c r="I486" s="148">
        <f>0+táj.2!I486</f>
        <v>20</v>
      </c>
      <c r="J486" s="148">
        <f>0+táj.2!J486</f>
        <v>0</v>
      </c>
      <c r="K486" s="148">
        <f>0+táj.2!K486</f>
        <v>0</v>
      </c>
      <c r="L486" s="148">
        <f>0+táj.2!L486</f>
        <v>0</v>
      </c>
      <c r="M486" s="148">
        <f>0+táj.2!M486</f>
        <v>0</v>
      </c>
      <c r="N486" s="148">
        <f>0+táj.2!N486</f>
        <v>0</v>
      </c>
      <c r="O486" s="148">
        <f>0+táj.2!O486</f>
        <v>0</v>
      </c>
      <c r="P486" s="148">
        <f>0+táj.2!P486</f>
        <v>0</v>
      </c>
      <c r="Q486" s="148">
        <f t="shared" si="35"/>
        <v>20</v>
      </c>
    </row>
    <row r="487" spans="1:17" ht="14.1" customHeight="1" x14ac:dyDescent="0.2">
      <c r="A487" s="174"/>
      <c r="B487" s="174"/>
      <c r="C487" s="194"/>
      <c r="D487" s="189" t="s">
        <v>252</v>
      </c>
      <c r="E487" s="322"/>
      <c r="F487" s="148"/>
      <c r="G487" s="148"/>
      <c r="H487" s="179"/>
      <c r="I487" s="179"/>
      <c r="J487" s="179"/>
      <c r="K487" s="179"/>
      <c r="L487" s="179"/>
      <c r="M487" s="148"/>
      <c r="N487" s="148"/>
      <c r="O487" s="148"/>
      <c r="P487" s="148"/>
      <c r="Q487" s="148"/>
    </row>
    <row r="488" spans="1:17" ht="14.1" customHeight="1" x14ac:dyDescent="0.2">
      <c r="A488" s="174"/>
      <c r="B488" s="174"/>
      <c r="C488" s="194"/>
      <c r="D488" s="893" t="s">
        <v>790</v>
      </c>
      <c r="E488" s="148">
        <v>2</v>
      </c>
      <c r="F488" s="148">
        <v>151606</v>
      </c>
      <c r="G488" s="148">
        <f>0+táj.2!G488</f>
        <v>0</v>
      </c>
      <c r="H488" s="148">
        <f>0+táj.2!H488</f>
        <v>0</v>
      </c>
      <c r="I488" s="148">
        <f>0+táj.2!I488</f>
        <v>0</v>
      </c>
      <c r="J488" s="148">
        <f>0+táj.2!J488</f>
        <v>0</v>
      </c>
      <c r="K488" s="148">
        <f>900+táj.2!K488</f>
        <v>900</v>
      </c>
      <c r="L488" s="148">
        <f>0+táj.2!L488</f>
        <v>0</v>
      </c>
      <c r="M488" s="148">
        <f>0+táj.2!M488</f>
        <v>0</v>
      </c>
      <c r="N488" s="148">
        <f>0+táj.2!N488</f>
        <v>0</v>
      </c>
      <c r="O488" s="148">
        <f>0+táj.2!O488</f>
        <v>0</v>
      </c>
      <c r="P488" s="148">
        <f>0+táj.2!P488</f>
        <v>0</v>
      </c>
      <c r="Q488" s="148">
        <f>SUM(G488:P488)</f>
        <v>900</v>
      </c>
    </row>
    <row r="489" spans="1:17" ht="16.5" customHeight="1" x14ac:dyDescent="0.2">
      <c r="A489" s="174"/>
      <c r="B489" s="174"/>
      <c r="C489" s="194"/>
      <c r="D489" s="189" t="s">
        <v>625</v>
      </c>
      <c r="E489" s="324"/>
      <c r="F489" s="148"/>
      <c r="G489" s="148"/>
      <c r="H489" s="179"/>
      <c r="I489" s="179"/>
      <c r="J489" s="179"/>
      <c r="K489" s="179"/>
      <c r="L489" s="179"/>
      <c r="M489" s="148"/>
      <c r="N489" s="148"/>
      <c r="O489" s="148"/>
      <c r="P489" s="148"/>
      <c r="Q489" s="148"/>
    </row>
    <row r="490" spans="1:17" ht="14.25" customHeight="1" x14ac:dyDescent="0.2">
      <c r="A490" s="174"/>
      <c r="B490" s="174"/>
      <c r="C490" s="194"/>
      <c r="D490" s="189" t="s">
        <v>791</v>
      </c>
      <c r="E490" s="148">
        <v>2</v>
      </c>
      <c r="F490" s="148">
        <v>151203</v>
      </c>
      <c r="G490" s="148">
        <f>0+táj.2!G490</f>
        <v>0</v>
      </c>
      <c r="H490" s="148">
        <f>0+táj.2!H490</f>
        <v>0</v>
      </c>
      <c r="I490" s="148">
        <f>10215+táj.2!I490</f>
        <v>10215</v>
      </c>
      <c r="J490" s="148">
        <f>0+táj.2!J490</f>
        <v>0</v>
      </c>
      <c r="K490" s="148">
        <f>0+táj.2!K490</f>
        <v>0</v>
      </c>
      <c r="L490" s="148">
        <f>0+táj.2!L490</f>
        <v>0</v>
      </c>
      <c r="M490" s="148">
        <f>0+táj.2!M490</f>
        <v>0</v>
      </c>
      <c r="N490" s="148">
        <f>0+táj.2!N490</f>
        <v>0</v>
      </c>
      <c r="O490" s="148">
        <f>0+táj.2!O490</f>
        <v>0</v>
      </c>
      <c r="P490" s="148">
        <f>0+táj.2!P490</f>
        <v>0</v>
      </c>
      <c r="Q490" s="148">
        <f>SUM(G490:P490)</f>
        <v>10215</v>
      </c>
    </row>
    <row r="491" spans="1:17" ht="14.1" customHeight="1" x14ac:dyDescent="0.2">
      <c r="A491" s="325"/>
      <c r="B491" s="325"/>
      <c r="C491" s="326"/>
      <c r="D491" s="300" t="s">
        <v>792</v>
      </c>
      <c r="E491" s="278"/>
      <c r="F491" s="280"/>
      <c r="G491" s="280">
        <f t="shared" ref="G491:Q491" si="36">SUM(G482:G490)</f>
        <v>0</v>
      </c>
      <c r="H491" s="280">
        <f t="shared" si="36"/>
        <v>0</v>
      </c>
      <c r="I491" s="280">
        <f t="shared" si="36"/>
        <v>35046</v>
      </c>
      <c r="J491" s="280">
        <f t="shared" si="36"/>
        <v>0</v>
      </c>
      <c r="K491" s="280">
        <f t="shared" si="36"/>
        <v>900</v>
      </c>
      <c r="L491" s="280">
        <f t="shared" si="36"/>
        <v>629</v>
      </c>
      <c r="M491" s="280">
        <f t="shared" si="36"/>
        <v>0</v>
      </c>
      <c r="N491" s="280">
        <f t="shared" si="36"/>
        <v>425</v>
      </c>
      <c r="O491" s="280">
        <f t="shared" si="36"/>
        <v>0</v>
      </c>
      <c r="P491" s="280">
        <f t="shared" si="36"/>
        <v>0</v>
      </c>
      <c r="Q491" s="280">
        <f t="shared" si="36"/>
        <v>37000</v>
      </c>
    </row>
    <row r="492" spans="1:17" ht="14.1" customHeight="1" x14ac:dyDescent="0.2">
      <c r="A492" s="174"/>
      <c r="B492" s="174"/>
      <c r="C492" s="194"/>
      <c r="D492" s="281" t="s">
        <v>793</v>
      </c>
      <c r="E492" s="207"/>
      <c r="F492" s="148"/>
      <c r="G492" s="179"/>
      <c r="H492" s="179"/>
      <c r="I492" s="179"/>
      <c r="J492" s="148"/>
      <c r="K492" s="148"/>
      <c r="L492" s="148"/>
      <c r="M492" s="148"/>
      <c r="N492" s="148"/>
      <c r="O492" s="148"/>
      <c r="P492" s="148"/>
      <c r="Q492" s="148"/>
    </row>
    <row r="493" spans="1:17" ht="17.25" customHeight="1" x14ac:dyDescent="0.2">
      <c r="A493" s="174"/>
      <c r="B493" s="174"/>
      <c r="C493" s="327" t="s">
        <v>100</v>
      </c>
      <c r="D493" s="328" t="s">
        <v>638</v>
      </c>
      <c r="E493" s="207"/>
      <c r="F493" s="148"/>
      <c r="G493" s="179"/>
      <c r="H493" s="179"/>
      <c r="I493" s="179"/>
      <c r="J493" s="148"/>
      <c r="K493" s="148"/>
      <c r="L493" s="148"/>
      <c r="M493" s="148"/>
      <c r="N493" s="148"/>
      <c r="O493" s="148"/>
      <c r="P493" s="148"/>
      <c r="Q493" s="148"/>
    </row>
    <row r="494" spans="1:17" ht="17.25" customHeight="1" x14ac:dyDescent="0.2">
      <c r="A494" s="174"/>
      <c r="B494" s="174"/>
      <c r="C494" s="734" t="s">
        <v>379</v>
      </c>
      <c r="D494" s="735" t="s">
        <v>794</v>
      </c>
      <c r="E494" s="503"/>
      <c r="F494" s="503">
        <v>164106</v>
      </c>
      <c r="G494" s="179">
        <f>0+táj.2!G494</f>
        <v>0</v>
      </c>
      <c r="H494" s="179">
        <f>0+táj.2!H494</f>
        <v>0</v>
      </c>
      <c r="I494" s="179">
        <f>97734+táj.2!I494</f>
        <v>97734</v>
      </c>
      <c r="J494" s="179">
        <f>0+táj.2!J494</f>
        <v>0</v>
      </c>
      <c r="K494" s="179">
        <f>0+táj.2!K494</f>
        <v>0</v>
      </c>
      <c r="L494" s="179">
        <f>0+táj.2!L494</f>
        <v>0</v>
      </c>
      <c r="M494" s="179">
        <f>500589+táj.2!M494</f>
        <v>500589</v>
      </c>
      <c r="N494" s="179">
        <f>0+táj.2!N494</f>
        <v>0</v>
      </c>
      <c r="O494" s="179">
        <f>0+táj.2!O494</f>
        <v>0</v>
      </c>
      <c r="P494" s="179">
        <f>0+táj.2!P494</f>
        <v>0</v>
      </c>
      <c r="Q494" s="148">
        <f>SUM(G494:P494)</f>
        <v>598323</v>
      </c>
    </row>
    <row r="495" spans="1:17" ht="17.25" customHeight="1" x14ac:dyDescent="0.2">
      <c r="A495" s="174"/>
      <c r="B495" s="174"/>
      <c r="C495" s="734" t="s">
        <v>639</v>
      </c>
      <c r="D495" s="735" t="s">
        <v>1015</v>
      </c>
      <c r="E495" s="503"/>
      <c r="F495" s="503">
        <v>161909</v>
      </c>
      <c r="G495" s="179">
        <f>0+táj.2!G495</f>
        <v>0</v>
      </c>
      <c r="H495" s="179">
        <f>0+táj.2!H495</f>
        <v>0</v>
      </c>
      <c r="I495" s="179">
        <f>0+táj.2!I495</f>
        <v>0</v>
      </c>
      <c r="J495" s="179">
        <f>0+táj.2!J495</f>
        <v>0</v>
      </c>
      <c r="K495" s="179">
        <f>0+táj.2!K495</f>
        <v>0</v>
      </c>
      <c r="L495" s="179">
        <f>0+táj.2!L495</f>
        <v>0</v>
      </c>
      <c r="M495" s="179">
        <f>26104+táj.2!M495</f>
        <v>26104</v>
      </c>
      <c r="N495" s="179">
        <f>0+táj.2!N495</f>
        <v>0</v>
      </c>
      <c r="O495" s="179">
        <f>0+táj.2!O495</f>
        <v>0</v>
      </c>
      <c r="P495" s="179">
        <f>0+táj.2!P495</f>
        <v>0</v>
      </c>
      <c r="Q495" s="148">
        <f>SUM(G495:P495)</f>
        <v>26104</v>
      </c>
    </row>
    <row r="496" spans="1:17" ht="14.1" customHeight="1" x14ac:dyDescent="0.2">
      <c r="A496" s="174"/>
      <c r="B496" s="174"/>
      <c r="C496" s="726"/>
      <c r="D496" s="707" t="s">
        <v>1145</v>
      </c>
      <c r="E496" s="503"/>
      <c r="F496" s="503"/>
      <c r="G496" s="179"/>
      <c r="H496" s="179"/>
      <c r="I496" s="179"/>
      <c r="J496" s="179"/>
      <c r="K496" s="179"/>
      <c r="L496" s="179"/>
      <c r="M496" s="179"/>
      <c r="N496" s="179"/>
      <c r="O496" s="179"/>
      <c r="P496" s="179"/>
      <c r="Q496" s="148"/>
    </row>
    <row r="497" spans="1:18" ht="14.1" customHeight="1" x14ac:dyDescent="0.2">
      <c r="A497" s="174"/>
      <c r="B497" s="174"/>
      <c r="C497" s="726" t="s">
        <v>382</v>
      </c>
      <c r="D497" s="736" t="s">
        <v>795</v>
      </c>
      <c r="E497" s="503"/>
      <c r="F497" s="503">
        <v>162107</v>
      </c>
      <c r="G497" s="179">
        <f>0+táj.2!G497</f>
        <v>0</v>
      </c>
      <c r="H497" s="179">
        <f>0+táj.2!H497</f>
        <v>0</v>
      </c>
      <c r="I497" s="179">
        <f>0+táj.2!I497</f>
        <v>0</v>
      </c>
      <c r="J497" s="179">
        <f>0+táj.2!J497</f>
        <v>0</v>
      </c>
      <c r="K497" s="179">
        <f>0+táj.2!K497</f>
        <v>0</v>
      </c>
      <c r="L497" s="179">
        <f>3179+táj.2!L497</f>
        <v>3179</v>
      </c>
      <c r="M497" s="179">
        <f>0+táj.2!M497</f>
        <v>0</v>
      </c>
      <c r="N497" s="179">
        <f>0+táj.2!N497</f>
        <v>0</v>
      </c>
      <c r="O497" s="179">
        <f>0+táj.2!O497</f>
        <v>0</v>
      </c>
      <c r="P497" s="179">
        <f>0+táj.2!P497</f>
        <v>0</v>
      </c>
      <c r="Q497" s="148">
        <f>SUM(G497:P497)</f>
        <v>3179</v>
      </c>
    </row>
    <row r="498" spans="1:18" ht="23.25" customHeight="1" x14ac:dyDescent="0.2">
      <c r="A498" s="174"/>
      <c r="B498" s="174"/>
      <c r="C498" s="726" t="s">
        <v>384</v>
      </c>
      <c r="D498" s="737" t="s">
        <v>796</v>
      </c>
      <c r="E498" s="503"/>
      <c r="F498" s="503">
        <v>162166</v>
      </c>
      <c r="G498" s="179">
        <f>0+táj.2!G498</f>
        <v>0</v>
      </c>
      <c r="H498" s="179">
        <f>0+táj.2!H498</f>
        <v>0</v>
      </c>
      <c r="I498" s="179">
        <f>0+táj.2!I498</f>
        <v>0</v>
      </c>
      <c r="J498" s="179">
        <f>0+táj.2!J498</f>
        <v>0</v>
      </c>
      <c r="K498" s="179">
        <f>0+táj.2!K498</f>
        <v>0</v>
      </c>
      <c r="L498" s="179">
        <f>0+táj.2!L498</f>
        <v>0</v>
      </c>
      <c r="M498" s="179">
        <f>75+táj.2!M498</f>
        <v>75</v>
      </c>
      <c r="N498" s="179">
        <f>0+táj.2!N498</f>
        <v>0</v>
      </c>
      <c r="O498" s="179">
        <f>0+táj.2!O498</f>
        <v>0</v>
      </c>
      <c r="P498" s="179">
        <f>0+táj.2!P498</f>
        <v>0</v>
      </c>
      <c r="Q498" s="148">
        <f>SUM(G498:P498)</f>
        <v>75</v>
      </c>
    </row>
    <row r="499" spans="1:18" ht="17.25" customHeight="1" x14ac:dyDescent="0.2">
      <c r="A499" s="174"/>
      <c r="B499" s="174"/>
      <c r="C499" s="519" t="s">
        <v>99</v>
      </c>
      <c r="D499" s="307" t="s">
        <v>650</v>
      </c>
      <c r="E499" s="207"/>
      <c r="F499" s="207"/>
      <c r="G499" s="179"/>
      <c r="H499" s="179"/>
      <c r="I499" s="179"/>
      <c r="J499" s="179"/>
      <c r="K499" s="179"/>
      <c r="L499" s="179"/>
      <c r="M499" s="179"/>
      <c r="N499" s="179"/>
      <c r="O499" s="179"/>
      <c r="P499" s="179"/>
      <c r="Q499" s="148"/>
    </row>
    <row r="500" spans="1:18" ht="16.5" customHeight="1" x14ac:dyDescent="0.2">
      <c r="A500" s="174"/>
      <c r="B500" s="174"/>
      <c r="C500" s="734" t="s">
        <v>797</v>
      </c>
      <c r="D500" s="738" t="s">
        <v>798</v>
      </c>
      <c r="E500" s="503"/>
      <c r="F500" s="503">
        <v>164204</v>
      </c>
      <c r="G500" s="179">
        <f>0+táj.2!G500</f>
        <v>0</v>
      </c>
      <c r="H500" s="179">
        <f>0+táj.2!H500</f>
        <v>0</v>
      </c>
      <c r="I500" s="179">
        <f>48704+táj.2!I500</f>
        <v>48704</v>
      </c>
      <c r="J500" s="179">
        <f>0+táj.2!J500</f>
        <v>0</v>
      </c>
      <c r="K500" s="179">
        <f>0+táj.2!K500</f>
        <v>0</v>
      </c>
      <c r="L500" s="179">
        <f>5880+táj.2!L500</f>
        <v>5880</v>
      </c>
      <c r="M500" s="179">
        <f>176023+táj.2!M500</f>
        <v>176023</v>
      </c>
      <c r="N500" s="179">
        <f>0+táj.2!N500</f>
        <v>0</v>
      </c>
      <c r="O500" s="179">
        <f>0+táj.2!O500</f>
        <v>0</v>
      </c>
      <c r="P500" s="179">
        <f>0+táj.2!P500</f>
        <v>0</v>
      </c>
      <c r="Q500" s="148">
        <f>SUM(G500:P500)</f>
        <v>230607</v>
      </c>
    </row>
    <row r="501" spans="1:18" ht="16.5" customHeight="1" x14ac:dyDescent="0.2">
      <c r="A501" s="174"/>
      <c r="B501" s="174"/>
      <c r="C501" s="734" t="s">
        <v>1206</v>
      </c>
      <c r="D501" s="739" t="s">
        <v>1207</v>
      </c>
      <c r="E501" s="503"/>
      <c r="F501" s="503">
        <v>162219</v>
      </c>
      <c r="G501" s="179">
        <f>0+táj.2!G501</f>
        <v>0</v>
      </c>
      <c r="H501" s="179">
        <f>0+táj.2!H501</f>
        <v>0</v>
      </c>
      <c r="I501" s="179">
        <f>0+táj.2!I501</f>
        <v>0</v>
      </c>
      <c r="J501" s="179">
        <f>0+táj.2!J501</f>
        <v>0</v>
      </c>
      <c r="K501" s="179">
        <f>0+táj.2!K501</f>
        <v>0</v>
      </c>
      <c r="L501" s="179">
        <f>9419+táj.2!L501</f>
        <v>8169</v>
      </c>
      <c r="M501" s="179">
        <f>0+táj.2!M501</f>
        <v>0</v>
      </c>
      <c r="N501" s="179">
        <f>0+táj.2!N501</f>
        <v>0</v>
      </c>
      <c r="O501" s="179">
        <f>0+táj.2!O501</f>
        <v>0</v>
      </c>
      <c r="P501" s="179">
        <f>0+táj.2!P501</f>
        <v>0</v>
      </c>
      <c r="Q501" s="148">
        <f>SUM(G501:P501)</f>
        <v>8169</v>
      </c>
    </row>
    <row r="502" spans="1:18" ht="18.75" customHeight="1" x14ac:dyDescent="0.2">
      <c r="A502" s="174"/>
      <c r="B502" s="174"/>
      <c r="C502" s="726"/>
      <c r="D502" s="707" t="s">
        <v>1145</v>
      </c>
      <c r="E502" s="503"/>
      <c r="F502" s="503"/>
      <c r="G502" s="179"/>
      <c r="H502" s="179"/>
      <c r="I502" s="179"/>
      <c r="J502" s="179"/>
      <c r="K502" s="179"/>
      <c r="L502" s="179"/>
      <c r="M502" s="179"/>
      <c r="N502" s="179"/>
      <c r="O502" s="179"/>
      <c r="P502" s="179"/>
      <c r="Q502" s="148"/>
    </row>
    <row r="503" spans="1:18" ht="25.5" customHeight="1" x14ac:dyDescent="0.2">
      <c r="A503" s="174"/>
      <c r="B503" s="174"/>
      <c r="C503" s="726" t="s">
        <v>799</v>
      </c>
      <c r="D503" s="710" t="s">
        <v>800</v>
      </c>
      <c r="E503" s="503"/>
      <c r="F503" s="503">
        <v>164205</v>
      </c>
      <c r="G503" s="179">
        <f>0+táj.2!G503</f>
        <v>0</v>
      </c>
      <c r="H503" s="179">
        <f>0+táj.2!H503</f>
        <v>0</v>
      </c>
      <c r="I503" s="179">
        <f>91305+táj.2!I503</f>
        <v>91605</v>
      </c>
      <c r="J503" s="179">
        <f>0+táj.2!J503</f>
        <v>0</v>
      </c>
      <c r="K503" s="179">
        <f>0+táj.2!K503</f>
        <v>0</v>
      </c>
      <c r="L503" s="179">
        <f>327715+táj.2!L503</f>
        <v>327415</v>
      </c>
      <c r="M503" s="179">
        <f>0+táj.2!M503</f>
        <v>0</v>
      </c>
      <c r="N503" s="179">
        <f>0+táj.2!N503</f>
        <v>0</v>
      </c>
      <c r="O503" s="179">
        <f>0+táj.2!O503</f>
        <v>0</v>
      </c>
      <c r="P503" s="179">
        <f>0+táj.2!P503</f>
        <v>0</v>
      </c>
      <c r="Q503" s="148">
        <f>SUM(G503:P503)</f>
        <v>419020</v>
      </c>
    </row>
    <row r="504" spans="1:18" ht="22.5" customHeight="1" x14ac:dyDescent="0.2">
      <c r="A504" s="174"/>
      <c r="B504" s="174"/>
      <c r="C504" s="726" t="s">
        <v>801</v>
      </c>
      <c r="D504" s="710" t="s">
        <v>802</v>
      </c>
      <c r="E504" s="503"/>
      <c r="F504" s="503">
        <v>164206</v>
      </c>
      <c r="G504" s="179">
        <f>0+táj.2!G504</f>
        <v>0</v>
      </c>
      <c r="H504" s="179">
        <f>0+táj.2!H504</f>
        <v>0</v>
      </c>
      <c r="I504" s="179">
        <f>41405+táj.2!I504</f>
        <v>635</v>
      </c>
      <c r="J504" s="179">
        <f>0+táj.2!J504</f>
        <v>0</v>
      </c>
      <c r="K504" s="179">
        <f>0+táj.2!K504</f>
        <v>0</v>
      </c>
      <c r="L504" s="179">
        <f>153941+táj.2!L504</f>
        <v>2941</v>
      </c>
      <c r="M504" s="179">
        <f>0+táj.2!M504</f>
        <v>0</v>
      </c>
      <c r="N504" s="179">
        <f>0+táj.2!N504</f>
        <v>0</v>
      </c>
      <c r="O504" s="179">
        <f>0+táj.2!O504</f>
        <v>0</v>
      </c>
      <c r="P504" s="179">
        <f>0+táj.2!P504</f>
        <v>0</v>
      </c>
      <c r="Q504" s="148">
        <f>SUM(G504:P504)</f>
        <v>3576</v>
      </c>
    </row>
    <row r="505" spans="1:18" ht="17.100000000000001" customHeight="1" x14ac:dyDescent="0.2">
      <c r="A505" s="174"/>
      <c r="B505" s="174"/>
      <c r="C505" s="520" t="s">
        <v>101</v>
      </c>
      <c r="D505" s="307" t="s">
        <v>803</v>
      </c>
      <c r="E505" s="207"/>
      <c r="F505" s="207"/>
      <c r="G505" s="179"/>
      <c r="H505" s="179"/>
      <c r="I505" s="179"/>
      <c r="J505" s="179"/>
      <c r="K505" s="179"/>
      <c r="L505" s="179"/>
      <c r="M505" s="179"/>
      <c r="N505" s="179"/>
      <c r="O505" s="179"/>
      <c r="P505" s="179"/>
      <c r="Q505" s="148"/>
    </row>
    <row r="506" spans="1:18" ht="23.25" customHeight="1" x14ac:dyDescent="0.2">
      <c r="A506" s="174"/>
      <c r="B506" s="329"/>
      <c r="C506" s="740" t="s">
        <v>521</v>
      </c>
      <c r="D506" s="741" t="s">
        <v>995</v>
      </c>
      <c r="E506" s="503"/>
      <c r="F506" s="503">
        <v>164301</v>
      </c>
      <c r="G506" s="179">
        <f>0+táj.2!G506</f>
        <v>0</v>
      </c>
      <c r="H506" s="179">
        <f>0+táj.2!H506</f>
        <v>0</v>
      </c>
      <c r="I506" s="179">
        <f>0+táj.2!I506</f>
        <v>0</v>
      </c>
      <c r="J506" s="179">
        <f>0+táj.2!J506</f>
        <v>0</v>
      </c>
      <c r="K506" s="179">
        <f>0+táj.2!K506</f>
        <v>0</v>
      </c>
      <c r="L506" s="179">
        <f>0+táj.2!L506</f>
        <v>0</v>
      </c>
      <c r="M506" s="179">
        <f>500+táj.2!M506</f>
        <v>500</v>
      </c>
      <c r="N506" s="179">
        <f>0+táj.2!N506</f>
        <v>0</v>
      </c>
      <c r="O506" s="179">
        <f>0+táj.2!O506</f>
        <v>0</v>
      </c>
      <c r="P506" s="179">
        <f>0+táj.2!P506</f>
        <v>0</v>
      </c>
      <c r="Q506" s="148">
        <f>SUM(G506:P506)</f>
        <v>500</v>
      </c>
    </row>
    <row r="507" spans="1:18" ht="17.100000000000001" customHeight="1" x14ac:dyDescent="0.2">
      <c r="A507" s="174"/>
      <c r="B507" s="329"/>
      <c r="C507" s="740"/>
      <c r="D507" s="707" t="s">
        <v>1145</v>
      </c>
      <c r="E507" s="503"/>
      <c r="F507" s="503"/>
      <c r="G507" s="179"/>
      <c r="H507" s="179"/>
      <c r="I507" s="179"/>
      <c r="J507" s="179"/>
      <c r="K507" s="179"/>
      <c r="L507" s="179"/>
      <c r="M507" s="179"/>
      <c r="N507" s="179"/>
      <c r="O507" s="179"/>
      <c r="P507" s="179"/>
      <c r="Q507" s="148"/>
    </row>
    <row r="508" spans="1:18" ht="19.5" customHeight="1" x14ac:dyDescent="0.2">
      <c r="A508" s="174"/>
      <c r="B508" s="329"/>
      <c r="C508" s="740" t="s">
        <v>1208</v>
      </c>
      <c r="D508" s="741" t="s">
        <v>1209</v>
      </c>
      <c r="E508" s="503"/>
      <c r="F508" s="503">
        <v>162308</v>
      </c>
      <c r="G508" s="179">
        <f>0+táj.2!G508</f>
        <v>0</v>
      </c>
      <c r="H508" s="179">
        <f>0+táj.2!H508</f>
        <v>0</v>
      </c>
      <c r="I508" s="179">
        <f>0+táj.2!I508</f>
        <v>0</v>
      </c>
      <c r="J508" s="179">
        <f>0+táj.2!J508</f>
        <v>0</v>
      </c>
      <c r="K508" s="179">
        <f>0+táj.2!K508</f>
        <v>0</v>
      </c>
      <c r="L508" s="179">
        <f>1547+táj.2!L508</f>
        <v>1547</v>
      </c>
      <c r="M508" s="179">
        <f>0+táj.2!M508</f>
        <v>0</v>
      </c>
      <c r="N508" s="179">
        <f>0+táj.2!N508</f>
        <v>0</v>
      </c>
      <c r="O508" s="179">
        <f>0+táj.2!O508</f>
        <v>0</v>
      </c>
      <c r="P508" s="179">
        <f>0+táj.2!P508</f>
        <v>0</v>
      </c>
      <c r="Q508" s="148">
        <f>SUM(G508:P508)</f>
        <v>1547</v>
      </c>
    </row>
    <row r="509" spans="1:18" ht="17.100000000000001" customHeight="1" x14ac:dyDescent="0.2">
      <c r="A509" s="174"/>
      <c r="B509" s="329"/>
      <c r="C509" s="521" t="s">
        <v>102</v>
      </c>
      <c r="D509" s="307" t="s">
        <v>804</v>
      </c>
      <c r="E509" s="207"/>
      <c r="F509" s="207"/>
      <c r="G509" s="179"/>
      <c r="H509" s="179"/>
      <c r="I509" s="179"/>
      <c r="J509" s="179"/>
      <c r="K509" s="179"/>
      <c r="L509" s="179"/>
      <c r="M509" s="179"/>
      <c r="N509" s="179"/>
      <c r="O509" s="179"/>
      <c r="P509" s="179"/>
      <c r="Q509" s="148"/>
    </row>
    <row r="510" spans="1:18" ht="17.100000000000001" customHeight="1" x14ac:dyDescent="0.2">
      <c r="A510" s="174"/>
      <c r="B510" s="329"/>
      <c r="C510" s="742" t="s">
        <v>657</v>
      </c>
      <c r="D510" s="720" t="s">
        <v>746</v>
      </c>
      <c r="E510" s="503"/>
      <c r="F510" s="503">
        <v>152415</v>
      </c>
      <c r="G510" s="179">
        <f>0+táj.2!G510</f>
        <v>0</v>
      </c>
      <c r="H510" s="179">
        <f>0+táj.2!H510</f>
        <v>0</v>
      </c>
      <c r="I510" s="179">
        <f>0+táj.2!I510</f>
        <v>0</v>
      </c>
      <c r="J510" s="179">
        <f>0+táj.2!J510</f>
        <v>0</v>
      </c>
      <c r="K510" s="179">
        <f>0+táj.2!K510</f>
        <v>0</v>
      </c>
      <c r="L510" s="179">
        <f>7129+táj.2!L510</f>
        <v>7129</v>
      </c>
      <c r="M510" s="179">
        <f>0+táj.2!M510</f>
        <v>0</v>
      </c>
      <c r="N510" s="179">
        <f>0+táj.2!N510</f>
        <v>0</v>
      </c>
      <c r="O510" s="179">
        <f>0+táj.2!O510</f>
        <v>0</v>
      </c>
      <c r="P510" s="179">
        <f>0+táj.2!P510</f>
        <v>0</v>
      </c>
      <c r="Q510" s="148">
        <f t="shared" ref="Q510:Q519" si="37">SUM(G510:P510)</f>
        <v>7129</v>
      </c>
      <c r="R510" s="15"/>
    </row>
    <row r="511" spans="1:18" ht="17.100000000000001" customHeight="1" x14ac:dyDescent="0.2">
      <c r="A511" s="174"/>
      <c r="B511" s="329"/>
      <c r="C511" s="742" t="s">
        <v>658</v>
      </c>
      <c r="D511" s="728" t="s">
        <v>1210</v>
      </c>
      <c r="E511" s="743"/>
      <c r="F511" s="148">
        <v>162432</v>
      </c>
      <c r="G511" s="179">
        <f>0+táj.2!G511</f>
        <v>0</v>
      </c>
      <c r="H511" s="179">
        <f>0+táj.2!H511</f>
        <v>0</v>
      </c>
      <c r="I511" s="179">
        <f>0+táj.2!I511</f>
        <v>0</v>
      </c>
      <c r="J511" s="179">
        <f>0+táj.2!J511</f>
        <v>0</v>
      </c>
      <c r="K511" s="179">
        <f>0+táj.2!K511</f>
        <v>0</v>
      </c>
      <c r="L511" s="179">
        <f>12000+táj.2!L511</f>
        <v>13000</v>
      </c>
      <c r="M511" s="179">
        <f>0+táj.2!M511</f>
        <v>0</v>
      </c>
      <c r="N511" s="179">
        <f>0+táj.2!N511</f>
        <v>0</v>
      </c>
      <c r="O511" s="179">
        <f>0+táj.2!O511</f>
        <v>0</v>
      </c>
      <c r="P511" s="179">
        <f>0+táj.2!P511</f>
        <v>0</v>
      </c>
      <c r="Q511" s="148">
        <f t="shared" si="37"/>
        <v>13000</v>
      </c>
    </row>
    <row r="512" spans="1:18" ht="18" customHeight="1" x14ac:dyDescent="0.2">
      <c r="A512" s="174"/>
      <c r="B512" s="329"/>
      <c r="C512" s="742" t="s">
        <v>659</v>
      </c>
      <c r="D512" s="728" t="s">
        <v>1211</v>
      </c>
      <c r="E512" s="717"/>
      <c r="F512" s="148">
        <v>162434</v>
      </c>
      <c r="G512" s="179">
        <f>0+táj.2!G512</f>
        <v>0</v>
      </c>
      <c r="H512" s="179">
        <f>0+táj.2!H512</f>
        <v>0</v>
      </c>
      <c r="I512" s="179">
        <f>0+táj.2!I512</f>
        <v>0</v>
      </c>
      <c r="J512" s="179">
        <f>0+táj.2!J512</f>
        <v>0</v>
      </c>
      <c r="K512" s="179">
        <f>0+táj.2!K512</f>
        <v>0</v>
      </c>
      <c r="L512" s="179">
        <f>15000+táj.2!L512</f>
        <v>0</v>
      </c>
      <c r="M512" s="179">
        <f>0+táj.2!M512</f>
        <v>0</v>
      </c>
      <c r="N512" s="179">
        <f>0+táj.2!N512</f>
        <v>0</v>
      </c>
      <c r="O512" s="179">
        <f>0+táj.2!O512</f>
        <v>0</v>
      </c>
      <c r="P512" s="179">
        <f>0+táj.2!P512</f>
        <v>0</v>
      </c>
      <c r="Q512" s="148">
        <f t="shared" si="37"/>
        <v>0</v>
      </c>
    </row>
    <row r="513" spans="1:17" ht="17.25" customHeight="1" x14ac:dyDescent="0.2">
      <c r="A513" s="174"/>
      <c r="B513" s="329"/>
      <c r="C513" s="742" t="s">
        <v>661</v>
      </c>
      <c r="D513" s="714" t="s">
        <v>1212</v>
      </c>
      <c r="E513" s="717"/>
      <c r="F513" s="148">
        <v>162435</v>
      </c>
      <c r="G513" s="179">
        <f>0+táj.2!G513</f>
        <v>0</v>
      </c>
      <c r="H513" s="179">
        <f>0+táj.2!H513</f>
        <v>0</v>
      </c>
      <c r="I513" s="179">
        <f>0+táj.2!I513</f>
        <v>0</v>
      </c>
      <c r="J513" s="179">
        <f>0+táj.2!J513</f>
        <v>0</v>
      </c>
      <c r="K513" s="179">
        <f>0+táj.2!K513</f>
        <v>0</v>
      </c>
      <c r="L513" s="179">
        <f>3000+táj.2!L513</f>
        <v>3000</v>
      </c>
      <c r="M513" s="179">
        <f>0+táj.2!M513</f>
        <v>0</v>
      </c>
      <c r="N513" s="179">
        <f>0+táj.2!N513</f>
        <v>0</v>
      </c>
      <c r="O513" s="179">
        <f>0+táj.2!O513</f>
        <v>0</v>
      </c>
      <c r="P513" s="179">
        <f>0+táj.2!P513</f>
        <v>0</v>
      </c>
      <c r="Q513" s="148">
        <f t="shared" si="37"/>
        <v>3000</v>
      </c>
    </row>
    <row r="514" spans="1:17" ht="15.75" customHeight="1" x14ac:dyDescent="0.2">
      <c r="A514" s="174"/>
      <c r="B514" s="329"/>
      <c r="C514" s="742" t="s">
        <v>662</v>
      </c>
      <c r="D514" s="714" t="s">
        <v>1213</v>
      </c>
      <c r="E514" s="503"/>
      <c r="F514" s="148">
        <v>164418</v>
      </c>
      <c r="G514" s="179">
        <f>0+táj.2!G514</f>
        <v>0</v>
      </c>
      <c r="H514" s="179">
        <f>0+táj.2!H514</f>
        <v>0</v>
      </c>
      <c r="I514" s="179">
        <f>0+táj.2!I514</f>
        <v>0</v>
      </c>
      <c r="J514" s="179">
        <f>0+táj.2!J514</f>
        <v>0</v>
      </c>
      <c r="K514" s="179">
        <f>0+táj.2!K514</f>
        <v>0</v>
      </c>
      <c r="L514" s="179">
        <f>0+táj.2!L514</f>
        <v>25928</v>
      </c>
      <c r="M514" s="179">
        <f>5400+táj.2!M514</f>
        <v>997</v>
      </c>
      <c r="N514" s="179">
        <f>0+táj.2!N514</f>
        <v>0</v>
      </c>
      <c r="O514" s="179">
        <f>0+táj.2!O514</f>
        <v>0</v>
      </c>
      <c r="P514" s="179">
        <f>0+táj.2!P514</f>
        <v>0</v>
      </c>
      <c r="Q514" s="148">
        <f t="shared" si="37"/>
        <v>26925</v>
      </c>
    </row>
    <row r="515" spans="1:17" ht="15" customHeight="1" x14ac:dyDescent="0.2">
      <c r="A515" s="174"/>
      <c r="B515" s="329"/>
      <c r="C515" s="742" t="s">
        <v>663</v>
      </c>
      <c r="D515" s="722" t="s">
        <v>1214</v>
      </c>
      <c r="E515" s="503"/>
      <c r="F515" s="503">
        <v>162436</v>
      </c>
      <c r="G515" s="179">
        <f>0+táj.2!G515</f>
        <v>0</v>
      </c>
      <c r="H515" s="179">
        <f>0+táj.2!H515</f>
        <v>0</v>
      </c>
      <c r="I515" s="179">
        <f>0+táj.2!I515</f>
        <v>0</v>
      </c>
      <c r="J515" s="179">
        <f>0+táj.2!J515</f>
        <v>0</v>
      </c>
      <c r="K515" s="179">
        <f>0+táj.2!K515</f>
        <v>0</v>
      </c>
      <c r="L515" s="179">
        <f>5000+táj.2!L515</f>
        <v>3594</v>
      </c>
      <c r="M515" s="179">
        <f>0+táj.2!M515</f>
        <v>0</v>
      </c>
      <c r="N515" s="179">
        <f>0+táj.2!N515</f>
        <v>0</v>
      </c>
      <c r="O515" s="179">
        <f>0+táj.2!O515</f>
        <v>0</v>
      </c>
      <c r="P515" s="179">
        <f>0+táj.2!P515</f>
        <v>0</v>
      </c>
      <c r="Q515" s="148">
        <f t="shared" si="37"/>
        <v>3594</v>
      </c>
    </row>
    <row r="516" spans="1:17" ht="13.5" customHeight="1" x14ac:dyDescent="0.2">
      <c r="A516" s="174"/>
      <c r="B516" s="329"/>
      <c r="C516" s="742" t="s">
        <v>665</v>
      </c>
      <c r="D516" s="704" t="s">
        <v>1342</v>
      </c>
      <c r="E516" s="503"/>
      <c r="F516" s="503">
        <v>162427</v>
      </c>
      <c r="G516" s="179">
        <f>0+táj.2!G516</f>
        <v>0</v>
      </c>
      <c r="H516" s="179">
        <f>0+táj.2!H516</f>
        <v>0</v>
      </c>
      <c r="I516" s="179">
        <f>0+táj.2!I516</f>
        <v>0</v>
      </c>
      <c r="J516" s="179">
        <f>0+táj.2!J516</f>
        <v>0</v>
      </c>
      <c r="K516" s="179">
        <f>0+táj.2!K516</f>
        <v>0</v>
      </c>
      <c r="L516" s="179">
        <f>4953+táj.2!L516</f>
        <v>4953</v>
      </c>
      <c r="M516" s="179">
        <f>0+táj.2!M516</f>
        <v>0</v>
      </c>
      <c r="N516" s="179">
        <f>0+táj.2!N516</f>
        <v>0</v>
      </c>
      <c r="O516" s="179">
        <f>0+táj.2!O516</f>
        <v>0</v>
      </c>
      <c r="P516" s="179">
        <f>0+táj.2!P516</f>
        <v>0</v>
      </c>
      <c r="Q516" s="148">
        <f t="shared" si="37"/>
        <v>4953</v>
      </c>
    </row>
    <row r="517" spans="1:17" ht="18.75" customHeight="1" x14ac:dyDescent="0.2">
      <c r="A517" s="174"/>
      <c r="B517" s="329"/>
      <c r="C517" s="742" t="s">
        <v>667</v>
      </c>
      <c r="D517" s="685" t="s">
        <v>666</v>
      </c>
      <c r="E517" s="503"/>
      <c r="F517" s="148">
        <v>155482</v>
      </c>
      <c r="G517" s="179">
        <f>0+táj.2!G517</f>
        <v>0</v>
      </c>
      <c r="H517" s="179">
        <f>0+táj.2!H517</f>
        <v>0</v>
      </c>
      <c r="I517" s="179">
        <f>0+táj.2!I517</f>
        <v>0</v>
      </c>
      <c r="J517" s="179">
        <f>0+táj.2!J517</f>
        <v>0</v>
      </c>
      <c r="K517" s="179">
        <f>0+táj.2!K517</f>
        <v>0</v>
      </c>
      <c r="L517" s="179">
        <f>2000+táj.2!L517</f>
        <v>2000</v>
      </c>
      <c r="M517" s="179">
        <f>0+táj.2!M517</f>
        <v>0</v>
      </c>
      <c r="N517" s="179">
        <f>0+táj.2!N517</f>
        <v>0</v>
      </c>
      <c r="O517" s="179">
        <f>0+táj.2!O517</f>
        <v>0</v>
      </c>
      <c r="P517" s="179">
        <f>0+táj.2!P517</f>
        <v>0</v>
      </c>
      <c r="Q517" s="148">
        <f t="shared" si="37"/>
        <v>2000</v>
      </c>
    </row>
    <row r="518" spans="1:17" ht="16.5" customHeight="1" x14ac:dyDescent="0.2">
      <c r="A518" s="174"/>
      <c r="B518" s="329"/>
      <c r="C518" s="742" t="s">
        <v>669</v>
      </c>
      <c r="D518" s="705" t="s">
        <v>677</v>
      </c>
      <c r="E518" s="503"/>
      <c r="F518" s="503">
        <v>155488</v>
      </c>
      <c r="G518" s="179">
        <f>0+táj.2!G518</f>
        <v>0</v>
      </c>
      <c r="H518" s="179">
        <f>0+táj.2!H518</f>
        <v>0</v>
      </c>
      <c r="I518" s="179">
        <f>0+táj.2!I518</f>
        <v>0</v>
      </c>
      <c r="J518" s="179">
        <f>0+táj.2!J518</f>
        <v>0</v>
      </c>
      <c r="K518" s="179">
        <f>0+táj.2!K518</f>
        <v>0</v>
      </c>
      <c r="L518" s="179">
        <f>0+táj.2!L518</f>
        <v>0</v>
      </c>
      <c r="M518" s="179">
        <f>0+táj.2!M518</f>
        <v>0</v>
      </c>
      <c r="N518" s="179">
        <f>2000+táj.2!N518</f>
        <v>2000</v>
      </c>
      <c r="O518" s="179">
        <f>0+táj.2!O518</f>
        <v>0</v>
      </c>
      <c r="P518" s="179">
        <f>0+táj.2!P518</f>
        <v>0</v>
      </c>
      <c r="Q518" s="148">
        <f t="shared" si="37"/>
        <v>2000</v>
      </c>
    </row>
    <row r="519" spans="1:17" ht="16.5" customHeight="1" x14ac:dyDescent="0.2">
      <c r="A519" s="174"/>
      <c r="B519" s="329"/>
      <c r="C519" s="742" t="s">
        <v>670</v>
      </c>
      <c r="D519" s="705" t="s">
        <v>1216</v>
      </c>
      <c r="E519" s="503"/>
      <c r="F519" s="503">
        <v>152491</v>
      </c>
      <c r="G519" s="179">
        <f>0+táj.2!G519</f>
        <v>0</v>
      </c>
      <c r="H519" s="179">
        <f>0+táj.2!H519</f>
        <v>0</v>
      </c>
      <c r="I519" s="179">
        <f>0+táj.2!I519</f>
        <v>0</v>
      </c>
      <c r="J519" s="179">
        <f>0+táj.2!J519</f>
        <v>0</v>
      </c>
      <c r="K519" s="179">
        <f>0+táj.2!K519</f>
        <v>0</v>
      </c>
      <c r="L519" s="179">
        <f>2000+táj.2!L519</f>
        <v>3406</v>
      </c>
      <c r="M519" s="179">
        <f>0+táj.2!M519</f>
        <v>0</v>
      </c>
      <c r="N519" s="179">
        <f>0+táj.2!N519</f>
        <v>0</v>
      </c>
      <c r="O519" s="179">
        <f>0+táj.2!O519</f>
        <v>0</v>
      </c>
      <c r="P519" s="179">
        <f>0+táj.2!P519</f>
        <v>0</v>
      </c>
      <c r="Q519" s="148">
        <f t="shared" si="37"/>
        <v>3406</v>
      </c>
    </row>
    <row r="520" spans="1:17" ht="16.5" customHeight="1" x14ac:dyDescent="0.2">
      <c r="A520" s="174"/>
      <c r="B520" s="329"/>
      <c r="C520" s="742" t="s">
        <v>671</v>
      </c>
      <c r="D520" s="705" t="s">
        <v>697</v>
      </c>
      <c r="E520" s="503"/>
      <c r="F520" s="503">
        <v>152494</v>
      </c>
      <c r="G520" s="179">
        <f>0+táj.2!G520</f>
        <v>0</v>
      </c>
      <c r="H520" s="179">
        <f>0+táj.2!H520</f>
        <v>0</v>
      </c>
      <c r="I520" s="179">
        <f>0+táj.2!I520</f>
        <v>0</v>
      </c>
      <c r="J520" s="179">
        <f>0+táj.2!J520</f>
        <v>0</v>
      </c>
      <c r="K520" s="179">
        <f>0+táj.2!K520</f>
        <v>0</v>
      </c>
      <c r="L520" s="179">
        <f>3060+táj.2!L520</f>
        <v>3060</v>
      </c>
      <c r="M520" s="179">
        <f>0+táj.2!M520</f>
        <v>0</v>
      </c>
      <c r="N520" s="179">
        <f>0+táj.2!N520</f>
        <v>0</v>
      </c>
      <c r="O520" s="179">
        <f>0+táj.2!O520</f>
        <v>0</v>
      </c>
      <c r="P520" s="179">
        <f>0+táj.2!P520</f>
        <v>0</v>
      </c>
      <c r="Q520" s="148">
        <f t="shared" ref="Q520:Q530" si="38">SUM(G520:P520)</f>
        <v>3060</v>
      </c>
    </row>
    <row r="521" spans="1:17" ht="16.5" customHeight="1" x14ac:dyDescent="0.2">
      <c r="A521" s="174"/>
      <c r="B521" s="329"/>
      <c r="C521" s="742" t="s">
        <v>672</v>
      </c>
      <c r="D521" s="705" t="s">
        <v>702</v>
      </c>
      <c r="E521" s="503"/>
      <c r="F521" s="503">
        <v>152497</v>
      </c>
      <c r="G521" s="179">
        <f>0+táj.2!G521</f>
        <v>0</v>
      </c>
      <c r="H521" s="179">
        <f>0+táj.2!H521</f>
        <v>0</v>
      </c>
      <c r="I521" s="179">
        <f>0+táj.2!I521</f>
        <v>0</v>
      </c>
      <c r="J521" s="179">
        <f>0+táj.2!J521</f>
        <v>0</v>
      </c>
      <c r="K521" s="179">
        <f>0+táj.2!K521</f>
        <v>0</v>
      </c>
      <c r="L521" s="179">
        <f>2000+táj.2!L521</f>
        <v>2000</v>
      </c>
      <c r="M521" s="179">
        <f>0+táj.2!M521</f>
        <v>0</v>
      </c>
      <c r="N521" s="179">
        <f>0+táj.2!N521</f>
        <v>0</v>
      </c>
      <c r="O521" s="179">
        <f>0+táj.2!O521</f>
        <v>0</v>
      </c>
      <c r="P521" s="179">
        <f>0+táj.2!P521</f>
        <v>0</v>
      </c>
      <c r="Q521" s="148">
        <f t="shared" si="38"/>
        <v>2000</v>
      </c>
    </row>
    <row r="522" spans="1:17" ht="15.75" customHeight="1" x14ac:dyDescent="0.2">
      <c r="A522" s="174"/>
      <c r="B522" s="329"/>
      <c r="C522" s="742" t="s">
        <v>673</v>
      </c>
      <c r="D522" s="705" t="s">
        <v>713</v>
      </c>
      <c r="E522" s="503"/>
      <c r="F522" s="503">
        <v>152424</v>
      </c>
      <c r="G522" s="179">
        <f>0+táj.2!G522</f>
        <v>0</v>
      </c>
      <c r="H522" s="179">
        <f>0+táj.2!H522</f>
        <v>0</v>
      </c>
      <c r="I522" s="179">
        <f>0+táj.2!I522</f>
        <v>0</v>
      </c>
      <c r="J522" s="179">
        <f>0+táj.2!J522</f>
        <v>0</v>
      </c>
      <c r="K522" s="179">
        <f>0+táj.2!K522</f>
        <v>0</v>
      </c>
      <c r="L522" s="179">
        <f>4000+táj.2!L522</f>
        <v>6412</v>
      </c>
      <c r="M522" s="179">
        <f>0+táj.2!M522</f>
        <v>0</v>
      </c>
      <c r="N522" s="179">
        <f>0+táj.2!N522</f>
        <v>0</v>
      </c>
      <c r="O522" s="179">
        <f>0+táj.2!O522</f>
        <v>0</v>
      </c>
      <c r="P522" s="179">
        <f>0+táj.2!P522</f>
        <v>0</v>
      </c>
      <c r="Q522" s="148">
        <f t="shared" si="38"/>
        <v>6412</v>
      </c>
    </row>
    <row r="523" spans="1:17" ht="15.75" customHeight="1" x14ac:dyDescent="0.2">
      <c r="A523" s="824"/>
      <c r="B523" s="848"/>
      <c r="C523" s="849" t="s">
        <v>1317</v>
      </c>
      <c r="D523" s="840" t="s">
        <v>1318</v>
      </c>
      <c r="E523" s="841"/>
      <c r="F523" s="841">
        <v>155457</v>
      </c>
      <c r="G523" s="179">
        <f>0+táj.2!G523</f>
        <v>0</v>
      </c>
      <c r="H523" s="179">
        <f>0+táj.2!H523</f>
        <v>0</v>
      </c>
      <c r="I523" s="179">
        <f>0+táj.2!I523</f>
        <v>0</v>
      </c>
      <c r="J523" s="179">
        <f>0+táj.2!J523</f>
        <v>0</v>
      </c>
      <c r="K523" s="179">
        <f>0+táj.2!K523</f>
        <v>0</v>
      </c>
      <c r="L523" s="179">
        <f>0+táj.2!L523</f>
        <v>0</v>
      </c>
      <c r="M523" s="179">
        <f>7487+táj.2!M523</f>
        <v>7487</v>
      </c>
      <c r="N523" s="179">
        <f>0+táj.2!N523</f>
        <v>0</v>
      </c>
      <c r="O523" s="179">
        <f>0+táj.2!O523</f>
        <v>0</v>
      </c>
      <c r="P523" s="179">
        <f>0+táj.2!P523</f>
        <v>0</v>
      </c>
      <c r="Q523" s="148">
        <f t="shared" si="38"/>
        <v>7487</v>
      </c>
    </row>
    <row r="524" spans="1:17" ht="15.75" customHeight="1" x14ac:dyDescent="0.2">
      <c r="A524" s="915"/>
      <c r="B524" s="930"/>
      <c r="C524" s="931" t="s">
        <v>1391</v>
      </c>
      <c r="D524" s="868" t="s">
        <v>1392</v>
      </c>
      <c r="E524" s="865"/>
      <c r="F524" s="865">
        <v>164421</v>
      </c>
      <c r="G524" s="179">
        <f>0+táj.2!G524</f>
        <v>0</v>
      </c>
      <c r="H524" s="179">
        <f>0+táj.2!H524</f>
        <v>0</v>
      </c>
      <c r="I524" s="179">
        <f>0+táj.2!I524</f>
        <v>0</v>
      </c>
      <c r="J524" s="179">
        <f>0+táj.2!J524</f>
        <v>0</v>
      </c>
      <c r="K524" s="179">
        <f>0+táj.2!K524</f>
        <v>0</v>
      </c>
      <c r="L524" s="179">
        <f>0+táj.2!L524</f>
        <v>0</v>
      </c>
      <c r="M524" s="179">
        <f>0+táj.2!M524</f>
        <v>24098</v>
      </c>
      <c r="N524" s="179">
        <f>0+táj.2!N524</f>
        <v>0</v>
      </c>
      <c r="O524" s="179">
        <f>0+táj.2!O524</f>
        <v>0</v>
      </c>
      <c r="P524" s="179">
        <f>0+táj.2!P524</f>
        <v>0</v>
      </c>
      <c r="Q524" s="148">
        <f t="shared" si="38"/>
        <v>24098</v>
      </c>
    </row>
    <row r="525" spans="1:17" ht="16.5" customHeight="1" x14ac:dyDescent="0.2">
      <c r="A525" s="174"/>
      <c r="B525" s="329"/>
      <c r="C525" s="742"/>
      <c r="D525" s="707" t="s">
        <v>1145</v>
      </c>
      <c r="E525" s="503"/>
      <c r="F525" s="503"/>
      <c r="G525" s="179"/>
      <c r="H525" s="179"/>
      <c r="I525" s="179"/>
      <c r="J525" s="179"/>
      <c r="K525" s="179"/>
      <c r="L525" s="179"/>
      <c r="M525" s="179"/>
      <c r="N525" s="179"/>
      <c r="O525" s="179"/>
      <c r="P525" s="179"/>
      <c r="Q525" s="148"/>
    </row>
    <row r="526" spans="1:17" ht="16.5" customHeight="1" x14ac:dyDescent="0.2">
      <c r="A526" s="174"/>
      <c r="B526" s="329"/>
      <c r="C526" s="742" t="s">
        <v>737</v>
      </c>
      <c r="D526" s="739" t="s">
        <v>808</v>
      </c>
      <c r="E526" s="503"/>
      <c r="F526" s="503">
        <v>162424</v>
      </c>
      <c r="G526" s="179">
        <f>0+táj.2!G526</f>
        <v>0</v>
      </c>
      <c r="H526" s="179">
        <f>0+táj.2!H526</f>
        <v>0</v>
      </c>
      <c r="I526" s="179">
        <f>252+táj.2!I526</f>
        <v>252</v>
      </c>
      <c r="J526" s="179">
        <f>0+táj.2!J526</f>
        <v>0</v>
      </c>
      <c r="K526" s="179">
        <f>0+táj.2!K526</f>
        <v>0</v>
      </c>
      <c r="L526" s="179">
        <f>0+táj.2!L526</f>
        <v>0</v>
      </c>
      <c r="M526" s="179">
        <f>0+táj.2!M526</f>
        <v>0</v>
      </c>
      <c r="N526" s="179">
        <f>0+táj.2!N526</f>
        <v>0</v>
      </c>
      <c r="O526" s="179">
        <f>0+táj.2!O526</f>
        <v>0</v>
      </c>
      <c r="P526" s="179">
        <f>0+táj.2!P526</f>
        <v>0</v>
      </c>
      <c r="Q526" s="148">
        <f t="shared" si="38"/>
        <v>252</v>
      </c>
    </row>
    <row r="527" spans="1:17" ht="16.5" customHeight="1" x14ac:dyDescent="0.2">
      <c r="A527" s="174"/>
      <c r="B527" s="329"/>
      <c r="C527" s="742" t="s">
        <v>739</v>
      </c>
      <c r="D527" s="707" t="s">
        <v>805</v>
      </c>
      <c r="E527" s="503"/>
      <c r="F527" s="503">
        <v>162428</v>
      </c>
      <c r="G527" s="179">
        <f>0+táj.2!G527</f>
        <v>0</v>
      </c>
      <c r="H527" s="179">
        <f>0+táj.2!H527</f>
        <v>0</v>
      </c>
      <c r="I527" s="179">
        <f>407+táj.2!I527</f>
        <v>407</v>
      </c>
      <c r="J527" s="179">
        <f>0+táj.2!J527</f>
        <v>0</v>
      </c>
      <c r="K527" s="179">
        <f>0+táj.2!K527</f>
        <v>0</v>
      </c>
      <c r="L527" s="179">
        <f>10777+táj.2!L527</f>
        <v>6269</v>
      </c>
      <c r="M527" s="179">
        <f>0+táj.2!M527</f>
        <v>0</v>
      </c>
      <c r="N527" s="179">
        <f>0+táj.2!N527</f>
        <v>0</v>
      </c>
      <c r="O527" s="179">
        <f>0+táj.2!O527</f>
        <v>0</v>
      </c>
      <c r="P527" s="179">
        <f>0+táj.2!P527</f>
        <v>0</v>
      </c>
      <c r="Q527" s="148">
        <f t="shared" si="38"/>
        <v>6676</v>
      </c>
    </row>
    <row r="528" spans="1:17" ht="16.5" customHeight="1" x14ac:dyDescent="0.2">
      <c r="A528" s="174"/>
      <c r="B528" s="329"/>
      <c r="C528" s="742" t="s">
        <v>740</v>
      </c>
      <c r="D528" s="707" t="s">
        <v>806</v>
      </c>
      <c r="E528" s="503"/>
      <c r="F528" s="503">
        <v>162429</v>
      </c>
      <c r="G528" s="179">
        <f>0+táj.2!G528</f>
        <v>0</v>
      </c>
      <c r="H528" s="179">
        <f>0+táj.2!H528</f>
        <v>0</v>
      </c>
      <c r="I528" s="179">
        <f>0+táj.2!I528</f>
        <v>0</v>
      </c>
      <c r="J528" s="179">
        <f>0+táj.2!J528</f>
        <v>0</v>
      </c>
      <c r="K528" s="179">
        <f>0+táj.2!K528</f>
        <v>0</v>
      </c>
      <c r="L528" s="179">
        <f>300+táj.2!L528</f>
        <v>300</v>
      </c>
      <c r="M528" s="179">
        <f>0+táj.2!M528</f>
        <v>0</v>
      </c>
      <c r="N528" s="179">
        <f>0+táj.2!N528</f>
        <v>0</v>
      </c>
      <c r="O528" s="179">
        <f>0+táj.2!O528</f>
        <v>0</v>
      </c>
      <c r="P528" s="179">
        <f>0+táj.2!P528</f>
        <v>0</v>
      </c>
      <c r="Q528" s="148">
        <f t="shared" si="38"/>
        <v>300</v>
      </c>
    </row>
    <row r="529" spans="1:17" ht="16.5" customHeight="1" x14ac:dyDescent="0.2">
      <c r="A529" s="174"/>
      <c r="B529" s="329"/>
      <c r="C529" s="742" t="s">
        <v>742</v>
      </c>
      <c r="D529" s="705" t="s">
        <v>807</v>
      </c>
      <c r="E529" s="503"/>
      <c r="F529" s="503">
        <v>162430</v>
      </c>
      <c r="G529" s="179">
        <f>0+táj.2!G529</f>
        <v>0</v>
      </c>
      <c r="H529" s="179">
        <f>0+táj.2!H529</f>
        <v>0</v>
      </c>
      <c r="I529" s="179">
        <f>0+táj.2!I529</f>
        <v>0</v>
      </c>
      <c r="J529" s="179">
        <f>0+táj.2!J529</f>
        <v>0</v>
      </c>
      <c r="K529" s="179">
        <f>0+táj.2!K529</f>
        <v>0</v>
      </c>
      <c r="L529" s="179">
        <f>0+táj.2!L529</f>
        <v>0</v>
      </c>
      <c r="M529" s="179">
        <f>0+táj.2!M529</f>
        <v>0</v>
      </c>
      <c r="N529" s="179">
        <f>0+táj.2!N529</f>
        <v>0</v>
      </c>
      <c r="O529" s="179">
        <f>0+táj.2!O529</f>
        <v>0</v>
      </c>
      <c r="P529" s="179">
        <f>0+táj.2!P529</f>
        <v>0</v>
      </c>
      <c r="Q529" s="148">
        <f t="shared" si="38"/>
        <v>0</v>
      </c>
    </row>
    <row r="530" spans="1:17" ht="16.5" customHeight="1" x14ac:dyDescent="0.2">
      <c r="A530" s="174"/>
      <c r="B530" s="329"/>
      <c r="C530" s="742" t="s">
        <v>743</v>
      </c>
      <c r="D530" s="705" t="s">
        <v>994</v>
      </c>
      <c r="E530" s="503"/>
      <c r="F530" s="503">
        <v>162431</v>
      </c>
      <c r="G530" s="179">
        <f>0+táj.2!G530</f>
        <v>0</v>
      </c>
      <c r="H530" s="179">
        <f>0+táj.2!H530</f>
        <v>0</v>
      </c>
      <c r="I530" s="179">
        <f>1021+táj.2!I530</f>
        <v>1021</v>
      </c>
      <c r="J530" s="179">
        <f>0+táj.2!J530</f>
        <v>0</v>
      </c>
      <c r="K530" s="179">
        <f>0+táj.2!K530</f>
        <v>0</v>
      </c>
      <c r="L530" s="179">
        <f>14649+táj.2!L530</f>
        <v>7232</v>
      </c>
      <c r="M530" s="179">
        <f>0+táj.2!M530</f>
        <v>0</v>
      </c>
      <c r="N530" s="179">
        <f>0+táj.2!N530</f>
        <v>0</v>
      </c>
      <c r="O530" s="179">
        <f>0+táj.2!O530</f>
        <v>0</v>
      </c>
      <c r="P530" s="179">
        <f>0+táj.2!P530</f>
        <v>0</v>
      </c>
      <c r="Q530" s="148">
        <f t="shared" si="38"/>
        <v>8253</v>
      </c>
    </row>
    <row r="531" spans="1:17" ht="17.100000000000001" customHeight="1" x14ac:dyDescent="0.2">
      <c r="A531" s="174"/>
      <c r="B531" s="174"/>
      <c r="C531" s="522" t="s">
        <v>90</v>
      </c>
      <c r="D531" s="263" t="s">
        <v>750</v>
      </c>
      <c r="E531" s="207"/>
      <c r="F531" s="207"/>
      <c r="G531" s="179"/>
      <c r="H531" s="179"/>
      <c r="I531" s="179"/>
      <c r="J531" s="179"/>
      <c r="K531" s="179"/>
      <c r="L531" s="179"/>
      <c r="M531" s="179"/>
      <c r="N531" s="179"/>
      <c r="O531" s="179"/>
      <c r="P531" s="179"/>
      <c r="Q531" s="148"/>
    </row>
    <row r="532" spans="1:17" ht="17.100000000000001" customHeight="1" x14ac:dyDescent="0.2">
      <c r="A532" s="174"/>
      <c r="B532" s="174"/>
      <c r="C532" s="744" t="s">
        <v>751</v>
      </c>
      <c r="D532" s="745" t="s">
        <v>809</v>
      </c>
      <c r="E532" s="587"/>
      <c r="F532" s="587">
        <v>162505</v>
      </c>
      <c r="G532" s="179">
        <f>0+táj.2!G532</f>
        <v>0</v>
      </c>
      <c r="H532" s="179">
        <f>0+táj.2!H532</f>
        <v>0</v>
      </c>
      <c r="I532" s="179">
        <f>0+táj.2!I532</f>
        <v>0</v>
      </c>
      <c r="J532" s="179">
        <f>0+táj.2!J532</f>
        <v>0</v>
      </c>
      <c r="K532" s="179">
        <f>0+táj.2!K532</f>
        <v>0</v>
      </c>
      <c r="L532" s="179">
        <f>0+táj.2!L532</f>
        <v>0</v>
      </c>
      <c r="M532" s="179">
        <f>500+táj.2!M532</f>
        <v>500</v>
      </c>
      <c r="N532" s="179">
        <f>0+táj.2!N532</f>
        <v>0</v>
      </c>
      <c r="O532" s="179">
        <f>0+táj.2!O532</f>
        <v>0</v>
      </c>
      <c r="P532" s="179">
        <f>0+táj.2!P532</f>
        <v>0</v>
      </c>
      <c r="Q532" s="148">
        <f>SUM(G532:P532)</f>
        <v>500</v>
      </c>
    </row>
    <row r="533" spans="1:17" ht="17.100000000000001" customHeight="1" x14ac:dyDescent="0.2">
      <c r="A533" s="174"/>
      <c r="B533" s="174"/>
      <c r="C533" s="746" t="s">
        <v>89</v>
      </c>
      <c r="D533" s="747" t="s">
        <v>810</v>
      </c>
      <c r="E533" s="587"/>
      <c r="F533" s="587"/>
      <c r="G533" s="179"/>
      <c r="H533" s="179"/>
      <c r="I533" s="179"/>
      <c r="J533" s="179"/>
      <c r="K533" s="179"/>
      <c r="L533" s="179"/>
      <c r="M533" s="179"/>
      <c r="N533" s="179"/>
      <c r="O533" s="179"/>
      <c r="P533" s="179"/>
      <c r="Q533" s="148"/>
    </row>
    <row r="534" spans="1:17" ht="17.100000000000001" customHeight="1" x14ac:dyDescent="0.2">
      <c r="A534" s="174"/>
      <c r="B534" s="174"/>
      <c r="C534" s="748" t="s">
        <v>1217</v>
      </c>
      <c r="D534" s="749" t="s">
        <v>1218</v>
      </c>
      <c r="E534" s="587"/>
      <c r="F534" s="587">
        <v>162968</v>
      </c>
      <c r="G534" s="179">
        <f>0+táj.2!G534</f>
        <v>0</v>
      </c>
      <c r="H534" s="179">
        <f>0+táj.2!H534</f>
        <v>0</v>
      </c>
      <c r="I534" s="179">
        <f>0+táj.2!I534</f>
        <v>0</v>
      </c>
      <c r="J534" s="179">
        <f>0+táj.2!J534</f>
        <v>0</v>
      </c>
      <c r="K534" s="179">
        <f>0+táj.2!K534</f>
        <v>0</v>
      </c>
      <c r="L534" s="179">
        <f>7000+táj.2!L534</f>
        <v>7000</v>
      </c>
      <c r="M534" s="179">
        <f>0+táj.2!M534</f>
        <v>0</v>
      </c>
      <c r="N534" s="179">
        <f>0+táj.2!N534</f>
        <v>0</v>
      </c>
      <c r="O534" s="179">
        <f>0+táj.2!O534</f>
        <v>0</v>
      </c>
      <c r="P534" s="179">
        <f>0+táj.2!P534</f>
        <v>0</v>
      </c>
      <c r="Q534" s="148">
        <f>SUM(G534:P534)</f>
        <v>7000</v>
      </c>
    </row>
    <row r="535" spans="1:17" ht="17.100000000000001" customHeight="1" x14ac:dyDescent="0.2">
      <c r="A535" s="174"/>
      <c r="B535" s="174"/>
      <c r="C535" s="748" t="s">
        <v>1219</v>
      </c>
      <c r="D535" s="750" t="s">
        <v>1220</v>
      </c>
      <c r="E535" s="692"/>
      <c r="F535" s="587">
        <v>162969</v>
      </c>
      <c r="G535" s="179">
        <f>0+táj.2!G535</f>
        <v>0</v>
      </c>
      <c r="H535" s="179">
        <f>0+táj.2!H535</f>
        <v>0</v>
      </c>
      <c r="I535" s="179">
        <f>0+táj.2!I535</f>
        <v>0</v>
      </c>
      <c r="J535" s="179">
        <f>0+táj.2!J535</f>
        <v>0</v>
      </c>
      <c r="K535" s="179">
        <f>0+táj.2!K535</f>
        <v>0</v>
      </c>
      <c r="L535" s="179">
        <f>3000+táj.2!L535</f>
        <v>991</v>
      </c>
      <c r="M535" s="179">
        <f>0+táj.2!M535</f>
        <v>0</v>
      </c>
      <c r="N535" s="179">
        <f>0+táj.2!N535</f>
        <v>0</v>
      </c>
      <c r="O535" s="179">
        <f>0+táj.2!O535</f>
        <v>0</v>
      </c>
      <c r="P535" s="179">
        <f>0+táj.2!P535</f>
        <v>0</v>
      </c>
      <c r="Q535" s="148">
        <f>SUM(G535:P535)</f>
        <v>991</v>
      </c>
    </row>
    <row r="536" spans="1:17" ht="17.100000000000001" customHeight="1" x14ac:dyDescent="0.2">
      <c r="A536" s="174"/>
      <c r="B536" s="174"/>
      <c r="C536" s="744" t="s">
        <v>1221</v>
      </c>
      <c r="D536" s="751" t="s">
        <v>1222</v>
      </c>
      <c r="E536" s="692"/>
      <c r="F536" s="587">
        <v>162970</v>
      </c>
      <c r="G536" s="179">
        <f>0+táj.2!G536</f>
        <v>0</v>
      </c>
      <c r="H536" s="179">
        <f>0+táj.2!H536</f>
        <v>0</v>
      </c>
      <c r="I536" s="179">
        <f>0+táj.2!I536</f>
        <v>0</v>
      </c>
      <c r="J536" s="179">
        <f>0+táj.2!J536</f>
        <v>0</v>
      </c>
      <c r="K536" s="179">
        <f>0+táj.2!K536</f>
        <v>0</v>
      </c>
      <c r="L536" s="179">
        <f>1500+táj.2!L536</f>
        <v>1500</v>
      </c>
      <c r="M536" s="179">
        <f>0+táj.2!M536</f>
        <v>0</v>
      </c>
      <c r="N536" s="179">
        <f>0+táj.2!N536</f>
        <v>0</v>
      </c>
      <c r="O536" s="179">
        <f>0+táj.2!O536</f>
        <v>0</v>
      </c>
      <c r="P536" s="179">
        <f>0+táj.2!P536</f>
        <v>0</v>
      </c>
      <c r="Q536" s="148">
        <f t="shared" ref="Q536:Q537" si="39">SUM(G536:P536)</f>
        <v>1500</v>
      </c>
    </row>
    <row r="537" spans="1:17" ht="17.100000000000001" customHeight="1" x14ac:dyDescent="0.2">
      <c r="A537" s="174"/>
      <c r="B537" s="174"/>
      <c r="C537" s="744" t="s">
        <v>1223</v>
      </c>
      <c r="D537" s="752" t="s">
        <v>1224</v>
      </c>
      <c r="E537" s="587"/>
      <c r="F537" s="587">
        <v>162971</v>
      </c>
      <c r="G537" s="179">
        <f>0+táj.2!G537</f>
        <v>0</v>
      </c>
      <c r="H537" s="179">
        <f>0+táj.2!H537</f>
        <v>0</v>
      </c>
      <c r="I537" s="179">
        <f>0+táj.2!I537</f>
        <v>0</v>
      </c>
      <c r="J537" s="179">
        <f>0+táj.2!J537</f>
        <v>0</v>
      </c>
      <c r="K537" s="179">
        <f>0+táj.2!K537</f>
        <v>0</v>
      </c>
      <c r="L537" s="179">
        <f>1200+táj.2!L537</f>
        <v>1200</v>
      </c>
      <c r="M537" s="179">
        <f>0+táj.2!M537</f>
        <v>0</v>
      </c>
      <c r="N537" s="179">
        <f>0+táj.2!N537</f>
        <v>0</v>
      </c>
      <c r="O537" s="179">
        <f>0+táj.2!O537</f>
        <v>0</v>
      </c>
      <c r="P537" s="179">
        <f>0+táj.2!P537</f>
        <v>0</v>
      </c>
      <c r="Q537" s="148">
        <f t="shared" si="39"/>
        <v>1200</v>
      </c>
    </row>
    <row r="538" spans="1:17" ht="17.100000000000001" customHeight="1" x14ac:dyDescent="0.2">
      <c r="A538" s="174"/>
      <c r="B538" s="174"/>
      <c r="C538" s="746"/>
      <c r="D538" s="694" t="s">
        <v>1145</v>
      </c>
      <c r="E538" s="587"/>
      <c r="F538" s="587"/>
      <c r="G538" s="179"/>
      <c r="H538" s="179"/>
      <c r="I538" s="179"/>
      <c r="J538" s="179"/>
      <c r="K538" s="179"/>
      <c r="L538" s="179"/>
      <c r="M538" s="179"/>
      <c r="N538" s="179"/>
      <c r="O538" s="179"/>
      <c r="P538" s="179"/>
      <c r="Q538" s="148"/>
    </row>
    <row r="539" spans="1:17" ht="17.100000000000001" customHeight="1" x14ac:dyDescent="0.2">
      <c r="A539" s="174"/>
      <c r="B539" s="174"/>
      <c r="C539" s="748" t="s">
        <v>524</v>
      </c>
      <c r="D539" s="749" t="s">
        <v>811</v>
      </c>
      <c r="E539" s="587"/>
      <c r="F539" s="587">
        <v>162601</v>
      </c>
      <c r="G539" s="179">
        <f>0+táj.2!G539</f>
        <v>0</v>
      </c>
      <c r="H539" s="179">
        <f>0+táj.2!H539</f>
        <v>0</v>
      </c>
      <c r="I539" s="179">
        <f>0+táj.2!I539</f>
        <v>0</v>
      </c>
      <c r="J539" s="179">
        <f>0+táj.2!J539</f>
        <v>0</v>
      </c>
      <c r="K539" s="179">
        <f>0+táj.2!K539</f>
        <v>0</v>
      </c>
      <c r="L539" s="179">
        <f>13491+táj.2!L539</f>
        <v>13491</v>
      </c>
      <c r="M539" s="179">
        <f>0+táj.2!M539</f>
        <v>0</v>
      </c>
      <c r="N539" s="179">
        <f>0+táj.2!N539</f>
        <v>0</v>
      </c>
      <c r="O539" s="179">
        <f>0+táj.2!O539</f>
        <v>0</v>
      </c>
      <c r="P539" s="179">
        <f>0+táj.2!P539</f>
        <v>0</v>
      </c>
      <c r="Q539" s="148">
        <f>SUM(G539:P539)</f>
        <v>13491</v>
      </c>
    </row>
    <row r="540" spans="1:17" ht="17.100000000000001" customHeight="1" x14ac:dyDescent="0.2">
      <c r="A540" s="174"/>
      <c r="B540" s="174"/>
      <c r="C540" s="748" t="s">
        <v>525</v>
      </c>
      <c r="D540" s="749" t="s">
        <v>812</v>
      </c>
      <c r="E540" s="587"/>
      <c r="F540" s="587">
        <v>162636</v>
      </c>
      <c r="G540" s="179">
        <f>0+táj.2!G540</f>
        <v>0</v>
      </c>
      <c r="H540" s="179">
        <f>0+táj.2!H540</f>
        <v>0</v>
      </c>
      <c r="I540" s="179">
        <f>0+táj.2!I540</f>
        <v>0</v>
      </c>
      <c r="J540" s="179">
        <f>0+táj.2!J540</f>
        <v>0</v>
      </c>
      <c r="K540" s="179">
        <f>0+táj.2!K540</f>
        <v>0</v>
      </c>
      <c r="L540" s="179">
        <f>30256+táj.2!L540</f>
        <v>30256</v>
      </c>
      <c r="M540" s="179">
        <f>0+táj.2!M540</f>
        <v>0</v>
      </c>
      <c r="N540" s="179">
        <f>0+táj.2!N540</f>
        <v>0</v>
      </c>
      <c r="O540" s="179">
        <f>0+táj.2!O540</f>
        <v>0</v>
      </c>
      <c r="P540" s="179">
        <f>0+táj.2!P540</f>
        <v>0</v>
      </c>
      <c r="Q540" s="148">
        <f>SUM(G540:P540)</f>
        <v>30256</v>
      </c>
    </row>
    <row r="541" spans="1:17" ht="17.100000000000001" customHeight="1" x14ac:dyDescent="0.2">
      <c r="A541" s="578"/>
      <c r="B541" s="578"/>
      <c r="C541" s="748" t="s">
        <v>526</v>
      </c>
      <c r="D541" s="749" t="s">
        <v>813</v>
      </c>
      <c r="E541" s="587"/>
      <c r="F541" s="587">
        <v>162637</v>
      </c>
      <c r="G541" s="179">
        <f>0+táj.2!G541</f>
        <v>0</v>
      </c>
      <c r="H541" s="179">
        <f>0+táj.2!H541</f>
        <v>0</v>
      </c>
      <c r="I541" s="179">
        <f>0+táj.2!I541</f>
        <v>0</v>
      </c>
      <c r="J541" s="179">
        <f>0+táj.2!J541</f>
        <v>0</v>
      </c>
      <c r="K541" s="179">
        <f>0+táj.2!K541</f>
        <v>0</v>
      </c>
      <c r="L541" s="179">
        <f>5313+táj.2!L541</f>
        <v>5313</v>
      </c>
      <c r="M541" s="179">
        <f>0+táj.2!M541</f>
        <v>0</v>
      </c>
      <c r="N541" s="179">
        <f>0+táj.2!N541</f>
        <v>0</v>
      </c>
      <c r="O541" s="179">
        <f>0+táj.2!O541</f>
        <v>0</v>
      </c>
      <c r="P541" s="179">
        <f>0+táj.2!P541</f>
        <v>0</v>
      </c>
      <c r="Q541" s="148">
        <f>SUM(G541:P541)</f>
        <v>5313</v>
      </c>
    </row>
    <row r="542" spans="1:17" ht="17.100000000000001" customHeight="1" x14ac:dyDescent="0.2">
      <c r="A542" s="174"/>
      <c r="B542" s="174"/>
      <c r="C542" s="520" t="s">
        <v>91</v>
      </c>
      <c r="D542" s="331" t="s">
        <v>770</v>
      </c>
      <c r="E542" s="313"/>
      <c r="F542" s="207"/>
      <c r="G542" s="179"/>
      <c r="H542" s="179"/>
      <c r="I542" s="179"/>
      <c r="J542" s="179"/>
      <c r="K542" s="179"/>
      <c r="L542" s="179"/>
      <c r="M542" s="179"/>
      <c r="N542" s="179"/>
      <c r="O542" s="179"/>
      <c r="P542" s="179"/>
      <c r="Q542" s="148"/>
    </row>
    <row r="543" spans="1:17" ht="17.100000000000001" customHeight="1" x14ac:dyDescent="0.2">
      <c r="A543" s="174"/>
      <c r="B543" s="174"/>
      <c r="C543" s="523"/>
      <c r="D543" s="277" t="s">
        <v>1145</v>
      </c>
      <c r="E543" s="313"/>
      <c r="F543" s="207"/>
      <c r="G543" s="179"/>
      <c r="H543" s="179"/>
      <c r="I543" s="179"/>
      <c r="J543" s="179"/>
      <c r="K543" s="179"/>
      <c r="L543" s="179"/>
      <c r="M543" s="179"/>
      <c r="N543" s="179"/>
      <c r="O543" s="179"/>
      <c r="P543" s="179"/>
      <c r="Q543" s="148"/>
    </row>
    <row r="544" spans="1:17" ht="26.25" customHeight="1" x14ac:dyDescent="0.2">
      <c r="A544" s="174"/>
      <c r="B544" s="174"/>
      <c r="C544" s="523" t="s">
        <v>814</v>
      </c>
      <c r="D544" s="332" t="s">
        <v>815</v>
      </c>
      <c r="E544" s="313"/>
      <c r="F544" s="207">
        <v>162701</v>
      </c>
      <c r="G544" s="179">
        <f>0+táj.2!G544</f>
        <v>0</v>
      </c>
      <c r="H544" s="179">
        <f>0+táj.2!H544</f>
        <v>0</v>
      </c>
      <c r="I544" s="179">
        <f>1377+táj.2!I544</f>
        <v>1377</v>
      </c>
      <c r="J544" s="179">
        <f>0+táj.2!J544</f>
        <v>0</v>
      </c>
      <c r="K544" s="179">
        <f>0+táj.2!K544</f>
        <v>0</v>
      </c>
      <c r="L544" s="179">
        <f>0+táj.2!L544</f>
        <v>0</v>
      </c>
      <c r="M544" s="179">
        <f>0+táj.2!M544</f>
        <v>0</v>
      </c>
      <c r="N544" s="179">
        <f>0+táj.2!N544</f>
        <v>0</v>
      </c>
      <c r="O544" s="179">
        <f>0+táj.2!O544</f>
        <v>0</v>
      </c>
      <c r="P544" s="179">
        <f>0+táj.2!P544</f>
        <v>0</v>
      </c>
      <c r="Q544" s="148">
        <f>SUM(G544:P544)</f>
        <v>1377</v>
      </c>
    </row>
    <row r="545" spans="1:17" ht="16.5" customHeight="1" x14ac:dyDescent="0.2">
      <c r="A545" s="174"/>
      <c r="B545" s="174"/>
      <c r="C545" s="520" t="s">
        <v>92</v>
      </c>
      <c r="D545" s="333" t="s">
        <v>771</v>
      </c>
      <c r="E545" s="313"/>
      <c r="F545" s="207"/>
      <c r="G545" s="179"/>
      <c r="H545" s="179"/>
      <c r="I545" s="179"/>
      <c r="J545" s="179"/>
      <c r="K545" s="179"/>
      <c r="L545" s="179"/>
      <c r="M545" s="179"/>
      <c r="N545" s="179"/>
      <c r="O545" s="179"/>
      <c r="P545" s="179"/>
      <c r="Q545" s="148"/>
    </row>
    <row r="546" spans="1:17" ht="15.75" customHeight="1" x14ac:dyDescent="0.2">
      <c r="A546" s="174"/>
      <c r="B546" s="174"/>
      <c r="C546" s="520" t="s">
        <v>93</v>
      </c>
      <c r="D546" s="333" t="s">
        <v>773</v>
      </c>
      <c r="E546" s="313"/>
      <c r="F546" s="207"/>
      <c r="G546" s="179"/>
      <c r="H546" s="179"/>
      <c r="I546" s="179"/>
      <c r="J546" s="179"/>
      <c r="K546" s="179"/>
      <c r="L546" s="179"/>
      <c r="M546" s="179"/>
      <c r="N546" s="179"/>
      <c r="O546" s="179"/>
      <c r="P546" s="179"/>
      <c r="Q546" s="148"/>
    </row>
    <row r="547" spans="1:17" ht="15.75" customHeight="1" x14ac:dyDescent="0.2">
      <c r="A547" s="174"/>
      <c r="B547" s="174"/>
      <c r="C547" s="753" t="s">
        <v>774</v>
      </c>
      <c r="D547" s="749" t="s">
        <v>816</v>
      </c>
      <c r="E547" s="587"/>
      <c r="F547" s="582">
        <v>164921</v>
      </c>
      <c r="G547" s="179">
        <f>0+táj.2!G547</f>
        <v>0</v>
      </c>
      <c r="H547" s="179">
        <f>0+táj.2!H547</f>
        <v>0</v>
      </c>
      <c r="I547" s="179">
        <f>0+táj.2!I547</f>
        <v>0</v>
      </c>
      <c r="J547" s="179">
        <f>0+táj.2!J547</f>
        <v>0</v>
      </c>
      <c r="K547" s="179">
        <f>0+táj.2!K547</f>
        <v>0</v>
      </c>
      <c r="L547" s="179">
        <f>0+táj.2!L547</f>
        <v>0</v>
      </c>
      <c r="M547" s="179">
        <f>22000+táj.2!M547</f>
        <v>22000</v>
      </c>
      <c r="N547" s="179">
        <f>0+táj.2!N547</f>
        <v>0</v>
      </c>
      <c r="O547" s="179">
        <f>0+táj.2!O547</f>
        <v>0</v>
      </c>
      <c r="P547" s="179">
        <f>0+táj.2!P547</f>
        <v>0</v>
      </c>
      <c r="Q547" s="148">
        <f t="shared" ref="Q547:Q557" si="40">SUM(G547:P547)</f>
        <v>22000</v>
      </c>
    </row>
    <row r="548" spans="1:17" ht="15.75" customHeight="1" x14ac:dyDescent="0.2">
      <c r="A548" s="174"/>
      <c r="B548" s="174"/>
      <c r="C548" s="753" t="s">
        <v>775</v>
      </c>
      <c r="D548" s="580" t="s">
        <v>1225</v>
      </c>
      <c r="E548" s="717"/>
      <c r="F548" s="582">
        <v>164934</v>
      </c>
      <c r="G548" s="179">
        <f>0+táj.2!G548</f>
        <v>0</v>
      </c>
      <c r="H548" s="179">
        <f>0+táj.2!H548</f>
        <v>0</v>
      </c>
      <c r="I548" s="179">
        <f>0+táj.2!I548</f>
        <v>0</v>
      </c>
      <c r="J548" s="179">
        <f>0+táj.2!J548</f>
        <v>0</v>
      </c>
      <c r="K548" s="179">
        <f>0+táj.2!K548</f>
        <v>0</v>
      </c>
      <c r="L548" s="179">
        <f>0+táj.2!L548</f>
        <v>0</v>
      </c>
      <c r="M548" s="179">
        <f>20000+táj.2!M548</f>
        <v>20000</v>
      </c>
      <c r="N548" s="179">
        <f>0+táj.2!N548</f>
        <v>0</v>
      </c>
      <c r="O548" s="179">
        <f>0+táj.2!O548</f>
        <v>0</v>
      </c>
      <c r="P548" s="179">
        <f>0+táj.2!P548</f>
        <v>0</v>
      </c>
      <c r="Q548" s="148">
        <f t="shared" si="40"/>
        <v>20000</v>
      </c>
    </row>
    <row r="549" spans="1:17" ht="15.75" customHeight="1" x14ac:dyDescent="0.2">
      <c r="A549" s="174"/>
      <c r="B549" s="174"/>
      <c r="C549" s="753" t="s">
        <v>817</v>
      </c>
      <c r="D549" s="701" t="s">
        <v>1226</v>
      </c>
      <c r="E549" s="717"/>
      <c r="F549" s="582">
        <v>164935</v>
      </c>
      <c r="G549" s="179">
        <f>0+táj.2!G549</f>
        <v>0</v>
      </c>
      <c r="H549" s="179">
        <f>0+táj.2!H549</f>
        <v>0</v>
      </c>
      <c r="I549" s="179">
        <f>0+táj.2!I549</f>
        <v>0</v>
      </c>
      <c r="J549" s="179">
        <f>0+táj.2!J549</f>
        <v>0</v>
      </c>
      <c r="K549" s="179">
        <f>0+táj.2!K549</f>
        <v>0</v>
      </c>
      <c r="L549" s="179">
        <f>0+táj.2!L549</f>
        <v>0</v>
      </c>
      <c r="M549" s="179">
        <f>500+táj.2!M549</f>
        <v>500</v>
      </c>
      <c r="N549" s="179">
        <f>0+táj.2!N549</f>
        <v>0</v>
      </c>
      <c r="O549" s="179">
        <f>0+táj.2!O549</f>
        <v>0</v>
      </c>
      <c r="P549" s="179">
        <f>0+táj.2!P549</f>
        <v>0</v>
      </c>
      <c r="Q549" s="148">
        <f t="shared" si="40"/>
        <v>500</v>
      </c>
    </row>
    <row r="550" spans="1:17" ht="16.5" customHeight="1" x14ac:dyDescent="0.2">
      <c r="A550" s="174"/>
      <c r="B550" s="174"/>
      <c r="C550" s="753" t="s">
        <v>818</v>
      </c>
      <c r="D550" s="691" t="s">
        <v>1227</v>
      </c>
      <c r="E550" s="587"/>
      <c r="F550" s="778">
        <v>164936</v>
      </c>
      <c r="G550" s="179">
        <f>0+táj.2!G550</f>
        <v>0</v>
      </c>
      <c r="H550" s="179">
        <f>0+táj.2!H550</f>
        <v>0</v>
      </c>
      <c r="I550" s="179">
        <f>0+táj.2!I550</f>
        <v>0</v>
      </c>
      <c r="J550" s="179">
        <f>0+táj.2!J550</f>
        <v>0</v>
      </c>
      <c r="K550" s="179">
        <f>0+táj.2!K550</f>
        <v>0</v>
      </c>
      <c r="L550" s="179">
        <f>0+táj.2!L550</f>
        <v>0</v>
      </c>
      <c r="M550" s="179">
        <f>1068+táj.2!M550</f>
        <v>449</v>
      </c>
      <c r="N550" s="179">
        <f>0+táj.2!N550</f>
        <v>0</v>
      </c>
      <c r="O550" s="179">
        <f>0+táj.2!O550</f>
        <v>0</v>
      </c>
      <c r="P550" s="179">
        <f>0+táj.2!P550</f>
        <v>0</v>
      </c>
      <c r="Q550" s="148">
        <f t="shared" si="40"/>
        <v>449</v>
      </c>
    </row>
    <row r="551" spans="1:17" ht="15" customHeight="1" x14ac:dyDescent="0.2">
      <c r="A551" s="174"/>
      <c r="B551" s="174"/>
      <c r="C551" s="753" t="s">
        <v>819</v>
      </c>
      <c r="D551" s="688" t="s">
        <v>1228</v>
      </c>
      <c r="E551" s="587"/>
      <c r="F551" s="587">
        <v>164928</v>
      </c>
      <c r="G551" s="179">
        <f>0+táj.2!G551</f>
        <v>0</v>
      </c>
      <c r="H551" s="179">
        <f>0+táj.2!H551</f>
        <v>0</v>
      </c>
      <c r="I551" s="179">
        <f>0+táj.2!I551</f>
        <v>0</v>
      </c>
      <c r="J551" s="179">
        <f>0+táj.2!J551</f>
        <v>0</v>
      </c>
      <c r="K551" s="179">
        <f>0+táj.2!K551</f>
        <v>0</v>
      </c>
      <c r="L551" s="179">
        <f>0+táj.2!L551</f>
        <v>0</v>
      </c>
      <c r="M551" s="179">
        <f>500+táj.2!M551</f>
        <v>0</v>
      </c>
      <c r="N551" s="179">
        <f>0+táj.2!N551</f>
        <v>0</v>
      </c>
      <c r="O551" s="179">
        <f>0+táj.2!O551</f>
        <v>0</v>
      </c>
      <c r="P551" s="179">
        <f>0+táj.2!P551</f>
        <v>0</v>
      </c>
      <c r="Q551" s="148">
        <f t="shared" si="40"/>
        <v>0</v>
      </c>
    </row>
    <row r="552" spans="1:17" ht="22.5" customHeight="1" x14ac:dyDescent="0.2">
      <c r="A552" s="824"/>
      <c r="B552" s="824"/>
      <c r="C552" s="850" t="s">
        <v>1319</v>
      </c>
      <c r="D552" s="840" t="s">
        <v>1320</v>
      </c>
      <c r="E552" s="841"/>
      <c r="F552" s="841">
        <v>164937</v>
      </c>
      <c r="G552" s="179">
        <f>0+táj.2!G552</f>
        <v>0</v>
      </c>
      <c r="H552" s="179">
        <f>0+táj.2!H552</f>
        <v>0</v>
      </c>
      <c r="I552" s="179">
        <f>0+táj.2!I552</f>
        <v>0</v>
      </c>
      <c r="J552" s="179">
        <f>0+táj.2!J552</f>
        <v>0</v>
      </c>
      <c r="K552" s="179">
        <f>0+táj.2!K552</f>
        <v>0</v>
      </c>
      <c r="L552" s="179">
        <f>0+táj.2!L552</f>
        <v>0</v>
      </c>
      <c r="M552" s="179">
        <f>0+táj.2!M552</f>
        <v>0</v>
      </c>
      <c r="N552" s="179">
        <f>500+táj.2!N552</f>
        <v>500</v>
      </c>
      <c r="O552" s="179">
        <f>0+táj.2!O552</f>
        <v>0</v>
      </c>
      <c r="P552" s="179">
        <f>0+táj.2!P552</f>
        <v>0</v>
      </c>
      <c r="Q552" s="148">
        <f t="shared" si="40"/>
        <v>500</v>
      </c>
    </row>
    <row r="553" spans="1:17" ht="15" customHeight="1" x14ac:dyDescent="0.2">
      <c r="A553" s="824"/>
      <c r="B553" s="824"/>
      <c r="C553" s="850" t="s">
        <v>1321</v>
      </c>
      <c r="D553" s="840" t="s">
        <v>1322</v>
      </c>
      <c r="E553" s="841"/>
      <c r="F553" s="841">
        <v>162976</v>
      </c>
      <c r="G553" s="179">
        <f>0+táj.2!G553</f>
        <v>0</v>
      </c>
      <c r="H553" s="179">
        <f>0+táj.2!H553</f>
        <v>0</v>
      </c>
      <c r="I553" s="179">
        <f>0+táj.2!I553</f>
        <v>0</v>
      </c>
      <c r="J553" s="179">
        <f>0+táj.2!J553</f>
        <v>0</v>
      </c>
      <c r="K553" s="179">
        <f>0+táj.2!K553</f>
        <v>0</v>
      </c>
      <c r="L553" s="179">
        <f>9064+táj.2!L553</f>
        <v>9064</v>
      </c>
      <c r="M553" s="179">
        <f>0+táj.2!M553</f>
        <v>0</v>
      </c>
      <c r="N553" s="179">
        <f>0+táj.2!N553</f>
        <v>0</v>
      </c>
      <c r="O553" s="179">
        <f>0+táj.2!O553</f>
        <v>0</v>
      </c>
      <c r="P553" s="179">
        <f>0+táj.2!P553</f>
        <v>0</v>
      </c>
      <c r="Q553" s="148">
        <f t="shared" si="40"/>
        <v>9064</v>
      </c>
    </row>
    <row r="554" spans="1:17" ht="15" customHeight="1" x14ac:dyDescent="0.2">
      <c r="A554" s="915"/>
      <c r="B554" s="915"/>
      <c r="C554" s="931" t="s">
        <v>1393</v>
      </c>
      <c r="D554" s="531" t="s">
        <v>1394</v>
      </c>
      <c r="E554" s="865"/>
      <c r="F554" s="865">
        <v>162977</v>
      </c>
      <c r="G554" s="179">
        <f>0+táj.2!G554</f>
        <v>0</v>
      </c>
      <c r="H554" s="179">
        <f>0+táj.2!H554</f>
        <v>0</v>
      </c>
      <c r="I554" s="179">
        <f>0+táj.2!I554</f>
        <v>0</v>
      </c>
      <c r="J554" s="179">
        <f>0+táj.2!J554</f>
        <v>0</v>
      </c>
      <c r="K554" s="179">
        <f>0+táj.2!K554</f>
        <v>0</v>
      </c>
      <c r="L554" s="179">
        <f>0+táj.2!L554</f>
        <v>503</v>
      </c>
      <c r="M554" s="179">
        <f>0+táj.2!M554</f>
        <v>0</v>
      </c>
      <c r="N554" s="179">
        <f>0+táj.2!N554</f>
        <v>0</v>
      </c>
      <c r="O554" s="179">
        <f>0+táj.2!O554</f>
        <v>0</v>
      </c>
      <c r="P554" s="179">
        <f>0+táj.2!P554</f>
        <v>0</v>
      </c>
      <c r="Q554" s="148">
        <f t="shared" si="40"/>
        <v>503</v>
      </c>
    </row>
    <row r="555" spans="1:17" ht="15" customHeight="1" x14ac:dyDescent="0.2">
      <c r="A555" s="915"/>
      <c r="B555" s="915"/>
      <c r="C555" s="932" t="s">
        <v>1395</v>
      </c>
      <c r="D555" s="866" t="s">
        <v>1396</v>
      </c>
      <c r="E555" s="865"/>
      <c r="F555" s="864">
        <v>162978</v>
      </c>
      <c r="G555" s="179">
        <f>0+táj.2!G555</f>
        <v>0</v>
      </c>
      <c r="H555" s="179">
        <f>0+táj.2!H555</f>
        <v>0</v>
      </c>
      <c r="I555" s="179">
        <f>0+táj.2!I555</f>
        <v>0</v>
      </c>
      <c r="J555" s="179">
        <f>0+táj.2!J555</f>
        <v>0</v>
      </c>
      <c r="K555" s="179">
        <f>0+táj.2!K555</f>
        <v>0</v>
      </c>
      <c r="L555" s="179">
        <f>0+táj.2!L555</f>
        <v>5000</v>
      </c>
      <c r="M555" s="179">
        <f>0+táj.2!M555</f>
        <v>0</v>
      </c>
      <c r="N555" s="179">
        <f>0+táj.2!N555</f>
        <v>0</v>
      </c>
      <c r="O555" s="179">
        <f>0+táj.2!O555</f>
        <v>0</v>
      </c>
      <c r="P555" s="179">
        <f>0+táj.2!P555</f>
        <v>0</v>
      </c>
      <c r="Q555" s="148">
        <f t="shared" si="40"/>
        <v>5000</v>
      </c>
    </row>
    <row r="556" spans="1:17" ht="17.25" customHeight="1" x14ac:dyDescent="0.2">
      <c r="A556" s="174"/>
      <c r="B556" s="174"/>
      <c r="C556" s="746"/>
      <c r="D556" s="694" t="s">
        <v>1145</v>
      </c>
      <c r="E556" s="587"/>
      <c r="F556" s="587"/>
      <c r="G556" s="179"/>
      <c r="H556" s="179"/>
      <c r="I556" s="179"/>
      <c r="J556" s="179"/>
      <c r="K556" s="179"/>
      <c r="L556" s="179"/>
      <c r="M556" s="179"/>
      <c r="N556" s="179"/>
      <c r="O556" s="179"/>
      <c r="P556" s="179"/>
      <c r="Q556" s="148"/>
    </row>
    <row r="557" spans="1:17" ht="22.5" customHeight="1" x14ac:dyDescent="0.2">
      <c r="A557" s="174"/>
      <c r="B557" s="174"/>
      <c r="C557" s="579" t="s">
        <v>777</v>
      </c>
      <c r="D557" s="754" t="s">
        <v>1229</v>
      </c>
      <c r="E557" s="587"/>
      <c r="F557" s="587">
        <v>174902</v>
      </c>
      <c r="G557" s="179">
        <f>0+táj.2!G557</f>
        <v>0</v>
      </c>
      <c r="H557" s="179">
        <f>0+táj.2!H557</f>
        <v>0</v>
      </c>
      <c r="I557" s="179">
        <f>0+táj.2!I557</f>
        <v>0</v>
      </c>
      <c r="J557" s="179">
        <f>0+táj.2!J557</f>
        <v>0</v>
      </c>
      <c r="K557" s="179">
        <f>0+táj.2!K557</f>
        <v>0</v>
      </c>
      <c r="L557" s="179">
        <f>0+táj.2!L557</f>
        <v>0</v>
      </c>
      <c r="M557" s="179">
        <f>61000+táj.2!M557</f>
        <v>76000</v>
      </c>
      <c r="N557" s="179">
        <f>0+táj.2!N557</f>
        <v>0</v>
      </c>
      <c r="O557" s="179">
        <f>0+táj.2!O557</f>
        <v>0</v>
      </c>
      <c r="P557" s="179">
        <f>0+táj.2!P557</f>
        <v>0</v>
      </c>
      <c r="Q557" s="148">
        <f t="shared" si="40"/>
        <v>76000</v>
      </c>
    </row>
    <row r="558" spans="1:17" ht="17.25" customHeight="1" x14ac:dyDescent="0.2">
      <c r="A558" s="174"/>
      <c r="B558" s="174"/>
      <c r="C558" s="579" t="s">
        <v>778</v>
      </c>
      <c r="D558" s="694" t="s">
        <v>821</v>
      </c>
      <c r="E558" s="587"/>
      <c r="F558" s="587">
        <v>162942</v>
      </c>
      <c r="G558" s="179">
        <f>0+táj.2!G558</f>
        <v>0</v>
      </c>
      <c r="H558" s="179">
        <f>0+táj.2!H558</f>
        <v>0</v>
      </c>
      <c r="I558" s="179">
        <f>0+táj.2!I558</f>
        <v>0</v>
      </c>
      <c r="J558" s="179">
        <f>0+táj.2!J558</f>
        <v>0</v>
      </c>
      <c r="K558" s="179">
        <f>0+táj.2!K558</f>
        <v>0</v>
      </c>
      <c r="L558" s="179">
        <f>0+táj.2!L558</f>
        <v>0</v>
      </c>
      <c r="M558" s="179">
        <f>16858+táj.2!M558</f>
        <v>20308</v>
      </c>
      <c r="N558" s="179">
        <f>0+táj.2!N558</f>
        <v>0</v>
      </c>
      <c r="O558" s="179">
        <f>0+táj.2!O558</f>
        <v>0</v>
      </c>
      <c r="P558" s="179">
        <f>0+táj.2!P558</f>
        <v>0</v>
      </c>
      <c r="Q558" s="148">
        <f>SUM(G558:P558)</f>
        <v>20308</v>
      </c>
    </row>
    <row r="559" spans="1:17" ht="15.75" customHeight="1" x14ac:dyDescent="0.2">
      <c r="A559" s="174"/>
      <c r="B559" s="174"/>
      <c r="C559" s="579" t="s">
        <v>1230</v>
      </c>
      <c r="D559" s="690" t="s">
        <v>822</v>
      </c>
      <c r="E559" s="587"/>
      <c r="F559" s="587">
        <v>162903</v>
      </c>
      <c r="G559" s="179">
        <f>0+táj.2!G559</f>
        <v>0</v>
      </c>
      <c r="H559" s="179">
        <f>0+táj.2!H559</f>
        <v>0</v>
      </c>
      <c r="I559" s="179">
        <f>88+táj.2!I559</f>
        <v>255</v>
      </c>
      <c r="J559" s="179">
        <f>0+táj.2!J559</f>
        <v>0</v>
      </c>
      <c r="K559" s="179">
        <f>0+táj.2!K559</f>
        <v>0</v>
      </c>
      <c r="L559" s="179">
        <f>2477+táj.2!L559</f>
        <v>2477</v>
      </c>
      <c r="M559" s="179">
        <f>18693+táj.2!M559</f>
        <v>18526</v>
      </c>
      <c r="N559" s="179">
        <f>0+táj.2!N559</f>
        <v>0</v>
      </c>
      <c r="O559" s="179">
        <f>0+táj.2!O559</f>
        <v>0</v>
      </c>
      <c r="P559" s="179">
        <f>0+táj.2!P559</f>
        <v>0</v>
      </c>
      <c r="Q559" s="148">
        <f>SUM(G559:P559)</f>
        <v>21258</v>
      </c>
    </row>
    <row r="560" spans="1:17" ht="16.5" customHeight="1" x14ac:dyDescent="0.2">
      <c r="A560" s="174"/>
      <c r="B560" s="174"/>
      <c r="C560" s="579" t="s">
        <v>780</v>
      </c>
      <c r="D560" s="690" t="s">
        <v>824</v>
      </c>
      <c r="E560" s="587"/>
      <c r="F560" s="587">
        <v>162958</v>
      </c>
      <c r="G560" s="179">
        <f>0+táj.2!G560</f>
        <v>0</v>
      </c>
      <c r="H560" s="179">
        <f>0+táj.2!H560</f>
        <v>0</v>
      </c>
      <c r="I560" s="179">
        <f>0+táj.2!I560</f>
        <v>0</v>
      </c>
      <c r="J560" s="179">
        <f>0+táj.2!J560</f>
        <v>0</v>
      </c>
      <c r="K560" s="179">
        <f>0+táj.2!K560</f>
        <v>0</v>
      </c>
      <c r="L560" s="179">
        <f>1302+táj.2!L560</f>
        <v>1302</v>
      </c>
      <c r="M560" s="179">
        <f>0+táj.2!M560</f>
        <v>0</v>
      </c>
      <c r="N560" s="179">
        <f>0+táj.2!N560</f>
        <v>0</v>
      </c>
      <c r="O560" s="179">
        <f>0+táj.2!O560</f>
        <v>0</v>
      </c>
      <c r="P560" s="179">
        <f>0+táj.2!P560</f>
        <v>0</v>
      </c>
      <c r="Q560" s="148">
        <f t="shared" ref="Q560:Q568" si="41">SUM(G560:P560)</f>
        <v>1302</v>
      </c>
    </row>
    <row r="561" spans="1:17" ht="16.5" customHeight="1" x14ac:dyDescent="0.2">
      <c r="A561" s="174"/>
      <c r="B561" s="174"/>
      <c r="C561" s="579" t="s">
        <v>781</v>
      </c>
      <c r="D561" s="690" t="s">
        <v>1231</v>
      </c>
      <c r="E561" s="587"/>
      <c r="F561" s="587">
        <v>162929</v>
      </c>
      <c r="G561" s="179">
        <f>0+táj.2!G561</f>
        <v>0</v>
      </c>
      <c r="H561" s="179">
        <f>0+táj.2!H561</f>
        <v>0</v>
      </c>
      <c r="I561" s="179">
        <f>0+táj.2!I561</f>
        <v>0</v>
      </c>
      <c r="J561" s="179">
        <f>0+táj.2!J561</f>
        <v>0</v>
      </c>
      <c r="K561" s="179">
        <f>0+táj.2!K561</f>
        <v>0</v>
      </c>
      <c r="L561" s="179">
        <f>500+táj.2!L561</f>
        <v>500</v>
      </c>
      <c r="M561" s="179">
        <f>500+táj.2!M561</f>
        <v>500</v>
      </c>
      <c r="N561" s="179">
        <f>0+táj.2!N561</f>
        <v>0</v>
      </c>
      <c r="O561" s="179">
        <f>0+táj.2!O561</f>
        <v>0</v>
      </c>
      <c r="P561" s="179">
        <f>0+táj.2!P561</f>
        <v>0</v>
      </c>
      <c r="Q561" s="148">
        <f t="shared" si="41"/>
        <v>1000</v>
      </c>
    </row>
    <row r="562" spans="1:17" ht="18" customHeight="1" x14ac:dyDescent="0.2">
      <c r="A562" s="174"/>
      <c r="B562" s="174"/>
      <c r="C562" s="579" t="s">
        <v>782</v>
      </c>
      <c r="D562" s="688" t="s">
        <v>820</v>
      </c>
      <c r="E562" s="587"/>
      <c r="F562" s="587">
        <v>164929</v>
      </c>
      <c r="G562" s="179">
        <f>0+táj.2!G562</f>
        <v>0</v>
      </c>
      <c r="H562" s="179">
        <f>0+táj.2!H562</f>
        <v>0</v>
      </c>
      <c r="I562" s="179">
        <f>0+táj.2!I562</f>
        <v>0</v>
      </c>
      <c r="J562" s="179">
        <f>0+táj.2!J562</f>
        <v>0</v>
      </c>
      <c r="K562" s="179">
        <f>0+táj.2!K562</f>
        <v>0</v>
      </c>
      <c r="L562" s="179">
        <f>0+táj.2!L562</f>
        <v>0</v>
      </c>
      <c r="M562" s="179">
        <f>2500+táj.2!M562</f>
        <v>2500</v>
      </c>
      <c r="N562" s="179">
        <f>0+táj.2!N562</f>
        <v>0</v>
      </c>
      <c r="O562" s="179">
        <f>0+táj.2!O562</f>
        <v>0</v>
      </c>
      <c r="P562" s="179">
        <f>0+táj.2!P562</f>
        <v>0</v>
      </c>
      <c r="Q562" s="148">
        <f t="shared" si="41"/>
        <v>2500</v>
      </c>
    </row>
    <row r="563" spans="1:17" ht="23.25" customHeight="1" x14ac:dyDescent="0.2">
      <c r="A563" s="174"/>
      <c r="B563" s="174"/>
      <c r="C563" s="579" t="s">
        <v>783</v>
      </c>
      <c r="D563" s="688" t="s">
        <v>1232</v>
      </c>
      <c r="E563" s="587"/>
      <c r="F563" s="587">
        <v>162967</v>
      </c>
      <c r="G563" s="179">
        <f>0+táj.2!G563</f>
        <v>0</v>
      </c>
      <c r="H563" s="179">
        <f>0+táj.2!H563</f>
        <v>0</v>
      </c>
      <c r="I563" s="179">
        <f>0+táj.2!I563</f>
        <v>0</v>
      </c>
      <c r="J563" s="179">
        <f>0+táj.2!J563</f>
        <v>0</v>
      </c>
      <c r="K563" s="179">
        <f>0+táj.2!K563</f>
        <v>0</v>
      </c>
      <c r="L563" s="179">
        <f>2646+táj.2!L563</f>
        <v>2646</v>
      </c>
      <c r="M563" s="179">
        <f>0+táj.2!M563</f>
        <v>0</v>
      </c>
      <c r="N563" s="179">
        <f>0+táj.2!N563</f>
        <v>0</v>
      </c>
      <c r="O563" s="179">
        <f>0+táj.2!O563</f>
        <v>0</v>
      </c>
      <c r="P563" s="179">
        <f>0+táj.2!P563</f>
        <v>0</v>
      </c>
      <c r="Q563" s="148">
        <f t="shared" si="41"/>
        <v>2646</v>
      </c>
    </row>
    <row r="564" spans="1:17" ht="18.75" customHeight="1" x14ac:dyDescent="0.2">
      <c r="A564" s="174"/>
      <c r="B564" s="174"/>
      <c r="C564" s="579" t="s">
        <v>823</v>
      </c>
      <c r="D564" s="688" t="s">
        <v>1233</v>
      </c>
      <c r="E564" s="587"/>
      <c r="F564" s="587">
        <v>164933</v>
      </c>
      <c r="G564" s="179">
        <f>0+táj.2!G564</f>
        <v>0</v>
      </c>
      <c r="H564" s="179">
        <f>0+táj.2!H564</f>
        <v>0</v>
      </c>
      <c r="I564" s="179">
        <f>0+táj.2!I564</f>
        <v>0</v>
      </c>
      <c r="J564" s="179">
        <f>0+táj.2!J564</f>
        <v>0</v>
      </c>
      <c r="K564" s="179">
        <f>0+táj.2!K564</f>
        <v>0</v>
      </c>
      <c r="L564" s="179">
        <f>0+táj.2!L564</f>
        <v>0</v>
      </c>
      <c r="M564" s="179">
        <f>18925+táj.2!M564</f>
        <v>18925</v>
      </c>
      <c r="N564" s="179">
        <f>0+táj.2!N564</f>
        <v>0</v>
      </c>
      <c r="O564" s="179">
        <f>0+táj.2!O564</f>
        <v>0</v>
      </c>
      <c r="P564" s="179">
        <f>0+táj.2!P564</f>
        <v>0</v>
      </c>
      <c r="Q564" s="148">
        <f t="shared" si="41"/>
        <v>18925</v>
      </c>
    </row>
    <row r="565" spans="1:17" ht="16.5" customHeight="1" x14ac:dyDescent="0.2">
      <c r="A565" s="174"/>
      <c r="B565" s="174"/>
      <c r="C565" s="194" t="s">
        <v>25</v>
      </c>
      <c r="D565" s="276" t="s">
        <v>826</v>
      </c>
      <c r="E565" s="313"/>
      <c r="F565" s="207"/>
      <c r="G565" s="179"/>
      <c r="H565" s="179"/>
      <c r="I565" s="179"/>
      <c r="J565" s="179"/>
      <c r="K565" s="179"/>
      <c r="L565" s="179"/>
      <c r="M565" s="179"/>
      <c r="N565" s="179"/>
      <c r="O565" s="179"/>
      <c r="P565" s="179"/>
      <c r="Q565" s="148"/>
    </row>
    <row r="566" spans="1:17" ht="16.5" customHeight="1" x14ac:dyDescent="0.2">
      <c r="A566" s="174"/>
      <c r="B566" s="174"/>
      <c r="C566" s="578" t="s">
        <v>827</v>
      </c>
      <c r="D566" s="281" t="s">
        <v>828</v>
      </c>
      <c r="E566" s="313"/>
      <c r="F566" s="207"/>
      <c r="G566" s="179"/>
      <c r="H566" s="179"/>
      <c r="I566" s="179"/>
      <c r="J566" s="179"/>
      <c r="K566" s="179"/>
      <c r="L566" s="179"/>
      <c r="M566" s="179"/>
      <c r="N566" s="179"/>
      <c r="O566" s="179"/>
      <c r="P566" s="179"/>
      <c r="Q566" s="148"/>
    </row>
    <row r="567" spans="1:17" ht="36.75" customHeight="1" x14ac:dyDescent="0.2">
      <c r="A567" s="578"/>
      <c r="B567" s="578"/>
      <c r="C567" s="174" t="s">
        <v>1234</v>
      </c>
      <c r="D567" s="756" t="s">
        <v>1235</v>
      </c>
      <c r="E567" s="503"/>
      <c r="F567" s="503">
        <v>163652</v>
      </c>
      <c r="G567" s="179">
        <f>3000+táj.2!G567</f>
        <v>3000</v>
      </c>
      <c r="H567" s="179">
        <f>465+táj.2!H567</f>
        <v>465</v>
      </c>
      <c r="I567" s="179">
        <f>23054+táj.2!I567</f>
        <v>23054</v>
      </c>
      <c r="J567" s="179">
        <f>0+táj.2!J567</f>
        <v>0</v>
      </c>
      <c r="K567" s="179">
        <f>0+táj.2!K567</f>
        <v>0</v>
      </c>
      <c r="L567" s="179">
        <f>242520+táj.2!L567</f>
        <v>242520</v>
      </c>
      <c r="M567" s="179">
        <f>0+táj.2!M567</f>
        <v>0</v>
      </c>
      <c r="N567" s="179">
        <f>0+táj.2!N567</f>
        <v>0</v>
      </c>
      <c r="O567" s="179">
        <f>0+táj.2!O567</f>
        <v>0</v>
      </c>
      <c r="P567" s="179">
        <f>0+táj.2!P567</f>
        <v>0</v>
      </c>
      <c r="Q567" s="148">
        <f t="shared" si="41"/>
        <v>269039</v>
      </c>
    </row>
    <row r="568" spans="1:17" ht="36.75" customHeight="1" x14ac:dyDescent="0.2">
      <c r="A568" s="578"/>
      <c r="B568" s="578"/>
      <c r="C568" s="174" t="s">
        <v>1236</v>
      </c>
      <c r="D568" s="757" t="s">
        <v>1237</v>
      </c>
      <c r="E568" s="503"/>
      <c r="F568" s="503">
        <v>163653</v>
      </c>
      <c r="G568" s="179">
        <f>6652+táj.2!G568</f>
        <v>6652</v>
      </c>
      <c r="H568" s="179">
        <f>1031+táj.2!H568</f>
        <v>1031</v>
      </c>
      <c r="I568" s="179">
        <f>23896+táj.2!I568</f>
        <v>23896</v>
      </c>
      <c r="J568" s="179">
        <f>0+táj.2!J568</f>
        <v>0</v>
      </c>
      <c r="K568" s="179">
        <f>0+táj.2!K568</f>
        <v>0</v>
      </c>
      <c r="L568" s="179">
        <f>736710+táj.2!L568</f>
        <v>736710</v>
      </c>
      <c r="M568" s="179">
        <f>0+táj.2!M568</f>
        <v>0</v>
      </c>
      <c r="N568" s="179">
        <f>0+táj.2!N568</f>
        <v>0</v>
      </c>
      <c r="O568" s="179">
        <f>0+táj.2!O568</f>
        <v>0</v>
      </c>
      <c r="P568" s="179">
        <f>0+táj.2!P568</f>
        <v>0</v>
      </c>
      <c r="Q568" s="148">
        <f t="shared" si="41"/>
        <v>768289</v>
      </c>
    </row>
    <row r="569" spans="1:17" ht="16.5" customHeight="1" x14ac:dyDescent="0.2">
      <c r="A569" s="174"/>
      <c r="B569" s="174"/>
      <c r="C569" s="174"/>
      <c r="D569" s="758" t="s">
        <v>1145</v>
      </c>
      <c r="E569" s="503"/>
      <c r="F569" s="503"/>
      <c r="G569" s="179"/>
      <c r="H569" s="179"/>
      <c r="I569" s="179"/>
      <c r="J569" s="179"/>
      <c r="K569" s="179"/>
      <c r="L569" s="179"/>
      <c r="M569" s="179"/>
      <c r="N569" s="179"/>
      <c r="O569" s="179"/>
      <c r="P569" s="179"/>
      <c r="Q569" s="148"/>
    </row>
    <row r="570" spans="1:17" ht="27.75" customHeight="1" x14ac:dyDescent="0.2">
      <c r="A570" s="174"/>
      <c r="B570" s="174"/>
      <c r="C570" s="272" t="s">
        <v>829</v>
      </c>
      <c r="D570" s="759" t="s">
        <v>177</v>
      </c>
      <c r="E570" s="503"/>
      <c r="F570" s="503">
        <v>163603</v>
      </c>
      <c r="G570" s="179">
        <f>0+táj.2!G570</f>
        <v>0</v>
      </c>
      <c r="H570" s="179">
        <f>0+táj.2!H570</f>
        <v>0</v>
      </c>
      <c r="I570" s="179">
        <f>0+táj.2!I570</f>
        <v>0</v>
      </c>
      <c r="J570" s="179">
        <f>0+táj.2!J570</f>
        <v>0</v>
      </c>
      <c r="K570" s="179">
        <f>0+táj.2!K570</f>
        <v>0</v>
      </c>
      <c r="L570" s="179">
        <f>0+táj.2!L570</f>
        <v>0</v>
      </c>
      <c r="M570" s="179">
        <f>0+táj.2!M570</f>
        <v>0</v>
      </c>
      <c r="N570" s="179">
        <f>0+táj.2!N570</f>
        <v>0</v>
      </c>
      <c r="O570" s="179">
        <f>0+táj.2!O570</f>
        <v>0</v>
      </c>
      <c r="P570" s="179">
        <f>0+táj.2!P570</f>
        <v>0</v>
      </c>
      <c r="Q570" s="148">
        <f t="shared" ref="Q570:Q596" si="42">SUM(G570:P570)</f>
        <v>0</v>
      </c>
    </row>
    <row r="571" spans="1:17" ht="26.25" customHeight="1" x14ac:dyDescent="0.2">
      <c r="A571" s="174"/>
      <c r="B571" s="174"/>
      <c r="C571" s="526" t="s">
        <v>830</v>
      </c>
      <c r="D571" s="760" t="s">
        <v>176</v>
      </c>
      <c r="E571" s="503"/>
      <c r="F571" s="503">
        <v>163604</v>
      </c>
      <c r="G571" s="179">
        <f>0+táj.2!G571</f>
        <v>0</v>
      </c>
      <c r="H571" s="179">
        <f>0+táj.2!H571</f>
        <v>0</v>
      </c>
      <c r="I571" s="179">
        <f>0+táj.2!I571</f>
        <v>0</v>
      </c>
      <c r="J571" s="179">
        <f>0+táj.2!J571</f>
        <v>0</v>
      </c>
      <c r="K571" s="179">
        <f>0+táj.2!K571</f>
        <v>0</v>
      </c>
      <c r="L571" s="179">
        <f>0+táj.2!L571</f>
        <v>0</v>
      </c>
      <c r="M571" s="179">
        <f>0+táj.2!M571</f>
        <v>0</v>
      </c>
      <c r="N571" s="179">
        <f>0+táj.2!N571</f>
        <v>0</v>
      </c>
      <c r="O571" s="179">
        <f>0+táj.2!O571</f>
        <v>0</v>
      </c>
      <c r="P571" s="179">
        <f>0+táj.2!P571</f>
        <v>0</v>
      </c>
      <c r="Q571" s="148">
        <f t="shared" si="42"/>
        <v>0</v>
      </c>
    </row>
    <row r="572" spans="1:17" ht="27.75" customHeight="1" x14ac:dyDescent="0.2">
      <c r="A572" s="174"/>
      <c r="B572" s="174"/>
      <c r="C572" s="526" t="s">
        <v>831</v>
      </c>
      <c r="D572" s="760" t="s">
        <v>178</v>
      </c>
      <c r="E572" s="503"/>
      <c r="F572" s="503">
        <v>163606</v>
      </c>
      <c r="G572" s="179">
        <f>400+táj.2!G572</f>
        <v>400</v>
      </c>
      <c r="H572" s="179">
        <f>0+táj.2!H572</f>
        <v>52</v>
      </c>
      <c r="I572" s="179">
        <f>4801+táj.2!I572</f>
        <v>4801</v>
      </c>
      <c r="J572" s="179">
        <f>0+táj.2!J572</f>
        <v>0</v>
      </c>
      <c r="K572" s="179">
        <f>0+táj.2!K572</f>
        <v>0</v>
      </c>
      <c r="L572" s="179">
        <f>56363+táj.2!L572</f>
        <v>56363</v>
      </c>
      <c r="M572" s="179">
        <f>0+táj.2!M572</f>
        <v>0</v>
      </c>
      <c r="N572" s="179">
        <f>0+táj.2!N572</f>
        <v>0</v>
      </c>
      <c r="O572" s="179">
        <f>0+táj.2!O572</f>
        <v>0</v>
      </c>
      <c r="P572" s="179">
        <f>0+táj.2!P572</f>
        <v>0</v>
      </c>
      <c r="Q572" s="148">
        <f t="shared" si="42"/>
        <v>61616</v>
      </c>
    </row>
    <row r="573" spans="1:17" ht="46.5" customHeight="1" x14ac:dyDescent="0.2">
      <c r="A573" s="174"/>
      <c r="B573" s="174"/>
      <c r="C573" s="526" t="s">
        <v>832</v>
      </c>
      <c r="D573" s="759" t="s">
        <v>182</v>
      </c>
      <c r="E573" s="503"/>
      <c r="F573" s="503">
        <v>163607</v>
      </c>
      <c r="G573" s="179">
        <f>0+táj.2!G573</f>
        <v>0</v>
      </c>
      <c r="H573" s="179">
        <f>0+táj.2!H573</f>
        <v>0</v>
      </c>
      <c r="I573" s="179">
        <f>96904+táj.2!I573</f>
        <v>135589</v>
      </c>
      <c r="J573" s="179">
        <f>0+táj.2!J573</f>
        <v>0</v>
      </c>
      <c r="K573" s="179">
        <f>0+táj.2!K573</f>
        <v>0</v>
      </c>
      <c r="L573" s="179">
        <f>848062+táj.2!L573</f>
        <v>809377</v>
      </c>
      <c r="M573" s="179">
        <f>0+táj.2!M573</f>
        <v>0</v>
      </c>
      <c r="N573" s="179">
        <f>0+táj.2!N573</f>
        <v>0</v>
      </c>
      <c r="O573" s="179">
        <f>0+táj.2!O573</f>
        <v>0</v>
      </c>
      <c r="P573" s="179">
        <f>0+táj.2!P573</f>
        <v>0</v>
      </c>
      <c r="Q573" s="148">
        <f t="shared" si="42"/>
        <v>944966</v>
      </c>
    </row>
    <row r="574" spans="1:17" ht="26.25" customHeight="1" x14ac:dyDescent="0.2">
      <c r="A574" s="174"/>
      <c r="B574" s="174"/>
      <c r="C574" s="526" t="s">
        <v>833</v>
      </c>
      <c r="D574" s="759" t="s">
        <v>173</v>
      </c>
      <c r="E574" s="503"/>
      <c r="F574" s="503">
        <v>163608</v>
      </c>
      <c r="G574" s="179">
        <f>5948+táj.2!G574</f>
        <v>5948</v>
      </c>
      <c r="H574" s="179">
        <f>1556+táj.2!H574</f>
        <v>1556</v>
      </c>
      <c r="I574" s="179">
        <f>120659+táj.2!I574</f>
        <v>120659</v>
      </c>
      <c r="J574" s="179">
        <f>0+táj.2!J574</f>
        <v>0</v>
      </c>
      <c r="K574" s="179">
        <f>0+táj.2!K574</f>
        <v>0</v>
      </c>
      <c r="L574" s="179">
        <f>343671+táj.2!L574</f>
        <v>343671</v>
      </c>
      <c r="M574" s="179">
        <f>0+táj.2!M574</f>
        <v>0</v>
      </c>
      <c r="N574" s="179">
        <f>0+táj.2!N574</f>
        <v>0</v>
      </c>
      <c r="O574" s="179">
        <f>0+táj.2!O574</f>
        <v>0</v>
      </c>
      <c r="P574" s="179">
        <f>0+táj.2!P574</f>
        <v>0</v>
      </c>
      <c r="Q574" s="148">
        <f t="shared" si="42"/>
        <v>471834</v>
      </c>
    </row>
    <row r="575" spans="1:17" ht="26.25" customHeight="1" x14ac:dyDescent="0.2">
      <c r="A575" s="174"/>
      <c r="B575" s="174"/>
      <c r="C575" s="526" t="s">
        <v>834</v>
      </c>
      <c r="D575" s="759" t="s">
        <v>185</v>
      </c>
      <c r="E575" s="503"/>
      <c r="F575" s="503">
        <v>163609</v>
      </c>
      <c r="G575" s="179">
        <f>0+táj.2!G575</f>
        <v>0</v>
      </c>
      <c r="H575" s="179">
        <f>0+táj.2!H575</f>
        <v>0</v>
      </c>
      <c r="I575" s="179">
        <f>41026+táj.2!I575</f>
        <v>41979</v>
      </c>
      <c r="J575" s="179">
        <f>0+táj.2!J575</f>
        <v>0</v>
      </c>
      <c r="K575" s="179">
        <f>0+táj.2!K575</f>
        <v>0</v>
      </c>
      <c r="L575" s="179">
        <f>118542+táj.2!L575</f>
        <v>118542</v>
      </c>
      <c r="M575" s="179">
        <f>0+táj.2!M575</f>
        <v>0</v>
      </c>
      <c r="N575" s="179">
        <f>0+táj.2!N575</f>
        <v>0</v>
      </c>
      <c r="O575" s="179">
        <f>0+táj.2!O575</f>
        <v>0</v>
      </c>
      <c r="P575" s="179">
        <f>0+táj.2!P575</f>
        <v>0</v>
      </c>
      <c r="Q575" s="148">
        <f t="shared" si="42"/>
        <v>160521</v>
      </c>
    </row>
    <row r="576" spans="1:17" ht="36.75" customHeight="1" x14ac:dyDescent="0.2">
      <c r="A576" s="174"/>
      <c r="B576" s="174"/>
      <c r="C576" s="526" t="s">
        <v>835</v>
      </c>
      <c r="D576" s="761" t="s">
        <v>179</v>
      </c>
      <c r="E576" s="503"/>
      <c r="F576" s="503">
        <v>163611</v>
      </c>
      <c r="G576" s="179">
        <f>2000+táj.2!G576</f>
        <v>2000</v>
      </c>
      <c r="H576" s="179">
        <f>540+táj.2!H576</f>
        <v>540</v>
      </c>
      <c r="I576" s="179">
        <f>8458+táj.2!I576</f>
        <v>8458</v>
      </c>
      <c r="J576" s="179">
        <f>0+táj.2!J576</f>
        <v>0</v>
      </c>
      <c r="K576" s="179">
        <f>0+táj.2!K576</f>
        <v>0</v>
      </c>
      <c r="L576" s="179">
        <f>150454+táj.2!L576</f>
        <v>158054</v>
      </c>
      <c r="M576" s="179">
        <f>0+táj.2!M576</f>
        <v>0</v>
      </c>
      <c r="N576" s="179">
        <f>0+táj.2!N576</f>
        <v>0</v>
      </c>
      <c r="O576" s="179">
        <f>0+táj.2!O576</f>
        <v>0</v>
      </c>
      <c r="P576" s="179">
        <f>0+táj.2!P576</f>
        <v>0</v>
      </c>
      <c r="Q576" s="148">
        <f t="shared" si="42"/>
        <v>169052</v>
      </c>
    </row>
    <row r="577" spans="1:17" ht="24" customHeight="1" x14ac:dyDescent="0.2">
      <c r="A577" s="174"/>
      <c r="B577" s="174"/>
      <c r="C577" s="526" t="s">
        <v>836</v>
      </c>
      <c r="D577" s="762" t="s">
        <v>135</v>
      </c>
      <c r="E577" s="503"/>
      <c r="F577" s="503">
        <v>163612</v>
      </c>
      <c r="G577" s="179">
        <f>0+táj.2!G577</f>
        <v>0</v>
      </c>
      <c r="H577" s="179">
        <f>0+táj.2!H577</f>
        <v>0</v>
      </c>
      <c r="I577" s="179">
        <f>15662+táj.2!I577</f>
        <v>15662</v>
      </c>
      <c r="J577" s="179">
        <f>0+táj.2!J577</f>
        <v>0</v>
      </c>
      <c r="K577" s="179">
        <f>0+táj.2!K577</f>
        <v>0</v>
      </c>
      <c r="L577" s="179">
        <f>62596+táj.2!L577</f>
        <v>62596</v>
      </c>
      <c r="M577" s="179">
        <f>0+táj.2!M577</f>
        <v>0</v>
      </c>
      <c r="N577" s="179">
        <f>11735+táj.2!N577</f>
        <v>11735</v>
      </c>
      <c r="O577" s="179">
        <f>0+táj.2!O577</f>
        <v>0</v>
      </c>
      <c r="P577" s="179">
        <f>0+táj.2!P577</f>
        <v>0</v>
      </c>
      <c r="Q577" s="148">
        <f t="shared" si="42"/>
        <v>89993</v>
      </c>
    </row>
    <row r="578" spans="1:17" ht="24" customHeight="1" x14ac:dyDescent="0.2">
      <c r="A578" s="174"/>
      <c r="B578" s="174"/>
      <c r="C578" s="526" t="s">
        <v>837</v>
      </c>
      <c r="D578" s="762" t="s">
        <v>1240</v>
      </c>
      <c r="E578" s="503"/>
      <c r="F578" s="503">
        <v>163613</v>
      </c>
      <c r="G578" s="179">
        <f>0+táj.2!G578</f>
        <v>0</v>
      </c>
      <c r="H578" s="179">
        <f>0+táj.2!H578</f>
        <v>0</v>
      </c>
      <c r="I578" s="179">
        <f>79869+táj.2!I578</f>
        <v>79869</v>
      </c>
      <c r="J578" s="179">
        <f>0+táj.2!J578</f>
        <v>0</v>
      </c>
      <c r="K578" s="179">
        <f>0+táj.2!K578</f>
        <v>0</v>
      </c>
      <c r="L578" s="179">
        <f>197938+táj.2!L578</f>
        <v>197938</v>
      </c>
      <c r="M578" s="179">
        <f>0+táj.2!M578</f>
        <v>0</v>
      </c>
      <c r="N578" s="179">
        <f>0+táj.2!N578</f>
        <v>0</v>
      </c>
      <c r="O578" s="179">
        <f>0+táj.2!O578</f>
        <v>0</v>
      </c>
      <c r="P578" s="179">
        <f>0+táj.2!P578</f>
        <v>0</v>
      </c>
      <c r="Q578" s="148">
        <f t="shared" si="42"/>
        <v>277807</v>
      </c>
    </row>
    <row r="579" spans="1:17" ht="36" customHeight="1" x14ac:dyDescent="0.2">
      <c r="A579" s="559"/>
      <c r="B579" s="559"/>
      <c r="C579" s="526" t="s">
        <v>838</v>
      </c>
      <c r="D579" s="762" t="s">
        <v>174</v>
      </c>
      <c r="E579" s="503"/>
      <c r="F579" s="503">
        <v>163614</v>
      </c>
      <c r="G579" s="179">
        <f>1000+táj.2!G579</f>
        <v>1000</v>
      </c>
      <c r="H579" s="179">
        <f>270+táj.2!H579</f>
        <v>270</v>
      </c>
      <c r="I579" s="179">
        <f>8340+táj.2!I579</f>
        <v>8340</v>
      </c>
      <c r="J579" s="179">
        <f>0+táj.2!J579</f>
        <v>0</v>
      </c>
      <c r="K579" s="179">
        <f>0+táj.2!K579</f>
        <v>0</v>
      </c>
      <c r="L579" s="179">
        <f>78838+táj.2!L579</f>
        <v>78838</v>
      </c>
      <c r="M579" s="179">
        <f>0+táj.2!M579</f>
        <v>0</v>
      </c>
      <c r="N579" s="179">
        <f>0+táj.2!N579</f>
        <v>0</v>
      </c>
      <c r="O579" s="179">
        <f>0+táj.2!O579</f>
        <v>0</v>
      </c>
      <c r="P579" s="179">
        <f>0+táj.2!P579</f>
        <v>0</v>
      </c>
      <c r="Q579" s="148">
        <f t="shared" si="42"/>
        <v>88448</v>
      </c>
    </row>
    <row r="580" spans="1:17" ht="36.75" customHeight="1" x14ac:dyDescent="0.2">
      <c r="A580" s="174"/>
      <c r="B580" s="174"/>
      <c r="C580" s="526" t="s">
        <v>840</v>
      </c>
      <c r="D580" s="762" t="s">
        <v>184</v>
      </c>
      <c r="E580" s="503"/>
      <c r="F580" s="503">
        <v>163615</v>
      </c>
      <c r="G580" s="179">
        <f>0+táj.2!G580</f>
        <v>0</v>
      </c>
      <c r="H580" s="179">
        <f>0+táj.2!H580</f>
        <v>0</v>
      </c>
      <c r="I580" s="179">
        <f>8687+táj.2!I580</f>
        <v>8687</v>
      </c>
      <c r="J580" s="179">
        <f>0+táj.2!J580</f>
        <v>0</v>
      </c>
      <c r="K580" s="179">
        <f>0+táj.2!K580</f>
        <v>0</v>
      </c>
      <c r="L580" s="179">
        <f>0+táj.2!L580</f>
        <v>0</v>
      </c>
      <c r="M580" s="179">
        <f>0+táj.2!M580</f>
        <v>0</v>
      </c>
      <c r="N580" s="179">
        <f>0+táj.2!N580</f>
        <v>0</v>
      </c>
      <c r="O580" s="179">
        <f>0+táj.2!O580</f>
        <v>0</v>
      </c>
      <c r="P580" s="179">
        <f>0+táj.2!P580</f>
        <v>0</v>
      </c>
      <c r="Q580" s="148">
        <f t="shared" si="42"/>
        <v>8687</v>
      </c>
    </row>
    <row r="581" spans="1:17" ht="28.5" customHeight="1" x14ac:dyDescent="0.2">
      <c r="A581" s="174"/>
      <c r="B581" s="174"/>
      <c r="C581" s="526" t="s">
        <v>841</v>
      </c>
      <c r="D581" s="762" t="s">
        <v>180</v>
      </c>
      <c r="E581" s="503"/>
      <c r="F581" s="503">
        <v>163616</v>
      </c>
      <c r="G581" s="179">
        <f>2000+táj.2!G581</f>
        <v>2000</v>
      </c>
      <c r="H581" s="179">
        <f>540+táj.2!H581</f>
        <v>540</v>
      </c>
      <c r="I581" s="179">
        <f>14934+táj.2!I581</f>
        <v>14934</v>
      </c>
      <c r="J581" s="179">
        <f>0+táj.2!J581</f>
        <v>0</v>
      </c>
      <c r="K581" s="179">
        <f>0+táj.2!K581</f>
        <v>0</v>
      </c>
      <c r="L581" s="179">
        <f>13825+táj.2!L581</f>
        <v>13825</v>
      </c>
      <c r="M581" s="179">
        <f>0+táj.2!M581</f>
        <v>0</v>
      </c>
      <c r="N581" s="179">
        <f>0+táj.2!N581</f>
        <v>0</v>
      </c>
      <c r="O581" s="179">
        <f>0+táj.2!O581</f>
        <v>0</v>
      </c>
      <c r="P581" s="179">
        <f>0+táj.2!P581</f>
        <v>0</v>
      </c>
      <c r="Q581" s="148">
        <f t="shared" si="42"/>
        <v>31299</v>
      </c>
    </row>
    <row r="582" spans="1:17" ht="36" customHeight="1" x14ac:dyDescent="0.2">
      <c r="A582" s="174"/>
      <c r="B582" s="174"/>
      <c r="C582" s="526" t="s">
        <v>842</v>
      </c>
      <c r="D582" s="762" t="s">
        <v>181</v>
      </c>
      <c r="E582" s="503"/>
      <c r="F582" s="503">
        <v>163617</v>
      </c>
      <c r="G582" s="179">
        <f>0+táj.2!G582</f>
        <v>0</v>
      </c>
      <c r="H582" s="179">
        <f>0+táj.2!H582</f>
        <v>0</v>
      </c>
      <c r="I582" s="179">
        <f>0+táj.2!I582</f>
        <v>0</v>
      </c>
      <c r="J582" s="179">
        <f>0+táj.2!J582</f>
        <v>0</v>
      </c>
      <c r="K582" s="179">
        <f>0+táj.2!K582</f>
        <v>0</v>
      </c>
      <c r="L582" s="179">
        <f>0+táj.2!L582</f>
        <v>0</v>
      </c>
      <c r="M582" s="179">
        <f>0+táj.2!M582</f>
        <v>0</v>
      </c>
      <c r="N582" s="179">
        <f>0+táj.2!N582</f>
        <v>0</v>
      </c>
      <c r="O582" s="179">
        <f>0+táj.2!O582</f>
        <v>0</v>
      </c>
      <c r="P582" s="179">
        <f>0+táj.2!P582</f>
        <v>0</v>
      </c>
      <c r="Q582" s="148">
        <f t="shared" si="42"/>
        <v>0</v>
      </c>
    </row>
    <row r="583" spans="1:17" ht="25.5" customHeight="1" x14ac:dyDescent="0.2">
      <c r="A583" s="174"/>
      <c r="B583" s="174"/>
      <c r="C583" s="526" t="s">
        <v>843</v>
      </c>
      <c r="D583" s="762" t="s">
        <v>175</v>
      </c>
      <c r="E583" s="503"/>
      <c r="F583" s="503">
        <v>163623</v>
      </c>
      <c r="G583" s="179">
        <f>2431+táj.2!G583</f>
        <v>2431</v>
      </c>
      <c r="H583" s="179">
        <f>477+táj.2!H583</f>
        <v>477</v>
      </c>
      <c r="I583" s="179">
        <f>0+táj.2!I583</f>
        <v>0</v>
      </c>
      <c r="J583" s="179">
        <f>0+táj.2!J583</f>
        <v>0</v>
      </c>
      <c r="K583" s="179">
        <f>0+táj.2!K583</f>
        <v>0</v>
      </c>
      <c r="L583" s="179">
        <f>0+táj.2!L583</f>
        <v>0</v>
      </c>
      <c r="M583" s="179">
        <f>0+táj.2!M583</f>
        <v>0</v>
      </c>
      <c r="N583" s="179">
        <f>0+táj.2!N583</f>
        <v>0</v>
      </c>
      <c r="O583" s="179">
        <f>0+táj.2!O583</f>
        <v>0</v>
      </c>
      <c r="P583" s="179">
        <f>0+táj.2!P583</f>
        <v>0</v>
      </c>
      <c r="Q583" s="148">
        <f t="shared" si="42"/>
        <v>2908</v>
      </c>
    </row>
    <row r="584" spans="1:17" ht="24" customHeight="1" x14ac:dyDescent="0.2">
      <c r="A584" s="174"/>
      <c r="B584" s="174"/>
      <c r="C584" s="526" t="s">
        <v>844</v>
      </c>
      <c r="D584" s="725" t="s">
        <v>159</v>
      </c>
      <c r="E584" s="503"/>
      <c r="F584" s="503">
        <v>163625</v>
      </c>
      <c r="G584" s="179">
        <f>0+táj.2!G584</f>
        <v>0</v>
      </c>
      <c r="H584" s="179">
        <f>0+táj.2!H584</f>
        <v>0</v>
      </c>
      <c r="I584" s="179">
        <f>87000+táj.2!I584</f>
        <v>87000</v>
      </c>
      <c r="J584" s="179">
        <f>0+táj.2!J584</f>
        <v>0</v>
      </c>
      <c r="K584" s="179">
        <f>0+táj.2!K584</f>
        <v>0</v>
      </c>
      <c r="L584" s="179">
        <f>1001000+táj.2!L584</f>
        <v>1001000</v>
      </c>
      <c r="M584" s="179">
        <f>0+táj.2!M584</f>
        <v>0</v>
      </c>
      <c r="N584" s="179">
        <f>0+táj.2!N584</f>
        <v>0</v>
      </c>
      <c r="O584" s="179">
        <f>0+táj.2!O584</f>
        <v>0</v>
      </c>
      <c r="P584" s="179">
        <f>0+táj.2!P584</f>
        <v>0</v>
      </c>
      <c r="Q584" s="148">
        <f t="shared" si="42"/>
        <v>1088000</v>
      </c>
    </row>
    <row r="585" spans="1:17" ht="24" customHeight="1" x14ac:dyDescent="0.2">
      <c r="A585" s="174"/>
      <c r="B585" s="174"/>
      <c r="C585" s="526" t="s">
        <v>845</v>
      </c>
      <c r="D585" s="763" t="s">
        <v>160</v>
      </c>
      <c r="E585" s="503"/>
      <c r="F585" s="503">
        <v>163626</v>
      </c>
      <c r="G585" s="179">
        <f>0+táj.2!G585</f>
        <v>0</v>
      </c>
      <c r="H585" s="179">
        <f>0+táj.2!H585</f>
        <v>0</v>
      </c>
      <c r="I585" s="179">
        <f>1591+táj.2!I585</f>
        <v>1591</v>
      </c>
      <c r="J585" s="179">
        <f>0+táj.2!J585</f>
        <v>0</v>
      </c>
      <c r="K585" s="179">
        <f>0+táj.2!K585</f>
        <v>0</v>
      </c>
      <c r="L585" s="179">
        <f>14923+táj.2!L585</f>
        <v>14923</v>
      </c>
      <c r="M585" s="179">
        <f>0+táj.2!M585</f>
        <v>0</v>
      </c>
      <c r="N585" s="179">
        <f>0+táj.2!N585</f>
        <v>0</v>
      </c>
      <c r="O585" s="179">
        <f>0+táj.2!O585</f>
        <v>0</v>
      </c>
      <c r="P585" s="179">
        <f>0+táj.2!P585</f>
        <v>0</v>
      </c>
      <c r="Q585" s="148">
        <f t="shared" si="42"/>
        <v>16514</v>
      </c>
    </row>
    <row r="586" spans="1:17" ht="24.75" customHeight="1" x14ac:dyDescent="0.2">
      <c r="A586" s="174"/>
      <c r="B586" s="174"/>
      <c r="C586" s="526" t="s">
        <v>846</v>
      </c>
      <c r="D586" s="764" t="s">
        <v>183</v>
      </c>
      <c r="E586" s="503"/>
      <c r="F586" s="503">
        <v>163627</v>
      </c>
      <c r="G586" s="179">
        <f>2045+táj.2!G586</f>
        <v>2045</v>
      </c>
      <c r="H586" s="179">
        <f>450+táj.2!H586</f>
        <v>450</v>
      </c>
      <c r="I586" s="179">
        <f>162615+táj.2!I586</f>
        <v>162615</v>
      </c>
      <c r="J586" s="179">
        <f>0+táj.2!J586</f>
        <v>0</v>
      </c>
      <c r="K586" s="179">
        <f>0+táj.2!K586</f>
        <v>0</v>
      </c>
      <c r="L586" s="179">
        <f>190769+táj.2!L586</f>
        <v>190769</v>
      </c>
      <c r="M586" s="179">
        <f>430096+táj.2!M586</f>
        <v>430096</v>
      </c>
      <c r="N586" s="179">
        <f>0+táj.2!N586</f>
        <v>0</v>
      </c>
      <c r="O586" s="179">
        <f>0+táj.2!O586</f>
        <v>0</v>
      </c>
      <c r="P586" s="179">
        <f>0+táj.2!P586</f>
        <v>0</v>
      </c>
      <c r="Q586" s="148">
        <f t="shared" si="42"/>
        <v>785975</v>
      </c>
    </row>
    <row r="587" spans="1:17" ht="24.75" customHeight="1" x14ac:dyDescent="0.2">
      <c r="A587" s="174"/>
      <c r="B587" s="174"/>
      <c r="C587" s="526" t="s">
        <v>847</v>
      </c>
      <c r="D587" s="764" t="s">
        <v>850</v>
      </c>
      <c r="E587" s="503"/>
      <c r="F587" s="503">
        <v>163629</v>
      </c>
      <c r="G587" s="179">
        <f>269+táj.2!G587</f>
        <v>269</v>
      </c>
      <c r="H587" s="179">
        <f>39+táj.2!H587</f>
        <v>39</v>
      </c>
      <c r="I587" s="179">
        <f>134042+táj.2!I587</f>
        <v>134556</v>
      </c>
      <c r="J587" s="179">
        <f>0+táj.2!J587</f>
        <v>0</v>
      </c>
      <c r="K587" s="179">
        <f>0+táj.2!K587</f>
        <v>0</v>
      </c>
      <c r="L587" s="179">
        <f>998228+táj.2!L587</f>
        <v>998228</v>
      </c>
      <c r="M587" s="179">
        <f>0+táj.2!M587</f>
        <v>0</v>
      </c>
      <c r="N587" s="179">
        <f>0+táj.2!N587</f>
        <v>0</v>
      </c>
      <c r="O587" s="179">
        <f>0+táj.2!O587</f>
        <v>0</v>
      </c>
      <c r="P587" s="179">
        <f>0+táj.2!P587</f>
        <v>0</v>
      </c>
      <c r="Q587" s="148">
        <f t="shared" si="42"/>
        <v>1133092</v>
      </c>
    </row>
    <row r="588" spans="1:17" ht="24" customHeight="1" x14ac:dyDescent="0.2">
      <c r="A588" s="174"/>
      <c r="B588" s="174"/>
      <c r="C588" s="526" t="s">
        <v>848</v>
      </c>
      <c r="D588" s="763" t="s">
        <v>852</v>
      </c>
      <c r="E588" s="503"/>
      <c r="F588" s="503">
        <v>163628</v>
      </c>
      <c r="G588" s="179">
        <f>0+táj.2!G588</f>
        <v>0</v>
      </c>
      <c r="H588" s="179">
        <f>0+táj.2!H588</f>
        <v>0</v>
      </c>
      <c r="I588" s="179">
        <f>7785+táj.2!I588</f>
        <v>7786</v>
      </c>
      <c r="J588" s="179">
        <f>0+táj.2!J588</f>
        <v>0</v>
      </c>
      <c r="K588" s="179">
        <f>0+táj.2!K588</f>
        <v>0</v>
      </c>
      <c r="L588" s="179">
        <f>25381+táj.2!L588</f>
        <v>35536</v>
      </c>
      <c r="M588" s="179">
        <f>0+táj.2!M588</f>
        <v>0</v>
      </c>
      <c r="N588" s="179">
        <f>0+táj.2!N588</f>
        <v>0</v>
      </c>
      <c r="O588" s="179">
        <f>0+táj.2!O588</f>
        <v>0</v>
      </c>
      <c r="P588" s="179">
        <f>0+táj.2!P588</f>
        <v>0</v>
      </c>
      <c r="Q588" s="148">
        <f t="shared" si="42"/>
        <v>43322</v>
      </c>
    </row>
    <row r="589" spans="1:17" ht="27" customHeight="1" x14ac:dyDescent="0.2">
      <c r="A589" s="174"/>
      <c r="B589" s="174"/>
      <c r="C589" s="526" t="s">
        <v>849</v>
      </c>
      <c r="D589" s="737" t="s">
        <v>118</v>
      </c>
      <c r="E589" s="503"/>
      <c r="F589" s="503">
        <v>163633</v>
      </c>
      <c r="G589" s="179">
        <f>0+táj.2!G589</f>
        <v>0</v>
      </c>
      <c r="H589" s="179">
        <f>0+táj.2!H589</f>
        <v>0</v>
      </c>
      <c r="I589" s="179">
        <f>117699+táj.2!I589</f>
        <v>117699</v>
      </c>
      <c r="J589" s="179">
        <f>0+táj.2!J589</f>
        <v>0</v>
      </c>
      <c r="K589" s="179">
        <f>0+táj.2!K589</f>
        <v>0</v>
      </c>
      <c r="L589" s="179">
        <f>10937+táj.2!L589</f>
        <v>10937</v>
      </c>
      <c r="M589" s="179">
        <f>0+táj.2!M589</f>
        <v>0</v>
      </c>
      <c r="N589" s="179">
        <f>0+táj.2!N589</f>
        <v>0</v>
      </c>
      <c r="O589" s="179">
        <f>0+táj.2!O589</f>
        <v>0</v>
      </c>
      <c r="P589" s="179">
        <f>0+táj.2!P589</f>
        <v>0</v>
      </c>
      <c r="Q589" s="148">
        <f t="shared" si="42"/>
        <v>128636</v>
      </c>
    </row>
    <row r="590" spans="1:17" ht="36.75" customHeight="1" x14ac:dyDescent="0.2">
      <c r="A590" s="559"/>
      <c r="B590" s="559"/>
      <c r="C590" s="526" t="s">
        <v>851</v>
      </c>
      <c r="D590" s="763" t="s">
        <v>1238</v>
      </c>
      <c r="E590" s="503"/>
      <c r="F590" s="503">
        <v>163637</v>
      </c>
      <c r="G590" s="179">
        <f>0+táj.2!G590</f>
        <v>0</v>
      </c>
      <c r="H590" s="179">
        <f>0+táj.2!H590</f>
        <v>0</v>
      </c>
      <c r="I590" s="179">
        <f>105853+táj.2!I590</f>
        <v>105853</v>
      </c>
      <c r="J590" s="179">
        <f>0+táj.2!J590</f>
        <v>0</v>
      </c>
      <c r="K590" s="179">
        <f>0+táj.2!K590</f>
        <v>0</v>
      </c>
      <c r="L590" s="179">
        <f>329679+táj.2!L590</f>
        <v>329679</v>
      </c>
      <c r="M590" s="179">
        <f>0+táj.2!M590</f>
        <v>0</v>
      </c>
      <c r="N590" s="179">
        <f>0+táj.2!N590</f>
        <v>0</v>
      </c>
      <c r="O590" s="179">
        <f>0+táj.2!O590</f>
        <v>0</v>
      </c>
      <c r="P590" s="179">
        <f>0+táj.2!P590</f>
        <v>0</v>
      </c>
      <c r="Q590" s="148">
        <f t="shared" si="42"/>
        <v>435532</v>
      </c>
    </row>
    <row r="591" spans="1:17" ht="24" customHeight="1" x14ac:dyDescent="0.2">
      <c r="A591" s="174"/>
      <c r="B591" s="174"/>
      <c r="C591" s="526" t="s">
        <v>853</v>
      </c>
      <c r="D591" s="737" t="s">
        <v>1343</v>
      </c>
      <c r="E591" s="503"/>
      <c r="F591" s="503">
        <v>163638</v>
      </c>
      <c r="G591" s="179">
        <f>2322+táj.2!G591</f>
        <v>2322</v>
      </c>
      <c r="H591" s="179">
        <f>453+táj.2!H591</f>
        <v>453</v>
      </c>
      <c r="I591" s="179">
        <f>1718+táj.2!I591</f>
        <v>1718</v>
      </c>
      <c r="J591" s="179">
        <f>0+táj.2!J591</f>
        <v>0</v>
      </c>
      <c r="K591" s="179">
        <f>0+táj.2!K591</f>
        <v>0</v>
      </c>
      <c r="L591" s="179">
        <f>0+táj.2!L591</f>
        <v>0</v>
      </c>
      <c r="M591" s="179">
        <f>0+táj.2!M591</f>
        <v>0</v>
      </c>
      <c r="N591" s="179">
        <f>0+táj.2!N591</f>
        <v>0</v>
      </c>
      <c r="O591" s="179">
        <f>0+táj.2!O591</f>
        <v>0</v>
      </c>
      <c r="P591" s="179">
        <f>0+táj.2!P591</f>
        <v>0</v>
      </c>
      <c r="Q591" s="148">
        <f t="shared" si="42"/>
        <v>4493</v>
      </c>
    </row>
    <row r="592" spans="1:17" ht="30" customHeight="1" x14ac:dyDescent="0.2">
      <c r="A592" s="174"/>
      <c r="B592" s="174"/>
      <c r="C592" s="526" t="s">
        <v>854</v>
      </c>
      <c r="D592" s="737" t="s">
        <v>51</v>
      </c>
      <c r="E592" s="503" t="s">
        <v>538</v>
      </c>
      <c r="F592" s="503">
        <v>163639</v>
      </c>
      <c r="G592" s="179">
        <f>2459+táj.2!G592</f>
        <v>2459</v>
      </c>
      <c r="H592" s="179">
        <f>541+táj.2!H592</f>
        <v>541</v>
      </c>
      <c r="I592" s="179">
        <f>4376+táj.2!I592</f>
        <v>1700</v>
      </c>
      <c r="J592" s="179">
        <f>0+táj.2!J592</f>
        <v>0</v>
      </c>
      <c r="K592" s="179">
        <f>0+táj.2!K592</f>
        <v>0</v>
      </c>
      <c r="L592" s="179">
        <f>0+táj.2!L592</f>
        <v>0</v>
      </c>
      <c r="M592" s="179">
        <f>80130+táj.2!M592</f>
        <v>82988</v>
      </c>
      <c r="N592" s="179">
        <f>0+táj.2!N592</f>
        <v>0</v>
      </c>
      <c r="O592" s="179">
        <f>0+táj.2!O592</f>
        <v>0</v>
      </c>
      <c r="P592" s="179">
        <f>0+táj.2!P592</f>
        <v>0</v>
      </c>
      <c r="Q592" s="148">
        <f t="shared" si="42"/>
        <v>87688</v>
      </c>
    </row>
    <row r="593" spans="1:17" ht="28.5" customHeight="1" x14ac:dyDescent="0.2">
      <c r="A593" s="174"/>
      <c r="B593" s="174"/>
      <c r="C593" s="526" t="s">
        <v>855</v>
      </c>
      <c r="D593" s="737" t="s">
        <v>52</v>
      </c>
      <c r="E593" s="503"/>
      <c r="F593" s="503">
        <v>163640</v>
      </c>
      <c r="G593" s="179">
        <f>0+táj.2!G593</f>
        <v>0</v>
      </c>
      <c r="H593" s="179">
        <f>0+táj.2!H593</f>
        <v>0</v>
      </c>
      <c r="I593" s="179">
        <f>1661+táj.2!I593</f>
        <v>1661</v>
      </c>
      <c r="J593" s="179">
        <f>0+táj.2!J593</f>
        <v>0</v>
      </c>
      <c r="K593" s="179">
        <f>0+táj.2!K593</f>
        <v>0</v>
      </c>
      <c r="L593" s="179">
        <f>0+táj.2!L593</f>
        <v>0</v>
      </c>
      <c r="M593" s="179">
        <f>0+táj.2!M593</f>
        <v>0</v>
      </c>
      <c r="N593" s="179">
        <f>0+táj.2!N593</f>
        <v>0</v>
      </c>
      <c r="O593" s="179">
        <f>0+táj.2!O593</f>
        <v>0</v>
      </c>
      <c r="P593" s="179">
        <f>0+táj.2!P593</f>
        <v>0</v>
      </c>
      <c r="Q593" s="148">
        <f t="shared" si="42"/>
        <v>1661</v>
      </c>
    </row>
    <row r="594" spans="1:17" ht="27.75" customHeight="1" x14ac:dyDescent="0.2">
      <c r="A594" s="174"/>
      <c r="B594" s="174"/>
      <c r="C594" s="526" t="s">
        <v>856</v>
      </c>
      <c r="D594" s="737" t="s">
        <v>858</v>
      </c>
      <c r="E594" s="503"/>
      <c r="F594" s="503">
        <v>163646</v>
      </c>
      <c r="G594" s="179">
        <f>0+táj.2!G594</f>
        <v>0</v>
      </c>
      <c r="H594" s="179">
        <f>0+táj.2!H594</f>
        <v>0</v>
      </c>
      <c r="I594" s="179">
        <f>0+táj.2!I594</f>
        <v>0</v>
      </c>
      <c r="J594" s="179">
        <f>0+táj.2!J594</f>
        <v>0</v>
      </c>
      <c r="K594" s="179">
        <f>0+táj.2!K594</f>
        <v>0</v>
      </c>
      <c r="L594" s="179">
        <f>13+táj.2!L594</f>
        <v>0</v>
      </c>
      <c r="M594" s="179">
        <f>0+táj.2!M594</f>
        <v>0</v>
      </c>
      <c r="N594" s="179">
        <f>0+táj.2!N594</f>
        <v>13</v>
      </c>
      <c r="O594" s="179">
        <f>0+táj.2!O594</f>
        <v>0</v>
      </c>
      <c r="P594" s="179">
        <f>0+táj.2!P594</f>
        <v>0</v>
      </c>
      <c r="Q594" s="148">
        <f t="shared" si="42"/>
        <v>13</v>
      </c>
    </row>
    <row r="595" spans="1:17" ht="27.75" customHeight="1" x14ac:dyDescent="0.2">
      <c r="A595" s="174"/>
      <c r="B595" s="174"/>
      <c r="C595" s="526" t="s">
        <v>857</v>
      </c>
      <c r="D595" s="725" t="s">
        <v>1239</v>
      </c>
      <c r="E595" s="503"/>
      <c r="F595" s="503">
        <v>163648</v>
      </c>
      <c r="G595" s="179">
        <f>120+táj.2!G595</f>
        <v>170</v>
      </c>
      <c r="H595" s="179">
        <f>21+táj.2!H595</f>
        <v>20</v>
      </c>
      <c r="I595" s="179">
        <f>9+táj.2!I595</f>
        <v>6</v>
      </c>
      <c r="J595" s="179">
        <f>0+táj.2!J595</f>
        <v>0</v>
      </c>
      <c r="K595" s="179">
        <f>0+táj.2!K595</f>
        <v>0</v>
      </c>
      <c r="L595" s="179">
        <f>4850+táj.2!L595</f>
        <v>4800</v>
      </c>
      <c r="M595" s="179">
        <f>0+táj.2!M595</f>
        <v>0</v>
      </c>
      <c r="N595" s="179">
        <f>0+táj.2!N595</f>
        <v>4</v>
      </c>
      <c r="O595" s="179">
        <f>0+táj.2!O595</f>
        <v>0</v>
      </c>
      <c r="P595" s="179">
        <f>0+táj.2!P595</f>
        <v>0</v>
      </c>
      <c r="Q595" s="148">
        <f t="shared" si="42"/>
        <v>5000</v>
      </c>
    </row>
    <row r="596" spans="1:17" ht="21" customHeight="1" x14ac:dyDescent="0.2">
      <c r="A596" s="174"/>
      <c r="B596" s="174"/>
      <c r="C596" s="525" t="s">
        <v>859</v>
      </c>
      <c r="D596" s="335" t="s">
        <v>860</v>
      </c>
      <c r="E596" s="207"/>
      <c r="F596" s="207">
        <v>162630</v>
      </c>
      <c r="G596" s="179">
        <f>0+táj.2!G596</f>
        <v>0</v>
      </c>
      <c r="H596" s="179">
        <f>0+táj.2!H596</f>
        <v>0</v>
      </c>
      <c r="I596" s="179">
        <f>1850+táj.2!I596</f>
        <v>1850</v>
      </c>
      <c r="J596" s="179">
        <f>0+táj.2!J596</f>
        <v>0</v>
      </c>
      <c r="K596" s="179">
        <f>0+táj.2!K596</f>
        <v>0</v>
      </c>
      <c r="L596" s="179">
        <f>443+táj.2!L596</f>
        <v>443</v>
      </c>
      <c r="M596" s="179">
        <f>76822+táj.2!M596</f>
        <v>76822</v>
      </c>
      <c r="N596" s="179">
        <f>0+táj.2!N596</f>
        <v>0</v>
      </c>
      <c r="O596" s="179">
        <f>0+táj.2!O596</f>
        <v>0</v>
      </c>
      <c r="P596" s="179">
        <f>0+táj.2!P596</f>
        <v>0</v>
      </c>
      <c r="Q596" s="148">
        <f t="shared" si="42"/>
        <v>79115</v>
      </c>
    </row>
    <row r="597" spans="1:17" ht="15" customHeight="1" x14ac:dyDescent="0.2">
      <c r="A597" s="174"/>
      <c r="B597" s="174"/>
      <c r="C597" s="524"/>
      <c r="D597" s="765" t="s">
        <v>1241</v>
      </c>
      <c r="E597" s="503"/>
      <c r="F597" s="503"/>
      <c r="G597" s="179"/>
      <c r="H597" s="179"/>
      <c r="I597" s="179"/>
      <c r="J597" s="179"/>
      <c r="K597" s="179"/>
      <c r="L597" s="179"/>
      <c r="M597" s="179"/>
      <c r="N597" s="179"/>
      <c r="O597" s="179"/>
      <c r="P597" s="179"/>
      <c r="Q597" s="148"/>
    </row>
    <row r="598" spans="1:17" ht="16.5" customHeight="1" x14ac:dyDescent="0.2">
      <c r="A598" s="174"/>
      <c r="B598" s="174"/>
      <c r="C598" s="525" t="s">
        <v>861</v>
      </c>
      <c r="D598" s="529" t="s">
        <v>862</v>
      </c>
      <c r="E598" s="313"/>
      <c r="F598" s="207"/>
      <c r="G598" s="179"/>
      <c r="H598" s="179"/>
      <c r="I598" s="179"/>
      <c r="J598" s="179"/>
      <c r="K598" s="179"/>
      <c r="L598" s="179"/>
      <c r="M598" s="179"/>
      <c r="N598" s="179"/>
      <c r="O598" s="179"/>
      <c r="P598" s="179"/>
      <c r="Q598" s="148"/>
    </row>
    <row r="599" spans="1:17" ht="27" customHeight="1" x14ac:dyDescent="0.2">
      <c r="A599" s="174"/>
      <c r="B599" s="174"/>
      <c r="C599" s="524" t="s">
        <v>863</v>
      </c>
      <c r="D599" s="894" t="s">
        <v>864</v>
      </c>
      <c r="E599" s="313"/>
      <c r="F599" s="207">
        <v>163621</v>
      </c>
      <c r="G599" s="179">
        <f>514+táj.2!G599</f>
        <v>514</v>
      </c>
      <c r="H599" s="179">
        <f>121+táj.2!H599</f>
        <v>121</v>
      </c>
      <c r="I599" s="179">
        <f>1173639+táj.2!I599</f>
        <v>1285871</v>
      </c>
      <c r="J599" s="179">
        <f>0+táj.2!J599</f>
        <v>0</v>
      </c>
      <c r="K599" s="179">
        <f>0+táj.2!K599</f>
        <v>0</v>
      </c>
      <c r="L599" s="179">
        <f>7369664+táj.2!L599</f>
        <v>7372015</v>
      </c>
      <c r="M599" s="179">
        <f>1603105+táj.2!M599</f>
        <v>1490873</v>
      </c>
      <c r="N599" s="179">
        <f>0+táj.2!N599</f>
        <v>0</v>
      </c>
      <c r="O599" s="179">
        <f>0+táj.2!O599</f>
        <v>0</v>
      </c>
      <c r="P599" s="179">
        <f>0+táj.2!P599</f>
        <v>0</v>
      </c>
      <c r="Q599" s="148">
        <f t="shared" ref="Q599:Q607" si="43">SUM(G599:P599)</f>
        <v>10149394</v>
      </c>
    </row>
    <row r="600" spans="1:17" ht="16.5" customHeight="1" x14ac:dyDescent="0.2">
      <c r="A600" s="174"/>
      <c r="B600" s="174"/>
      <c r="C600" s="524" t="s">
        <v>865</v>
      </c>
      <c r="D600" s="189" t="s">
        <v>866</v>
      </c>
      <c r="E600" s="313"/>
      <c r="F600" s="207">
        <v>162687</v>
      </c>
      <c r="G600" s="179">
        <f>0+táj.2!G600</f>
        <v>0</v>
      </c>
      <c r="H600" s="179">
        <f>0+táj.2!H600</f>
        <v>0</v>
      </c>
      <c r="I600" s="179">
        <f>1479851+táj.2!I600</f>
        <v>1479851</v>
      </c>
      <c r="J600" s="179">
        <f>0+táj.2!J600</f>
        <v>0</v>
      </c>
      <c r="K600" s="179">
        <f>0+táj.2!K600</f>
        <v>0</v>
      </c>
      <c r="L600" s="179">
        <f>4908500+táj.2!L600</f>
        <v>4913305</v>
      </c>
      <c r="M600" s="179">
        <f>202394+táj.2!M600</f>
        <v>202394</v>
      </c>
      <c r="N600" s="179">
        <f>0+táj.2!N600</f>
        <v>0</v>
      </c>
      <c r="O600" s="179">
        <f>0+táj.2!O600</f>
        <v>0</v>
      </c>
      <c r="P600" s="179">
        <f>0+táj.2!P600</f>
        <v>0</v>
      </c>
      <c r="Q600" s="148">
        <f t="shared" si="43"/>
        <v>6595550</v>
      </c>
    </row>
    <row r="601" spans="1:17" ht="27.75" customHeight="1" x14ac:dyDescent="0.2">
      <c r="A601" s="174"/>
      <c r="B601" s="174"/>
      <c r="C601" s="524" t="s">
        <v>867</v>
      </c>
      <c r="D601" s="894" t="s">
        <v>868</v>
      </c>
      <c r="E601" s="313"/>
      <c r="F601" s="207">
        <v>163702</v>
      </c>
      <c r="G601" s="179">
        <f>0+táj.2!G601</f>
        <v>0</v>
      </c>
      <c r="H601" s="179">
        <f>0+táj.2!H601</f>
        <v>0</v>
      </c>
      <c r="I601" s="179">
        <f>425583+táj.2!I601</f>
        <v>425583</v>
      </c>
      <c r="J601" s="179">
        <f>0+táj.2!J601</f>
        <v>0</v>
      </c>
      <c r="K601" s="179">
        <f>0+táj.2!K601</f>
        <v>0</v>
      </c>
      <c r="L601" s="179">
        <f>2273404+táj.2!L601</f>
        <v>2274523</v>
      </c>
      <c r="M601" s="179">
        <f>80501+táj.2!M601</f>
        <v>80501</v>
      </c>
      <c r="N601" s="179">
        <f>0+táj.2!N601</f>
        <v>0</v>
      </c>
      <c r="O601" s="179">
        <f>0+táj.2!O601</f>
        <v>0</v>
      </c>
      <c r="P601" s="179">
        <f>0+táj.2!P601</f>
        <v>0</v>
      </c>
      <c r="Q601" s="148">
        <f t="shared" si="43"/>
        <v>2780607</v>
      </c>
    </row>
    <row r="602" spans="1:17" ht="27.75" customHeight="1" x14ac:dyDescent="0.2">
      <c r="A602" s="174"/>
      <c r="B602" s="174"/>
      <c r="C602" s="524" t="s">
        <v>869</v>
      </c>
      <c r="D602" s="894" t="s">
        <v>871</v>
      </c>
      <c r="E602" s="512"/>
      <c r="F602" s="207">
        <v>163641</v>
      </c>
      <c r="G602" s="179">
        <f>0+táj.2!G602</f>
        <v>0</v>
      </c>
      <c r="H602" s="179">
        <f>0+táj.2!H602</f>
        <v>0</v>
      </c>
      <c r="I602" s="179">
        <f>0+táj.2!I602</f>
        <v>0</v>
      </c>
      <c r="J602" s="179">
        <f>0+táj.2!J602</f>
        <v>0</v>
      </c>
      <c r="K602" s="179">
        <f>0+táj.2!K602</f>
        <v>0</v>
      </c>
      <c r="L602" s="179">
        <f>0+táj.2!L602</f>
        <v>0</v>
      </c>
      <c r="M602" s="179">
        <f>165700+táj.2!M602</f>
        <v>165700</v>
      </c>
      <c r="N602" s="179">
        <f>0+táj.2!N602</f>
        <v>0</v>
      </c>
      <c r="O602" s="179">
        <f>0+táj.2!O602</f>
        <v>0</v>
      </c>
      <c r="P602" s="179">
        <f>0+táj.2!P602</f>
        <v>0</v>
      </c>
      <c r="Q602" s="148">
        <f t="shared" si="43"/>
        <v>165700</v>
      </c>
    </row>
    <row r="603" spans="1:17" ht="27.75" customHeight="1" x14ac:dyDescent="0.2">
      <c r="A603" s="174"/>
      <c r="B603" s="174"/>
      <c r="C603" s="524" t="s">
        <v>870</v>
      </c>
      <c r="D603" s="895" t="s">
        <v>873</v>
      </c>
      <c r="E603" s="512"/>
      <c r="F603" s="207">
        <v>163644</v>
      </c>
      <c r="G603" s="179">
        <f>0+táj.2!G603</f>
        <v>0</v>
      </c>
      <c r="H603" s="179">
        <f>0+táj.2!H603</f>
        <v>0</v>
      </c>
      <c r="I603" s="179">
        <f>4903+táj.2!I603</f>
        <v>4903</v>
      </c>
      <c r="J603" s="179">
        <f>0+táj.2!J603</f>
        <v>0</v>
      </c>
      <c r="K603" s="179">
        <f>0+táj.2!K603</f>
        <v>0</v>
      </c>
      <c r="L603" s="179">
        <f>660281+táj.2!L603</f>
        <v>660281</v>
      </c>
      <c r="M603" s="179">
        <f>0+táj.2!M603</f>
        <v>0</v>
      </c>
      <c r="N603" s="179">
        <f>0+táj.2!N603</f>
        <v>0</v>
      </c>
      <c r="O603" s="179">
        <f>0+táj.2!O603</f>
        <v>0</v>
      </c>
      <c r="P603" s="179">
        <f>0+táj.2!P603</f>
        <v>0</v>
      </c>
      <c r="Q603" s="148">
        <f t="shared" si="43"/>
        <v>665184</v>
      </c>
    </row>
    <row r="604" spans="1:17" ht="27.75" customHeight="1" x14ac:dyDescent="0.2">
      <c r="A604" s="174"/>
      <c r="B604" s="174"/>
      <c r="C604" s="526" t="s">
        <v>872</v>
      </c>
      <c r="D604" s="737" t="s">
        <v>1242</v>
      </c>
      <c r="E604" s="503"/>
      <c r="F604" s="503">
        <v>163650</v>
      </c>
      <c r="G604" s="179">
        <f>0+táj.2!G604</f>
        <v>0</v>
      </c>
      <c r="H604" s="179">
        <f>0+táj.2!H604</f>
        <v>0</v>
      </c>
      <c r="I604" s="179">
        <f>731775+táj.2!I604</f>
        <v>731775</v>
      </c>
      <c r="J604" s="179">
        <f>0+táj.2!J604</f>
        <v>0</v>
      </c>
      <c r="K604" s="179">
        <f>0+táj.2!K604</f>
        <v>0</v>
      </c>
      <c r="L604" s="179">
        <f>3546606+táj.2!L604</f>
        <v>3546606</v>
      </c>
      <c r="M604" s="179">
        <f>2660650+táj.2!M604</f>
        <v>2660650</v>
      </c>
      <c r="N604" s="179">
        <f>0+táj.2!N604</f>
        <v>0</v>
      </c>
      <c r="O604" s="179">
        <f>0+táj.2!O604</f>
        <v>0</v>
      </c>
      <c r="P604" s="179">
        <f>0+táj.2!P604</f>
        <v>0</v>
      </c>
      <c r="Q604" s="148">
        <f t="shared" si="43"/>
        <v>6939031</v>
      </c>
    </row>
    <row r="605" spans="1:17" ht="20.25" customHeight="1" x14ac:dyDescent="0.2">
      <c r="A605" s="174"/>
      <c r="B605" s="174"/>
      <c r="C605" s="525" t="s">
        <v>874</v>
      </c>
      <c r="D605" s="530" t="s">
        <v>875</v>
      </c>
      <c r="E605" s="313"/>
      <c r="F605" s="207"/>
      <c r="G605" s="179"/>
      <c r="H605" s="179"/>
      <c r="I605" s="179"/>
      <c r="J605" s="179"/>
      <c r="K605" s="179"/>
      <c r="L605" s="179"/>
      <c r="M605" s="179"/>
      <c r="N605" s="179"/>
      <c r="O605" s="179"/>
      <c r="P605" s="179"/>
      <c r="Q605" s="148"/>
    </row>
    <row r="606" spans="1:17" ht="20.25" customHeight="1" x14ac:dyDescent="0.2">
      <c r="A606" s="174"/>
      <c r="B606" s="174"/>
      <c r="C606" s="933" t="s">
        <v>1397</v>
      </c>
      <c r="D606" s="934" t="s">
        <v>1398</v>
      </c>
      <c r="E606" s="587"/>
      <c r="F606" s="778">
        <v>163654</v>
      </c>
      <c r="G606" s="179">
        <f>0+táj.2!G606</f>
        <v>9500</v>
      </c>
      <c r="H606" s="179">
        <f>0+táj.2!H606</f>
        <v>1500</v>
      </c>
      <c r="I606" s="179">
        <f>0+táj.2!I606</f>
        <v>442358</v>
      </c>
      <c r="J606" s="179">
        <f>0+táj.2!J606</f>
        <v>0</v>
      </c>
      <c r="K606" s="179">
        <f>0+táj.2!K606</f>
        <v>0</v>
      </c>
      <c r="L606" s="179">
        <f>0+táj.2!L606</f>
        <v>8238807</v>
      </c>
      <c r="M606" s="179">
        <f>0+táj.2!M606</f>
        <v>0</v>
      </c>
      <c r="N606" s="179">
        <f>0+táj.2!N606</f>
        <v>0</v>
      </c>
      <c r="O606" s="179">
        <f>0+táj.2!O606</f>
        <v>0</v>
      </c>
      <c r="P606" s="179">
        <f>0+táj.2!P606</f>
        <v>0</v>
      </c>
      <c r="Q606" s="148">
        <f t="shared" si="43"/>
        <v>8692165</v>
      </c>
    </row>
    <row r="607" spans="1:17" ht="20.25" customHeight="1" x14ac:dyDescent="0.2">
      <c r="A607" s="174"/>
      <c r="B607" s="174"/>
      <c r="C607" s="933" t="s">
        <v>1399</v>
      </c>
      <c r="D607" s="934" t="s">
        <v>1400</v>
      </c>
      <c r="E607" s="587"/>
      <c r="F607" s="778">
        <v>163655</v>
      </c>
      <c r="G607" s="179">
        <f>0+táj.2!G607</f>
        <v>0</v>
      </c>
      <c r="H607" s="179">
        <f>0+táj.2!H607</f>
        <v>0</v>
      </c>
      <c r="I607" s="179">
        <f>0+táj.2!I607</f>
        <v>0</v>
      </c>
      <c r="J607" s="179">
        <f>0+táj.2!J607</f>
        <v>0</v>
      </c>
      <c r="K607" s="179">
        <f>0+táj.2!K607</f>
        <v>0</v>
      </c>
      <c r="L607" s="179">
        <f>0+táj.2!L607</f>
        <v>60000</v>
      </c>
      <c r="M607" s="179">
        <f>0+táj.2!M607</f>
        <v>0</v>
      </c>
      <c r="N607" s="179">
        <f>0+táj.2!N607</f>
        <v>0</v>
      </c>
      <c r="O607" s="179">
        <f>0+táj.2!O607</f>
        <v>0</v>
      </c>
      <c r="P607" s="179">
        <f>0+táj.2!P607</f>
        <v>0</v>
      </c>
      <c r="Q607" s="148">
        <f t="shared" si="43"/>
        <v>60000</v>
      </c>
    </row>
    <row r="608" spans="1:17" ht="18.75" customHeight="1" x14ac:dyDescent="0.2">
      <c r="A608" s="174"/>
      <c r="B608" s="174"/>
      <c r="C608" s="525"/>
      <c r="D608" s="277" t="s">
        <v>1145</v>
      </c>
      <c r="E608" s="313"/>
      <c r="F608" s="207"/>
      <c r="G608" s="179"/>
      <c r="H608" s="179"/>
      <c r="I608" s="179"/>
      <c r="J608" s="179"/>
      <c r="K608" s="179"/>
      <c r="L608" s="179"/>
      <c r="M608" s="179"/>
      <c r="N608" s="179"/>
      <c r="O608" s="179"/>
      <c r="P608" s="179"/>
      <c r="Q608" s="148"/>
    </row>
    <row r="609" spans="1:17" ht="27.75" customHeight="1" x14ac:dyDescent="0.2">
      <c r="A609" s="174"/>
      <c r="B609" s="174"/>
      <c r="C609" s="526" t="s">
        <v>876</v>
      </c>
      <c r="D609" s="763" t="s">
        <v>0</v>
      </c>
      <c r="E609" s="503"/>
      <c r="F609" s="503">
        <v>163643</v>
      </c>
      <c r="G609" s="179">
        <f>1692+táj.2!G609</f>
        <v>1692</v>
      </c>
      <c r="H609" s="179">
        <f>330+táj.2!H609</f>
        <v>330</v>
      </c>
      <c r="I609" s="179">
        <f>2449+táj.2!I609</f>
        <v>2449</v>
      </c>
      <c r="J609" s="179">
        <f>0+táj.2!J609</f>
        <v>0</v>
      </c>
      <c r="K609" s="179">
        <f>0+táj.2!K609</f>
        <v>0</v>
      </c>
      <c r="L609" s="179">
        <f>0+táj.2!L609</f>
        <v>0</v>
      </c>
      <c r="M609" s="179">
        <f>0+táj.2!M609</f>
        <v>0</v>
      </c>
      <c r="N609" s="179">
        <f>0+táj.2!N609</f>
        <v>0</v>
      </c>
      <c r="O609" s="179">
        <f>0+táj.2!O609</f>
        <v>0</v>
      </c>
      <c r="P609" s="179">
        <f>0+táj.2!P609</f>
        <v>0</v>
      </c>
      <c r="Q609" s="148">
        <f t="shared" ref="Q609:Q618" si="44">SUM(G609:P609)</f>
        <v>4471</v>
      </c>
    </row>
    <row r="610" spans="1:17" ht="37.5" customHeight="1" x14ac:dyDescent="0.2">
      <c r="A610" s="174"/>
      <c r="B610" s="174"/>
      <c r="C610" s="526" t="s">
        <v>877</v>
      </c>
      <c r="D610" s="763" t="s">
        <v>878</v>
      </c>
      <c r="E610" s="503"/>
      <c r="F610" s="503">
        <v>163645</v>
      </c>
      <c r="G610" s="179">
        <f>418+táj.2!G610</f>
        <v>418</v>
      </c>
      <c r="H610" s="179">
        <f>82+táj.2!H610</f>
        <v>82</v>
      </c>
      <c r="I610" s="179">
        <f>16547+táj.2!I610</f>
        <v>16547</v>
      </c>
      <c r="J610" s="179">
        <f>0+táj.2!J610</f>
        <v>0</v>
      </c>
      <c r="K610" s="179">
        <f>0+táj.2!K610</f>
        <v>0</v>
      </c>
      <c r="L610" s="179">
        <f>0+táj.2!L610</f>
        <v>0</v>
      </c>
      <c r="M610" s="179">
        <f>0+táj.2!M610</f>
        <v>0</v>
      </c>
      <c r="N610" s="179">
        <f>0+táj.2!N610</f>
        <v>0</v>
      </c>
      <c r="O610" s="179">
        <f>0+táj.2!O610</f>
        <v>0</v>
      </c>
      <c r="P610" s="179">
        <f>0+táj.2!P610</f>
        <v>0</v>
      </c>
      <c r="Q610" s="148">
        <f t="shared" si="44"/>
        <v>17047</v>
      </c>
    </row>
    <row r="611" spans="1:17" ht="17.25" customHeight="1" x14ac:dyDescent="0.2">
      <c r="A611" s="174"/>
      <c r="B611" s="174"/>
      <c r="C611" s="526" t="s">
        <v>879</v>
      </c>
      <c r="D611" s="763" t="s">
        <v>218</v>
      </c>
      <c r="E611" s="503"/>
      <c r="F611" s="503">
        <v>162607</v>
      </c>
      <c r="G611" s="179">
        <f>4215+táj.2!G611</f>
        <v>4215</v>
      </c>
      <c r="H611" s="179">
        <f>843+táj.2!H611</f>
        <v>843</v>
      </c>
      <c r="I611" s="179">
        <f>0+táj.2!I611</f>
        <v>0</v>
      </c>
      <c r="J611" s="179">
        <f>0+táj.2!J611</f>
        <v>0</v>
      </c>
      <c r="K611" s="179">
        <f>0+táj.2!K611</f>
        <v>0</v>
      </c>
      <c r="L611" s="179">
        <f>0+táj.2!L611</f>
        <v>0</v>
      </c>
      <c r="M611" s="179">
        <f>0+táj.2!M611</f>
        <v>0</v>
      </c>
      <c r="N611" s="179">
        <f>0+táj.2!N611</f>
        <v>0</v>
      </c>
      <c r="O611" s="179">
        <f>0+táj.2!O611</f>
        <v>0</v>
      </c>
      <c r="P611" s="179">
        <f>0+táj.2!P611</f>
        <v>0</v>
      </c>
      <c r="Q611" s="148">
        <f t="shared" si="44"/>
        <v>5058</v>
      </c>
    </row>
    <row r="612" spans="1:17" ht="27.75" customHeight="1" x14ac:dyDescent="0.2">
      <c r="A612" s="174"/>
      <c r="B612" s="174"/>
      <c r="C612" s="526" t="s">
        <v>880</v>
      </c>
      <c r="D612" s="725" t="s">
        <v>825</v>
      </c>
      <c r="E612" s="708"/>
      <c r="F612" s="503">
        <v>182906</v>
      </c>
      <c r="G612" s="179">
        <f>0+táj.2!G612</f>
        <v>0</v>
      </c>
      <c r="H612" s="179">
        <f>0+táj.2!H612</f>
        <v>0</v>
      </c>
      <c r="I612" s="179">
        <f>0+táj.2!I612</f>
        <v>0</v>
      </c>
      <c r="J612" s="179">
        <f>0+táj.2!J612</f>
        <v>0</v>
      </c>
      <c r="K612" s="179">
        <f>0+táj.2!K612</f>
        <v>0</v>
      </c>
      <c r="L612" s="179">
        <f>0+táj.2!L612</f>
        <v>0</v>
      </c>
      <c r="M612" s="179">
        <f>0+táj.2!M612</f>
        <v>0</v>
      </c>
      <c r="N612" s="179">
        <f>837+táj.2!N612</f>
        <v>837</v>
      </c>
      <c r="O612" s="179">
        <f>0+táj.2!O612</f>
        <v>0</v>
      </c>
      <c r="P612" s="179">
        <f>0+táj.2!P612</f>
        <v>0</v>
      </c>
      <c r="Q612" s="148">
        <f t="shared" si="44"/>
        <v>837</v>
      </c>
    </row>
    <row r="613" spans="1:17" ht="27.75" customHeight="1" x14ac:dyDescent="0.2">
      <c r="A613" s="174"/>
      <c r="B613" s="174"/>
      <c r="C613" s="526" t="s">
        <v>1243</v>
      </c>
      <c r="D613" s="763" t="s">
        <v>886</v>
      </c>
      <c r="E613" s="503"/>
      <c r="F613" s="503">
        <v>162640</v>
      </c>
      <c r="G613" s="179">
        <f>0+táj.2!G613</f>
        <v>0</v>
      </c>
      <c r="H613" s="179">
        <f>0+táj.2!H613</f>
        <v>0</v>
      </c>
      <c r="I613" s="179">
        <f>137601+táj.2!I613</f>
        <v>137601</v>
      </c>
      <c r="J613" s="179">
        <f>0+táj.2!J613</f>
        <v>0</v>
      </c>
      <c r="K613" s="179">
        <f>0+táj.2!K613</f>
        <v>0</v>
      </c>
      <c r="L613" s="179">
        <f>0+táj.2!L613</f>
        <v>0</v>
      </c>
      <c r="M613" s="179">
        <f>0+táj.2!M613</f>
        <v>0</v>
      </c>
      <c r="N613" s="179">
        <f>0+táj.2!N613</f>
        <v>0</v>
      </c>
      <c r="O613" s="179">
        <f>0+táj.2!O613</f>
        <v>0</v>
      </c>
      <c r="P613" s="179">
        <f>0+táj.2!P613</f>
        <v>0</v>
      </c>
      <c r="Q613" s="148">
        <f t="shared" si="44"/>
        <v>137601</v>
      </c>
    </row>
    <row r="614" spans="1:17" ht="17.25" customHeight="1" x14ac:dyDescent="0.2">
      <c r="A614" s="174"/>
      <c r="B614" s="174"/>
      <c r="C614" s="526" t="s">
        <v>1244</v>
      </c>
      <c r="D614" s="725" t="s">
        <v>1245</v>
      </c>
      <c r="E614" s="503"/>
      <c r="F614" s="503">
        <v>163651</v>
      </c>
      <c r="G614" s="179">
        <f>0+táj.2!G614</f>
        <v>0</v>
      </c>
      <c r="H614" s="179">
        <f>0+táj.2!H614</f>
        <v>0</v>
      </c>
      <c r="I614" s="179">
        <f>31000+táj.2!I614</f>
        <v>31000</v>
      </c>
      <c r="J614" s="179">
        <f>0+táj.2!J614</f>
        <v>0</v>
      </c>
      <c r="K614" s="179">
        <f>0+táj.2!K614</f>
        <v>0</v>
      </c>
      <c r="L614" s="179">
        <f>25000+táj.2!L614</f>
        <v>25000</v>
      </c>
      <c r="M614" s="179">
        <f>0+táj.2!M614</f>
        <v>0</v>
      </c>
      <c r="N614" s="179">
        <f>0+táj.2!N614</f>
        <v>0</v>
      </c>
      <c r="O614" s="179">
        <f>0+táj.2!O614</f>
        <v>0</v>
      </c>
      <c r="P614" s="179">
        <f>0+táj.2!P614</f>
        <v>0</v>
      </c>
      <c r="Q614" s="148">
        <f t="shared" si="44"/>
        <v>56000</v>
      </c>
    </row>
    <row r="615" spans="1:17" ht="18.75" customHeight="1" x14ac:dyDescent="0.2">
      <c r="A615" s="174"/>
      <c r="B615" s="174"/>
      <c r="C615" s="527" t="s">
        <v>881</v>
      </c>
      <c r="D615" s="530" t="s">
        <v>882</v>
      </c>
      <c r="E615" s="313"/>
      <c r="F615" s="207"/>
      <c r="G615" s="179"/>
      <c r="H615" s="179"/>
      <c r="I615" s="179"/>
      <c r="J615" s="179"/>
      <c r="K615" s="179"/>
      <c r="L615" s="179"/>
      <c r="M615" s="179"/>
      <c r="N615" s="179"/>
      <c r="O615" s="179"/>
      <c r="P615" s="179"/>
      <c r="Q615" s="148"/>
    </row>
    <row r="616" spans="1:17" ht="18.75" customHeight="1" x14ac:dyDescent="0.2">
      <c r="A616" s="174"/>
      <c r="B616" s="174"/>
      <c r="C616" s="726" t="s">
        <v>883</v>
      </c>
      <c r="D616" s="739" t="s">
        <v>1246</v>
      </c>
      <c r="E616" s="503"/>
      <c r="F616" s="148">
        <v>162612</v>
      </c>
      <c r="G616" s="179">
        <f>0+táj.2!G616</f>
        <v>0</v>
      </c>
      <c r="H616" s="179">
        <f>0+táj.2!H616</f>
        <v>0</v>
      </c>
      <c r="I616" s="179">
        <f>0+táj.2!I616</f>
        <v>0</v>
      </c>
      <c r="J616" s="179">
        <f>0+táj.2!J616</f>
        <v>0</v>
      </c>
      <c r="K616" s="179">
        <f>0+táj.2!K616</f>
        <v>0</v>
      </c>
      <c r="L616" s="179">
        <f>9043+táj.2!L616</f>
        <v>9043</v>
      </c>
      <c r="M616" s="179">
        <f>0+táj.2!M616</f>
        <v>0</v>
      </c>
      <c r="N616" s="179">
        <f>0+táj.2!N616</f>
        <v>0</v>
      </c>
      <c r="O616" s="179">
        <f>0+táj.2!O616</f>
        <v>0</v>
      </c>
      <c r="P616" s="179">
        <f>0+táj.2!P616</f>
        <v>0</v>
      </c>
      <c r="Q616" s="148">
        <f t="shared" si="44"/>
        <v>9043</v>
      </c>
    </row>
    <row r="617" spans="1:17" ht="15.75" customHeight="1" x14ac:dyDescent="0.2">
      <c r="A617" s="174"/>
      <c r="B617" s="174"/>
      <c r="C617" s="726" t="s">
        <v>884</v>
      </c>
      <c r="D617" s="739" t="s">
        <v>1247</v>
      </c>
      <c r="E617" s="503"/>
      <c r="F617" s="148">
        <v>162613</v>
      </c>
      <c r="G617" s="179">
        <f>0+táj.2!G617</f>
        <v>0</v>
      </c>
      <c r="H617" s="179">
        <f>0+táj.2!H617</f>
        <v>0</v>
      </c>
      <c r="I617" s="179">
        <f>0+táj.2!I617</f>
        <v>0</v>
      </c>
      <c r="J617" s="179">
        <f>0+táj.2!J617</f>
        <v>0</v>
      </c>
      <c r="K617" s="179">
        <f>0+táj.2!K617</f>
        <v>0</v>
      </c>
      <c r="L617" s="179">
        <f>3000+táj.2!L617</f>
        <v>3000</v>
      </c>
      <c r="M617" s="179">
        <f>0+táj.2!M617</f>
        <v>0</v>
      </c>
      <c r="N617" s="179">
        <f>0+táj.2!N617</f>
        <v>0</v>
      </c>
      <c r="O617" s="179">
        <f>0+táj.2!O617</f>
        <v>0</v>
      </c>
      <c r="P617" s="179">
        <f>0+táj.2!P617</f>
        <v>0</v>
      </c>
      <c r="Q617" s="148">
        <f t="shared" si="44"/>
        <v>3000</v>
      </c>
    </row>
    <row r="618" spans="1:17" ht="17.25" customHeight="1" x14ac:dyDescent="0.2">
      <c r="A618" s="174"/>
      <c r="B618" s="174"/>
      <c r="C618" s="726" t="s">
        <v>1248</v>
      </c>
      <c r="D618" s="725" t="s">
        <v>887</v>
      </c>
      <c r="E618" s="503"/>
      <c r="F618" s="503">
        <v>162633</v>
      </c>
      <c r="G618" s="179">
        <f>0+táj.2!G618</f>
        <v>0</v>
      </c>
      <c r="H618" s="179">
        <f>0+táj.2!H618</f>
        <v>0</v>
      </c>
      <c r="I618" s="179">
        <f>11809+táj.2!I618</f>
        <v>11809</v>
      </c>
      <c r="J618" s="179">
        <f>0+táj.2!J618</f>
        <v>0</v>
      </c>
      <c r="K618" s="179">
        <f>0+táj.2!K618</f>
        <v>0</v>
      </c>
      <c r="L618" s="179">
        <f>26920+táj.2!L618</f>
        <v>26539</v>
      </c>
      <c r="M618" s="179">
        <f>0+táj.2!M618</f>
        <v>0</v>
      </c>
      <c r="N618" s="179">
        <f>0+táj.2!N618</f>
        <v>0</v>
      </c>
      <c r="O618" s="179">
        <f>0+táj.2!O618</f>
        <v>0</v>
      </c>
      <c r="P618" s="179">
        <f>0+táj.2!P618</f>
        <v>0</v>
      </c>
      <c r="Q618" s="148">
        <f t="shared" si="44"/>
        <v>38348</v>
      </c>
    </row>
    <row r="619" spans="1:17" ht="24.75" customHeight="1" x14ac:dyDescent="0.2">
      <c r="A619" s="174"/>
      <c r="B619" s="174"/>
      <c r="C619" s="726" t="s">
        <v>1249</v>
      </c>
      <c r="D619" s="725" t="s">
        <v>888</v>
      </c>
      <c r="E619" s="503"/>
      <c r="F619" s="503">
        <v>163631</v>
      </c>
      <c r="G619" s="179">
        <f>0+táj.2!G619</f>
        <v>0</v>
      </c>
      <c r="H619" s="179">
        <f>0+táj.2!H619</f>
        <v>0</v>
      </c>
      <c r="I619" s="179">
        <f>0+táj.2!I619</f>
        <v>15000</v>
      </c>
      <c r="J619" s="179">
        <f>0+táj.2!J619</f>
        <v>0</v>
      </c>
      <c r="K619" s="179">
        <f>0+táj.2!K619</f>
        <v>0</v>
      </c>
      <c r="L619" s="179">
        <f>46527+táj.2!L619</f>
        <v>23613</v>
      </c>
      <c r="M619" s="179">
        <f>0+táj.2!M619</f>
        <v>0</v>
      </c>
      <c r="N619" s="179">
        <f>0+táj.2!N619</f>
        <v>0</v>
      </c>
      <c r="O619" s="179">
        <f>0+táj.2!O619</f>
        <v>0</v>
      </c>
      <c r="P619" s="179">
        <f>0+táj.2!P619</f>
        <v>0</v>
      </c>
      <c r="Q619" s="148">
        <f t="shared" ref="Q619:Q622" si="45">SUM(G619:P619)</f>
        <v>38613</v>
      </c>
    </row>
    <row r="620" spans="1:17" ht="15" customHeight="1" x14ac:dyDescent="0.2">
      <c r="A620" s="174"/>
      <c r="B620" s="174"/>
      <c r="C620" s="726" t="s">
        <v>1250</v>
      </c>
      <c r="D620" s="725" t="s">
        <v>885</v>
      </c>
      <c r="E620" s="503"/>
      <c r="F620" s="503">
        <v>162638</v>
      </c>
      <c r="G620" s="179">
        <f>0+táj.2!G620</f>
        <v>0</v>
      </c>
      <c r="H620" s="179">
        <f>0+táj.2!H620</f>
        <v>0</v>
      </c>
      <c r="I620" s="179">
        <f>2249+táj.2!I620</f>
        <v>2249</v>
      </c>
      <c r="J620" s="179">
        <f>0+táj.2!J620</f>
        <v>0</v>
      </c>
      <c r="K620" s="179">
        <f>0+táj.2!K620</f>
        <v>0</v>
      </c>
      <c r="L620" s="179">
        <f>5935+táj.2!L620</f>
        <v>5935</v>
      </c>
      <c r="M620" s="179">
        <f>0+táj.2!M620</f>
        <v>0</v>
      </c>
      <c r="N620" s="179">
        <f>0+táj.2!N620</f>
        <v>0</v>
      </c>
      <c r="O620" s="179">
        <f>0+táj.2!O620</f>
        <v>0</v>
      </c>
      <c r="P620" s="179">
        <f>0+táj.2!P620</f>
        <v>0</v>
      </c>
      <c r="Q620" s="148">
        <f t="shared" si="45"/>
        <v>8184</v>
      </c>
    </row>
    <row r="621" spans="1:17" ht="29.25" customHeight="1" x14ac:dyDescent="0.2">
      <c r="A621" s="174"/>
      <c r="B621" s="174"/>
      <c r="C621" s="726" t="s">
        <v>1251</v>
      </c>
      <c r="D621" s="725" t="s">
        <v>1252</v>
      </c>
      <c r="E621" s="503"/>
      <c r="F621" s="503">
        <v>163647</v>
      </c>
      <c r="G621" s="179">
        <f>0+táj.2!G621</f>
        <v>0</v>
      </c>
      <c r="H621" s="179">
        <f>0+táj.2!H621</f>
        <v>0</v>
      </c>
      <c r="I621" s="179">
        <f>0+táj.2!I621</f>
        <v>0</v>
      </c>
      <c r="J621" s="179">
        <f>0+táj.2!J621</f>
        <v>0</v>
      </c>
      <c r="K621" s="179">
        <f>0+táj.2!K621</f>
        <v>0</v>
      </c>
      <c r="L621" s="179">
        <f>289248+táj.2!L621</f>
        <v>289248</v>
      </c>
      <c r="M621" s="179">
        <f>0+táj.2!M621</f>
        <v>0</v>
      </c>
      <c r="N621" s="179">
        <f>0+táj.2!N621</f>
        <v>0</v>
      </c>
      <c r="O621" s="179">
        <f>0+táj.2!O621</f>
        <v>0</v>
      </c>
      <c r="P621" s="179">
        <f>0+táj.2!P621</f>
        <v>0</v>
      </c>
      <c r="Q621" s="148">
        <f t="shared" si="45"/>
        <v>289248</v>
      </c>
    </row>
    <row r="622" spans="1:17" ht="16.5" customHeight="1" x14ac:dyDescent="0.2">
      <c r="A622" s="174"/>
      <c r="B622" s="174"/>
      <c r="C622" s="726" t="s">
        <v>1253</v>
      </c>
      <c r="D622" s="767" t="s">
        <v>1254</v>
      </c>
      <c r="E622" s="348"/>
      <c r="F622" s="503">
        <v>162695</v>
      </c>
      <c r="G622" s="179">
        <f>0+táj.2!G622</f>
        <v>0</v>
      </c>
      <c r="H622" s="179">
        <f>0+táj.2!H622</f>
        <v>0</v>
      </c>
      <c r="I622" s="179">
        <f>0+táj.2!I622</f>
        <v>0</v>
      </c>
      <c r="J622" s="179">
        <f>0+táj.2!J622</f>
        <v>0</v>
      </c>
      <c r="K622" s="179">
        <f>4804+táj.2!K622</f>
        <v>4804</v>
      </c>
      <c r="L622" s="179">
        <f>0+táj.2!L622</f>
        <v>0</v>
      </c>
      <c r="M622" s="179">
        <f>0+táj.2!M622</f>
        <v>0</v>
      </c>
      <c r="N622" s="179">
        <f>0+táj.2!N622</f>
        <v>0</v>
      </c>
      <c r="O622" s="179">
        <f>0+táj.2!O622</f>
        <v>0</v>
      </c>
      <c r="P622" s="179">
        <f>0+táj.2!P622</f>
        <v>0</v>
      </c>
      <c r="Q622" s="148">
        <f t="shared" si="45"/>
        <v>4804</v>
      </c>
    </row>
    <row r="623" spans="1:17" ht="14.1" customHeight="1" x14ac:dyDescent="0.2">
      <c r="A623" s="325"/>
      <c r="B623" s="325"/>
      <c r="C623" s="326"/>
      <c r="D623" s="337" t="s">
        <v>889</v>
      </c>
      <c r="E623" s="338"/>
      <c r="F623" s="279"/>
      <c r="G623" s="377">
        <f t="shared" ref="G623:Q623" si="46">SUM(G491:G622)</f>
        <v>47035</v>
      </c>
      <c r="H623" s="377">
        <f t="shared" si="46"/>
        <v>9310</v>
      </c>
      <c r="I623" s="377">
        <f t="shared" si="46"/>
        <v>5973995</v>
      </c>
      <c r="J623" s="377">
        <f t="shared" si="46"/>
        <v>0</v>
      </c>
      <c r="K623" s="377">
        <f t="shared" si="46"/>
        <v>5704</v>
      </c>
      <c r="L623" s="377">
        <f t="shared" si="46"/>
        <v>33371950</v>
      </c>
      <c r="M623" s="377">
        <f t="shared" si="46"/>
        <v>6106105</v>
      </c>
      <c r="N623" s="377">
        <f t="shared" si="46"/>
        <v>15514</v>
      </c>
      <c r="O623" s="377">
        <f t="shared" si="46"/>
        <v>0</v>
      </c>
      <c r="P623" s="377">
        <f t="shared" si="46"/>
        <v>0</v>
      </c>
      <c r="Q623" s="377">
        <f t="shared" si="46"/>
        <v>45529613</v>
      </c>
    </row>
    <row r="624" spans="1:17" ht="15" customHeight="1" x14ac:dyDescent="0.2">
      <c r="A624" s="174">
        <v>1</v>
      </c>
      <c r="B624" s="174">
        <v>17</v>
      </c>
      <c r="C624" s="194"/>
      <c r="D624" s="896" t="s">
        <v>890</v>
      </c>
      <c r="E624" s="207"/>
      <c r="F624" s="148"/>
      <c r="G624" s="148"/>
      <c r="H624" s="179"/>
      <c r="I624" s="179"/>
      <c r="J624" s="179"/>
      <c r="K624" s="179"/>
      <c r="L624" s="179"/>
      <c r="M624" s="148"/>
      <c r="N624" s="148"/>
      <c r="O624" s="148"/>
      <c r="P624" s="148"/>
      <c r="Q624" s="148"/>
    </row>
    <row r="625" spans="1:17" ht="15" customHeight="1" x14ac:dyDescent="0.2">
      <c r="A625" s="174"/>
      <c r="B625" s="174"/>
      <c r="C625" s="194"/>
      <c r="D625" s="195" t="s">
        <v>238</v>
      </c>
      <c r="E625" s="212"/>
      <c r="F625" s="185"/>
      <c r="G625" s="148"/>
      <c r="H625" s="179"/>
      <c r="I625" s="179"/>
      <c r="J625" s="179"/>
      <c r="K625" s="179"/>
      <c r="L625" s="179"/>
      <c r="M625" s="148"/>
      <c r="N625" s="148"/>
      <c r="O625" s="148"/>
      <c r="P625" s="148"/>
      <c r="Q625" s="148"/>
    </row>
    <row r="626" spans="1:17" ht="15" customHeight="1" x14ac:dyDescent="0.2">
      <c r="A626" s="174"/>
      <c r="B626" s="174"/>
      <c r="C626" s="194"/>
      <c r="D626" s="190" t="s">
        <v>891</v>
      </c>
      <c r="E626" s="148">
        <v>1</v>
      </c>
      <c r="F626" s="148">
        <v>171905</v>
      </c>
      <c r="G626" s="148">
        <f>0+táj.2!G626</f>
        <v>0</v>
      </c>
      <c r="H626" s="148">
        <f>0+táj.2!H626</f>
        <v>0</v>
      </c>
      <c r="I626" s="148">
        <f>7455+táj.2!I626</f>
        <v>5907</v>
      </c>
      <c r="J626" s="148">
        <f>0+táj.2!J626</f>
        <v>0</v>
      </c>
      <c r="K626" s="148">
        <f>0+táj.2!K626</f>
        <v>0</v>
      </c>
      <c r="L626" s="148">
        <f>0+táj.2!L626</f>
        <v>0</v>
      </c>
      <c r="M626" s="148">
        <f>0+táj.2!M626</f>
        <v>1548</v>
      </c>
      <c r="N626" s="148">
        <f>1800+táj.2!N626</f>
        <v>1800</v>
      </c>
      <c r="O626" s="148">
        <f>0+táj.2!O626</f>
        <v>0</v>
      </c>
      <c r="P626" s="148">
        <f>0+táj.2!P626</f>
        <v>0</v>
      </c>
      <c r="Q626" s="148">
        <f t="shared" ref="Q626:Q634" si="47">SUM(G626:P626)</f>
        <v>9255</v>
      </c>
    </row>
    <row r="627" spans="1:17" ht="15" customHeight="1" x14ac:dyDescent="0.2">
      <c r="A627" s="174"/>
      <c r="B627" s="174"/>
      <c r="C627" s="194"/>
      <c r="D627" s="190" t="s">
        <v>892</v>
      </c>
      <c r="E627" s="148">
        <v>1</v>
      </c>
      <c r="F627" s="148">
        <v>171903</v>
      </c>
      <c r="G627" s="148">
        <f>0+táj.2!G627</f>
        <v>0</v>
      </c>
      <c r="H627" s="148">
        <f>0+táj.2!H627</f>
        <v>0</v>
      </c>
      <c r="I627" s="148">
        <f>500+táj.2!I627</f>
        <v>500</v>
      </c>
      <c r="J627" s="148">
        <f>0+táj.2!J627</f>
        <v>0</v>
      </c>
      <c r="K627" s="148">
        <f>0+táj.2!K627</f>
        <v>0</v>
      </c>
      <c r="L627" s="148">
        <f>0+táj.2!L627</f>
        <v>0</v>
      </c>
      <c r="M627" s="148">
        <f>0+táj.2!M627</f>
        <v>0</v>
      </c>
      <c r="N627" s="148">
        <f>0+táj.2!N627</f>
        <v>0</v>
      </c>
      <c r="O627" s="148">
        <f>0+táj.2!O627</f>
        <v>0</v>
      </c>
      <c r="P627" s="148">
        <f>0+táj.2!P627</f>
        <v>0</v>
      </c>
      <c r="Q627" s="148">
        <f t="shared" si="47"/>
        <v>500</v>
      </c>
    </row>
    <row r="628" spans="1:17" ht="15" customHeight="1" x14ac:dyDescent="0.2">
      <c r="A628" s="174"/>
      <c r="B628" s="174"/>
      <c r="C628" s="194"/>
      <c r="D628" s="190" t="s">
        <v>893</v>
      </c>
      <c r="E628" s="185">
        <v>1</v>
      </c>
      <c r="F628" s="148">
        <v>171920</v>
      </c>
      <c r="G628" s="148">
        <f>0+táj.2!G628</f>
        <v>0</v>
      </c>
      <c r="H628" s="148">
        <f>0+táj.2!H628</f>
        <v>0</v>
      </c>
      <c r="I628" s="148">
        <f>5899+táj.2!I628</f>
        <v>5899</v>
      </c>
      <c r="J628" s="148">
        <f>0+táj.2!J628</f>
        <v>0</v>
      </c>
      <c r="K628" s="148">
        <f>0+táj.2!K628</f>
        <v>0</v>
      </c>
      <c r="L628" s="148">
        <f>0+táj.2!L628</f>
        <v>0</v>
      </c>
      <c r="M628" s="148">
        <f>0+táj.2!M628</f>
        <v>0</v>
      </c>
      <c r="N628" s="148">
        <f>0+táj.2!N628</f>
        <v>0</v>
      </c>
      <c r="O628" s="148">
        <f>0+táj.2!O628</f>
        <v>0</v>
      </c>
      <c r="P628" s="148">
        <f>0+táj.2!P628</f>
        <v>0</v>
      </c>
      <c r="Q628" s="148">
        <f t="shared" si="47"/>
        <v>5899</v>
      </c>
    </row>
    <row r="629" spans="1:17" ht="15" customHeight="1" x14ac:dyDescent="0.2">
      <c r="A629" s="174"/>
      <c r="B629" s="174"/>
      <c r="C629" s="194"/>
      <c r="D629" s="199" t="s">
        <v>894</v>
      </c>
      <c r="E629" s="153">
        <v>1</v>
      </c>
      <c r="F629" s="148">
        <v>171956</v>
      </c>
      <c r="G629" s="148">
        <f>0+táj.2!G629</f>
        <v>0</v>
      </c>
      <c r="H629" s="148">
        <f>0+táj.2!H629</f>
        <v>0</v>
      </c>
      <c r="I629" s="148">
        <f>2841+táj.2!I629</f>
        <v>2841</v>
      </c>
      <c r="J629" s="148">
        <f>0+táj.2!J629</f>
        <v>0</v>
      </c>
      <c r="K629" s="148">
        <f>0+táj.2!K629</f>
        <v>0</v>
      </c>
      <c r="L629" s="148">
        <f>0+táj.2!L629</f>
        <v>0</v>
      </c>
      <c r="M629" s="148">
        <f>0+táj.2!M629</f>
        <v>0</v>
      </c>
      <c r="N629" s="148">
        <f>0+táj.2!N629</f>
        <v>0</v>
      </c>
      <c r="O629" s="148">
        <f>0+táj.2!O629</f>
        <v>0</v>
      </c>
      <c r="P629" s="148">
        <f>0+táj.2!P629</f>
        <v>0</v>
      </c>
      <c r="Q629" s="148">
        <f t="shared" si="47"/>
        <v>2841</v>
      </c>
    </row>
    <row r="630" spans="1:17" ht="15" customHeight="1" x14ac:dyDescent="0.2">
      <c r="A630" s="174"/>
      <c r="B630" s="174"/>
      <c r="C630" s="194"/>
      <c r="D630" s="199" t="s">
        <v>895</v>
      </c>
      <c r="E630" s="153">
        <v>1</v>
      </c>
      <c r="F630" s="148">
        <v>171958</v>
      </c>
      <c r="G630" s="148">
        <f>0+táj.2!G630</f>
        <v>0</v>
      </c>
      <c r="H630" s="148">
        <f>0+táj.2!H630</f>
        <v>0</v>
      </c>
      <c r="I630" s="148">
        <f>660+táj.2!I630</f>
        <v>660</v>
      </c>
      <c r="J630" s="148">
        <f>0+táj.2!J630</f>
        <v>0</v>
      </c>
      <c r="K630" s="148">
        <f>0+táj.2!K630</f>
        <v>0</v>
      </c>
      <c r="L630" s="148">
        <f>0+táj.2!L630</f>
        <v>0</v>
      </c>
      <c r="M630" s="148">
        <f>0+táj.2!M630</f>
        <v>0</v>
      </c>
      <c r="N630" s="148">
        <f>0+táj.2!N630</f>
        <v>0</v>
      </c>
      <c r="O630" s="148">
        <f>0+táj.2!O630</f>
        <v>0</v>
      </c>
      <c r="P630" s="148">
        <f>0+táj.2!P630</f>
        <v>0</v>
      </c>
      <c r="Q630" s="148">
        <f t="shared" si="47"/>
        <v>660</v>
      </c>
    </row>
    <row r="631" spans="1:17" ht="15" customHeight="1" x14ac:dyDescent="0.2">
      <c r="A631" s="174"/>
      <c r="B631" s="174"/>
      <c r="C631" s="194"/>
      <c r="D631" s="199" t="s">
        <v>896</v>
      </c>
      <c r="E631" s="153">
        <v>1</v>
      </c>
      <c r="F631" s="148">
        <v>171904</v>
      </c>
      <c r="G631" s="148">
        <f>0+táj.2!G631</f>
        <v>0</v>
      </c>
      <c r="H631" s="148">
        <f>0+táj.2!H631</f>
        <v>0</v>
      </c>
      <c r="I631" s="148">
        <f>2000+táj.2!I631</f>
        <v>2000</v>
      </c>
      <c r="J631" s="148">
        <f>0+táj.2!J631</f>
        <v>0</v>
      </c>
      <c r="K631" s="148">
        <f>0+táj.2!K631</f>
        <v>0</v>
      </c>
      <c r="L631" s="148">
        <f>0+táj.2!L631</f>
        <v>0</v>
      </c>
      <c r="M631" s="148">
        <f>0+táj.2!M631</f>
        <v>0</v>
      </c>
      <c r="N631" s="148">
        <f>0+táj.2!N631</f>
        <v>0</v>
      </c>
      <c r="O631" s="148">
        <f>0+táj.2!O631</f>
        <v>0</v>
      </c>
      <c r="P631" s="148">
        <f>0+táj.2!P631</f>
        <v>0</v>
      </c>
      <c r="Q631" s="148">
        <f t="shared" si="47"/>
        <v>2000</v>
      </c>
    </row>
    <row r="632" spans="1:17" ht="15" customHeight="1" x14ac:dyDescent="0.2">
      <c r="A632" s="174"/>
      <c r="B632" s="174"/>
      <c r="C632" s="194"/>
      <c r="D632" s="190" t="s">
        <v>897</v>
      </c>
      <c r="E632" s="148">
        <v>1</v>
      </c>
      <c r="F632" s="148">
        <v>171902</v>
      </c>
      <c r="G632" s="148">
        <f>0+táj.2!G632</f>
        <v>0</v>
      </c>
      <c r="H632" s="148">
        <f>0+táj.2!H632</f>
        <v>0</v>
      </c>
      <c r="I632" s="148">
        <f>15022+táj.2!I632</f>
        <v>15022</v>
      </c>
      <c r="J632" s="148">
        <f>0+táj.2!J632</f>
        <v>0</v>
      </c>
      <c r="K632" s="148">
        <f>0+táj.2!K632</f>
        <v>0</v>
      </c>
      <c r="L632" s="148">
        <f>0+táj.2!L632</f>
        <v>0</v>
      </c>
      <c r="M632" s="148">
        <f>0+táj.2!M632</f>
        <v>0</v>
      </c>
      <c r="N632" s="148">
        <f>0+táj.2!N632</f>
        <v>0</v>
      </c>
      <c r="O632" s="148">
        <f>0+táj.2!O632</f>
        <v>0</v>
      </c>
      <c r="P632" s="148">
        <f>0+táj.2!P632</f>
        <v>0</v>
      </c>
      <c r="Q632" s="148">
        <f t="shared" si="47"/>
        <v>15022</v>
      </c>
    </row>
    <row r="633" spans="1:17" ht="15" customHeight="1" x14ac:dyDescent="0.2">
      <c r="A633" s="174"/>
      <c r="B633" s="174"/>
      <c r="C633" s="194"/>
      <c r="D633" s="190" t="s">
        <v>898</v>
      </c>
      <c r="E633" s="148">
        <v>1</v>
      </c>
      <c r="F633" s="148">
        <v>171925</v>
      </c>
      <c r="G633" s="148">
        <f>0+táj.2!G633</f>
        <v>0</v>
      </c>
      <c r="H633" s="148">
        <f>0+táj.2!H633</f>
        <v>0</v>
      </c>
      <c r="I633" s="148">
        <f>500+táj.2!I633</f>
        <v>500</v>
      </c>
      <c r="J633" s="148">
        <f>0+táj.2!J633</f>
        <v>0</v>
      </c>
      <c r="K633" s="148">
        <f>0+táj.2!K633</f>
        <v>0</v>
      </c>
      <c r="L633" s="148">
        <f>0+táj.2!L633</f>
        <v>0</v>
      </c>
      <c r="M633" s="148">
        <f>0+táj.2!M633</f>
        <v>0</v>
      </c>
      <c r="N633" s="148">
        <f>0+táj.2!N633</f>
        <v>0</v>
      </c>
      <c r="O633" s="148">
        <f>0+táj.2!O633</f>
        <v>0</v>
      </c>
      <c r="P633" s="148">
        <f>0+táj.2!P633</f>
        <v>0</v>
      </c>
      <c r="Q633" s="148">
        <f t="shared" si="47"/>
        <v>500</v>
      </c>
    </row>
    <row r="634" spans="1:17" ht="23.25" customHeight="1" x14ac:dyDescent="0.2">
      <c r="A634" s="174"/>
      <c r="B634" s="174"/>
      <c r="C634" s="726"/>
      <c r="D634" s="768" t="s">
        <v>1255</v>
      </c>
      <c r="E634" s="769">
        <v>1</v>
      </c>
      <c r="F634" s="148">
        <v>171911</v>
      </c>
      <c r="G634" s="148">
        <f>0+táj.2!G634</f>
        <v>0</v>
      </c>
      <c r="H634" s="148">
        <f>0+táj.2!H634</f>
        <v>0</v>
      </c>
      <c r="I634" s="148">
        <f>25900+táj.2!I634</f>
        <v>25900</v>
      </c>
      <c r="J634" s="148">
        <f>0+táj.2!J634</f>
        <v>0</v>
      </c>
      <c r="K634" s="148">
        <f>0+táj.2!K634</f>
        <v>0</v>
      </c>
      <c r="L634" s="148">
        <f>0+táj.2!L634</f>
        <v>0</v>
      </c>
      <c r="M634" s="148">
        <f>0+táj.2!M634</f>
        <v>0</v>
      </c>
      <c r="N634" s="148">
        <f>0+táj.2!N634</f>
        <v>0</v>
      </c>
      <c r="O634" s="148">
        <f>0+táj.2!O634</f>
        <v>0</v>
      </c>
      <c r="P634" s="148">
        <f>0+táj.2!P634</f>
        <v>0</v>
      </c>
      <c r="Q634" s="148">
        <f t="shared" si="47"/>
        <v>25900</v>
      </c>
    </row>
    <row r="635" spans="1:17" ht="15" customHeight="1" x14ac:dyDescent="0.2">
      <c r="A635" s="174"/>
      <c r="B635" s="174"/>
      <c r="C635" s="174"/>
      <c r="D635" s="148" t="s">
        <v>899</v>
      </c>
      <c r="E635" s="207"/>
      <c r="F635" s="148"/>
      <c r="G635" s="148"/>
      <c r="H635" s="179"/>
      <c r="I635" s="148"/>
      <c r="J635" s="179"/>
      <c r="K635" s="179"/>
      <c r="L635" s="179"/>
      <c r="M635" s="148"/>
      <c r="N635" s="148"/>
      <c r="O635" s="148"/>
      <c r="P635" s="148"/>
      <c r="Q635" s="148"/>
    </row>
    <row r="636" spans="1:17" ht="15" customHeight="1" x14ac:dyDescent="0.2">
      <c r="A636" s="174"/>
      <c r="B636" s="174"/>
      <c r="C636" s="174"/>
      <c r="D636" s="388" t="s">
        <v>900</v>
      </c>
      <c r="E636" s="207">
        <v>1</v>
      </c>
      <c r="F636" s="148">
        <v>171954</v>
      </c>
      <c r="G636" s="148">
        <f>0+táj.2!G636</f>
        <v>0</v>
      </c>
      <c r="H636" s="148">
        <f>0+táj.2!H636</f>
        <v>0</v>
      </c>
      <c r="I636" s="148">
        <f>500+táj.2!I636</f>
        <v>500</v>
      </c>
      <c r="J636" s="148">
        <f>0+táj.2!J636</f>
        <v>0</v>
      </c>
      <c r="K636" s="148">
        <f>0+táj.2!K636</f>
        <v>0</v>
      </c>
      <c r="L636" s="148">
        <f>0+táj.2!L636</f>
        <v>0</v>
      </c>
      <c r="M636" s="148">
        <f>0+táj.2!M636</f>
        <v>0</v>
      </c>
      <c r="N636" s="148">
        <f>0+táj.2!N636</f>
        <v>0</v>
      </c>
      <c r="O636" s="148">
        <f>0+táj.2!O636</f>
        <v>0</v>
      </c>
      <c r="P636" s="148">
        <f>0+táj.2!P636</f>
        <v>0</v>
      </c>
      <c r="Q636" s="148">
        <f>SUM(G636:P636)</f>
        <v>500</v>
      </c>
    </row>
    <row r="637" spans="1:17" ht="15" customHeight="1" x14ac:dyDescent="0.2">
      <c r="A637" s="200"/>
      <c r="B637" s="200"/>
      <c r="C637" s="201"/>
      <c r="D637" s="159" t="s">
        <v>901</v>
      </c>
      <c r="E637" s="203"/>
      <c r="F637" s="204"/>
      <c r="G637" s="204">
        <f t="shared" ref="G637:Q637" si="48">SUM(G625:G636)</f>
        <v>0</v>
      </c>
      <c r="H637" s="204">
        <f t="shared" si="48"/>
        <v>0</v>
      </c>
      <c r="I637" s="204">
        <f t="shared" si="48"/>
        <v>59729</v>
      </c>
      <c r="J637" s="204">
        <f t="shared" si="48"/>
        <v>0</v>
      </c>
      <c r="K637" s="204">
        <f t="shared" si="48"/>
        <v>0</v>
      </c>
      <c r="L637" s="204">
        <f t="shared" si="48"/>
        <v>0</v>
      </c>
      <c r="M637" s="204">
        <f t="shared" si="48"/>
        <v>1548</v>
      </c>
      <c r="N637" s="204">
        <f t="shared" si="48"/>
        <v>1800</v>
      </c>
      <c r="O637" s="204">
        <f t="shared" si="48"/>
        <v>0</v>
      </c>
      <c r="P637" s="204">
        <f t="shared" si="48"/>
        <v>0</v>
      </c>
      <c r="Q637" s="204">
        <f t="shared" si="48"/>
        <v>63077</v>
      </c>
    </row>
    <row r="638" spans="1:17" ht="14.1" customHeight="1" x14ac:dyDescent="0.2">
      <c r="A638" s="206"/>
      <c r="B638" s="206"/>
      <c r="C638" s="259"/>
      <c r="D638" s="281" t="s">
        <v>902</v>
      </c>
      <c r="E638" s="209"/>
      <c r="F638" s="210"/>
      <c r="G638" s="210"/>
      <c r="H638" s="210"/>
      <c r="I638" s="210"/>
      <c r="J638" s="210"/>
      <c r="K638" s="210"/>
      <c r="L638" s="210"/>
      <c r="M638" s="210"/>
      <c r="N638" s="210"/>
      <c r="O638" s="210"/>
      <c r="P638" s="210"/>
      <c r="Q638" s="210"/>
    </row>
    <row r="639" spans="1:17" ht="27.75" customHeight="1" x14ac:dyDescent="0.2">
      <c r="A639" s="206"/>
      <c r="B639" s="206"/>
      <c r="C639" s="726" t="s">
        <v>100</v>
      </c>
      <c r="D639" s="770" t="s">
        <v>903</v>
      </c>
      <c r="E639" s="771"/>
      <c r="F639" s="339">
        <v>171980</v>
      </c>
      <c r="G639" s="148">
        <f>0+táj.2!G639</f>
        <v>0</v>
      </c>
      <c r="H639" s="148">
        <f>0+táj.2!H639</f>
        <v>0</v>
      </c>
      <c r="I639" s="148">
        <f>0+táj.2!I639</f>
        <v>0</v>
      </c>
      <c r="J639" s="148">
        <f>0+táj.2!J639</f>
        <v>0</v>
      </c>
      <c r="K639" s="148">
        <f>0+táj.2!K639</f>
        <v>0</v>
      </c>
      <c r="L639" s="148">
        <f>0+táj.2!L639</f>
        <v>0</v>
      </c>
      <c r="M639" s="148">
        <f>0+táj.2!M639</f>
        <v>0</v>
      </c>
      <c r="N639" s="148">
        <f>35000+táj.2!N639</f>
        <v>35000</v>
      </c>
      <c r="O639" s="148">
        <f>0+táj.2!O639</f>
        <v>0</v>
      </c>
      <c r="P639" s="148">
        <f>0+táj.2!P639</f>
        <v>0</v>
      </c>
      <c r="Q639" s="148">
        <f>SUM(G639:P639)</f>
        <v>35000</v>
      </c>
    </row>
    <row r="640" spans="1:17" ht="15.75" customHeight="1" x14ac:dyDescent="0.2">
      <c r="A640" s="206"/>
      <c r="B640" s="206"/>
      <c r="C640" s="726" t="s">
        <v>99</v>
      </c>
      <c r="D640" s="725" t="s">
        <v>1256</v>
      </c>
      <c r="E640" s="772"/>
      <c r="F640" s="148">
        <v>172901</v>
      </c>
      <c r="G640" s="148">
        <f>0+táj.2!G640</f>
        <v>0</v>
      </c>
      <c r="H640" s="148">
        <f>0+táj.2!H640</f>
        <v>0</v>
      </c>
      <c r="I640" s="148">
        <f>617+táj.2!I640</f>
        <v>617</v>
      </c>
      <c r="J640" s="148">
        <f>0+táj.2!J640</f>
        <v>0</v>
      </c>
      <c r="K640" s="148">
        <f>0+táj.2!K640</f>
        <v>0</v>
      </c>
      <c r="L640" s="148">
        <f>6763+táj.2!L640</f>
        <v>6763</v>
      </c>
      <c r="M640" s="148">
        <f>0+táj.2!M640</f>
        <v>0</v>
      </c>
      <c r="N640" s="148">
        <f>0+táj.2!N640</f>
        <v>0</v>
      </c>
      <c r="O640" s="148">
        <f>0+táj.2!O640</f>
        <v>0</v>
      </c>
      <c r="P640" s="148">
        <f>0+táj.2!P640</f>
        <v>0</v>
      </c>
      <c r="Q640" s="198">
        <f>SUM(G640:P640)</f>
        <v>7380</v>
      </c>
    </row>
    <row r="641" spans="1:17" ht="26.25" customHeight="1" x14ac:dyDescent="0.2">
      <c r="A641" s="206"/>
      <c r="B641" s="206"/>
      <c r="C641" s="726" t="s">
        <v>101</v>
      </c>
      <c r="D641" s="725" t="s">
        <v>1257</v>
      </c>
      <c r="E641" s="772"/>
      <c r="F641" s="148">
        <v>172926</v>
      </c>
      <c r="G641" s="148">
        <f>0+táj.2!G641</f>
        <v>0</v>
      </c>
      <c r="H641" s="148">
        <f>0+táj.2!H641</f>
        <v>0</v>
      </c>
      <c r="I641" s="148">
        <f>0+táj.2!I641</f>
        <v>0</v>
      </c>
      <c r="J641" s="148">
        <f>0+táj.2!J641</f>
        <v>0</v>
      </c>
      <c r="K641" s="148">
        <f>0+táj.2!K641</f>
        <v>0</v>
      </c>
      <c r="L641" s="148">
        <f>0+táj.2!L641</f>
        <v>0</v>
      </c>
      <c r="M641" s="148">
        <f>0+táj.2!M641</f>
        <v>0</v>
      </c>
      <c r="N641" s="148">
        <f>7006+táj.2!N641</f>
        <v>7006</v>
      </c>
      <c r="O641" s="148">
        <f>0+táj.2!O641</f>
        <v>0</v>
      </c>
      <c r="P641" s="148">
        <f>0+táj.2!P641</f>
        <v>0</v>
      </c>
      <c r="Q641" s="198">
        <f>SUM(G641:P641)</f>
        <v>7006</v>
      </c>
    </row>
    <row r="642" spans="1:17" ht="15.95" customHeight="1" x14ac:dyDescent="0.2">
      <c r="A642" s="206"/>
      <c r="B642" s="206"/>
      <c r="C642" s="726"/>
      <c r="D642" s="707" t="s">
        <v>1145</v>
      </c>
      <c r="E642" s="771"/>
      <c r="F642" s="339"/>
      <c r="G642" s="148"/>
      <c r="H642" s="210"/>
      <c r="I642" s="210"/>
      <c r="J642" s="210"/>
      <c r="K642" s="210"/>
      <c r="L642" s="148"/>
      <c r="M642" s="148"/>
      <c r="N642" s="148"/>
      <c r="O642" s="148"/>
      <c r="P642" s="148"/>
      <c r="Q642" s="148"/>
    </row>
    <row r="643" spans="1:17" ht="14.25" customHeight="1" x14ac:dyDescent="0.2">
      <c r="A643" s="206"/>
      <c r="B643" s="206"/>
      <c r="C643" s="726" t="s">
        <v>382</v>
      </c>
      <c r="D643" s="773" t="s">
        <v>904</v>
      </c>
      <c r="E643" s="774"/>
      <c r="F643" s="148">
        <v>162603</v>
      </c>
      <c r="G643" s="148">
        <f>0+táj.2!G643</f>
        <v>0</v>
      </c>
      <c r="H643" s="148">
        <f>0+táj.2!H643</f>
        <v>0</v>
      </c>
      <c r="I643" s="148">
        <f>0+táj.2!I643</f>
        <v>111</v>
      </c>
      <c r="J643" s="148">
        <f>0+táj.2!J643</f>
        <v>0</v>
      </c>
      <c r="K643" s="148">
        <f>0+táj.2!K643</f>
        <v>0</v>
      </c>
      <c r="L643" s="148">
        <f>40448+táj.2!L643</f>
        <v>40337</v>
      </c>
      <c r="M643" s="148">
        <f>0+táj.2!M643</f>
        <v>0</v>
      </c>
      <c r="N643" s="148">
        <f>0+táj.2!N643</f>
        <v>0</v>
      </c>
      <c r="O643" s="148">
        <f>0+táj.2!O643</f>
        <v>0</v>
      </c>
      <c r="P643" s="148">
        <f>0+táj.2!P643</f>
        <v>0</v>
      </c>
      <c r="Q643" s="148">
        <f>SUM(G643:P643)</f>
        <v>40448</v>
      </c>
    </row>
    <row r="644" spans="1:17" ht="15.95" customHeight="1" x14ac:dyDescent="0.2">
      <c r="A644" s="206"/>
      <c r="B644" s="206"/>
      <c r="C644" s="726" t="s">
        <v>384</v>
      </c>
      <c r="D644" s="775" t="s">
        <v>905</v>
      </c>
      <c r="E644" s="708"/>
      <c r="F644" s="148">
        <v>172920</v>
      </c>
      <c r="G644" s="148">
        <f>0+táj.2!G644</f>
        <v>0</v>
      </c>
      <c r="H644" s="148">
        <f>0+táj.2!H644</f>
        <v>0</v>
      </c>
      <c r="I644" s="148">
        <f>7535+táj.2!I644</f>
        <v>7535</v>
      </c>
      <c r="J644" s="148">
        <f>0+táj.2!J644</f>
        <v>0</v>
      </c>
      <c r="K644" s="148">
        <f>0+táj.2!K644</f>
        <v>0</v>
      </c>
      <c r="L644" s="148">
        <f>0+táj.2!L644</f>
        <v>0</v>
      </c>
      <c r="M644" s="148">
        <f>0+táj.2!M644</f>
        <v>0</v>
      </c>
      <c r="N644" s="148">
        <f>0+táj.2!N644</f>
        <v>0</v>
      </c>
      <c r="O644" s="148">
        <f>0+táj.2!O644</f>
        <v>0</v>
      </c>
      <c r="P644" s="148">
        <f>350000+táj.2!P644</f>
        <v>350000</v>
      </c>
      <c r="Q644" s="148">
        <f>SUM(G644:P644)</f>
        <v>357535</v>
      </c>
    </row>
    <row r="645" spans="1:17" ht="15.95" customHeight="1" x14ac:dyDescent="0.2">
      <c r="A645" s="206"/>
      <c r="B645" s="206"/>
      <c r="C645" s="726" t="s">
        <v>644</v>
      </c>
      <c r="D645" s="737" t="s">
        <v>906</v>
      </c>
      <c r="E645" s="772"/>
      <c r="F645" s="503">
        <v>172923</v>
      </c>
      <c r="G645" s="148">
        <f>0+táj.2!G645</f>
        <v>0</v>
      </c>
      <c r="H645" s="148">
        <f>0+táj.2!H645</f>
        <v>0</v>
      </c>
      <c r="I645" s="148">
        <f>3036+táj.2!I645</f>
        <v>3036</v>
      </c>
      <c r="J645" s="148">
        <f>0+táj.2!J645</f>
        <v>0</v>
      </c>
      <c r="K645" s="148">
        <f>0+táj.2!K645</f>
        <v>0</v>
      </c>
      <c r="L645" s="148">
        <f>49+táj.2!L645</f>
        <v>49</v>
      </c>
      <c r="M645" s="148">
        <f>0+táj.2!M645</f>
        <v>0</v>
      </c>
      <c r="N645" s="148">
        <f>0+táj.2!N645</f>
        <v>0</v>
      </c>
      <c r="O645" s="148">
        <f>0+táj.2!O645</f>
        <v>0</v>
      </c>
      <c r="P645" s="148">
        <f>0+táj.2!P645</f>
        <v>0</v>
      </c>
      <c r="Q645" s="148">
        <f>SUM(G645:P645)</f>
        <v>3085</v>
      </c>
    </row>
    <row r="646" spans="1:17" ht="15.95" customHeight="1" x14ac:dyDescent="0.2">
      <c r="A646" s="200"/>
      <c r="B646" s="200"/>
      <c r="C646" s="201"/>
      <c r="D646" s="159" t="s">
        <v>319</v>
      </c>
      <c r="E646" s="203"/>
      <c r="F646" s="204"/>
      <c r="G646" s="204">
        <f t="shared" ref="G646:Q646" si="49">SUM(G637:G645)</f>
        <v>0</v>
      </c>
      <c r="H646" s="204">
        <f t="shared" si="49"/>
        <v>0</v>
      </c>
      <c r="I646" s="204">
        <f t="shared" si="49"/>
        <v>71028</v>
      </c>
      <c r="J646" s="204">
        <f t="shared" si="49"/>
        <v>0</v>
      </c>
      <c r="K646" s="204">
        <f t="shared" si="49"/>
        <v>0</v>
      </c>
      <c r="L646" s="204">
        <f t="shared" si="49"/>
        <v>47149</v>
      </c>
      <c r="M646" s="204">
        <f t="shared" si="49"/>
        <v>1548</v>
      </c>
      <c r="N646" s="204">
        <f t="shared" si="49"/>
        <v>43806</v>
      </c>
      <c r="O646" s="204">
        <f t="shared" si="49"/>
        <v>0</v>
      </c>
      <c r="P646" s="204">
        <f t="shared" si="49"/>
        <v>350000</v>
      </c>
      <c r="Q646" s="204">
        <f t="shared" si="49"/>
        <v>513531</v>
      </c>
    </row>
    <row r="647" spans="1:17" ht="14.1" customHeight="1" x14ac:dyDescent="0.2">
      <c r="A647" s="174">
        <v>1</v>
      </c>
      <c r="B647" s="174">
        <v>18</v>
      </c>
      <c r="C647" s="194"/>
      <c r="D647" s="276" t="s">
        <v>907</v>
      </c>
      <c r="E647" s="209"/>
      <c r="F647" s="209"/>
      <c r="G647" s="148"/>
      <c r="H647" s="179"/>
      <c r="I647" s="179"/>
      <c r="J647" s="179"/>
      <c r="K647" s="179"/>
      <c r="L647" s="179"/>
      <c r="M647" s="148"/>
      <c r="N647" s="148"/>
      <c r="O647" s="148"/>
      <c r="P647" s="148"/>
      <c r="Q647" s="148"/>
    </row>
    <row r="648" spans="1:17" ht="14.1" customHeight="1" x14ac:dyDescent="0.2">
      <c r="A648" s="174"/>
      <c r="B648" s="174"/>
      <c r="C648" s="194"/>
      <c r="D648" s="277" t="s">
        <v>238</v>
      </c>
      <c r="E648" s="212"/>
      <c r="F648" s="212"/>
      <c r="G648" s="148"/>
      <c r="H648" s="179"/>
      <c r="I648" s="179"/>
      <c r="J648" s="179"/>
      <c r="K648" s="179"/>
      <c r="L648" s="179"/>
      <c r="M648" s="148"/>
      <c r="N648" s="148"/>
      <c r="O648" s="148"/>
      <c r="P648" s="148"/>
      <c r="Q648" s="148"/>
    </row>
    <row r="649" spans="1:17" ht="14.1" customHeight="1" x14ac:dyDescent="0.2">
      <c r="A649" s="174"/>
      <c r="B649" s="174"/>
      <c r="C649" s="194"/>
      <c r="D649" s="277" t="s">
        <v>908</v>
      </c>
      <c r="E649" s="148">
        <v>2</v>
      </c>
      <c r="F649" s="148">
        <v>181905</v>
      </c>
      <c r="G649" s="148">
        <f>0+táj.2!G649</f>
        <v>0</v>
      </c>
      <c r="H649" s="148">
        <f>0+táj.2!H649</f>
        <v>0</v>
      </c>
      <c r="I649" s="148">
        <f>18039+táj.2!I649</f>
        <v>18039</v>
      </c>
      <c r="J649" s="148">
        <f>0+táj.2!J649</f>
        <v>0</v>
      </c>
      <c r="K649" s="148">
        <f>0+táj.2!K649</f>
        <v>0</v>
      </c>
      <c r="L649" s="148">
        <f>0+táj.2!L649</f>
        <v>0</v>
      </c>
      <c r="M649" s="148">
        <f>0+táj.2!M649</f>
        <v>0</v>
      </c>
      <c r="N649" s="148">
        <f>0+táj.2!N649</f>
        <v>0</v>
      </c>
      <c r="O649" s="148">
        <f>0+táj.2!O649</f>
        <v>0</v>
      </c>
      <c r="P649" s="148">
        <f>0+táj.2!P649</f>
        <v>0</v>
      </c>
      <c r="Q649" s="148">
        <f>SUM(G649:P649)</f>
        <v>18039</v>
      </c>
    </row>
    <row r="650" spans="1:17" ht="27.75" customHeight="1" x14ac:dyDescent="0.2">
      <c r="A650" s="174"/>
      <c r="B650" s="174"/>
      <c r="C650" s="194"/>
      <c r="D650" s="150" t="s">
        <v>909</v>
      </c>
      <c r="E650" s="148">
        <v>1</v>
      </c>
      <c r="F650" s="148" t="s">
        <v>322</v>
      </c>
      <c r="G650" s="148">
        <f>0+táj.2!G650</f>
        <v>0</v>
      </c>
      <c r="H650" s="148">
        <f>0+táj.2!H650</f>
        <v>0</v>
      </c>
      <c r="I650" s="148">
        <f>30800+táj.2!I650</f>
        <v>30800</v>
      </c>
      <c r="J650" s="148">
        <f>0+táj.2!J650</f>
        <v>0</v>
      </c>
      <c r="K650" s="148">
        <f>0+táj.2!K650</f>
        <v>0</v>
      </c>
      <c r="L650" s="148">
        <f>800+táj.2!L650</f>
        <v>800</v>
      </c>
      <c r="M650" s="148">
        <f>0+táj.2!M650</f>
        <v>0</v>
      </c>
      <c r="N650" s="148">
        <f>0+táj.2!N650</f>
        <v>0</v>
      </c>
      <c r="O650" s="148">
        <f>0+táj.2!O650</f>
        <v>0</v>
      </c>
      <c r="P650" s="148">
        <f>0+táj.2!P650</f>
        <v>0</v>
      </c>
      <c r="Q650" s="148">
        <f>SUM(G650:P650)</f>
        <v>31600</v>
      </c>
    </row>
    <row r="651" spans="1:17" ht="14.1" customHeight="1" x14ac:dyDescent="0.2">
      <c r="A651" s="174"/>
      <c r="B651" s="174"/>
      <c r="C651" s="194"/>
      <c r="D651" s="277" t="s">
        <v>910</v>
      </c>
      <c r="E651" s="148">
        <v>1</v>
      </c>
      <c r="F651" s="148">
        <v>181906</v>
      </c>
      <c r="G651" s="148">
        <f>0+táj.2!G651</f>
        <v>0</v>
      </c>
      <c r="H651" s="148">
        <f>0+táj.2!H651</f>
        <v>0</v>
      </c>
      <c r="I651" s="148">
        <f>7500+táj.2!I651</f>
        <v>7500</v>
      </c>
      <c r="J651" s="148">
        <f>0+táj.2!J651</f>
        <v>0</v>
      </c>
      <c r="K651" s="148">
        <f>0+táj.2!K651</f>
        <v>0</v>
      </c>
      <c r="L651" s="148">
        <f>0+táj.2!L651</f>
        <v>0</v>
      </c>
      <c r="M651" s="148">
        <f>0+táj.2!M651</f>
        <v>0</v>
      </c>
      <c r="N651" s="148">
        <f>0+táj.2!N651</f>
        <v>0</v>
      </c>
      <c r="O651" s="148">
        <f>0+táj.2!O651</f>
        <v>0</v>
      </c>
      <c r="P651" s="148">
        <f>0+táj.2!P651</f>
        <v>0</v>
      </c>
      <c r="Q651" s="148">
        <f>SUM(G651:P651)</f>
        <v>7500</v>
      </c>
    </row>
    <row r="652" spans="1:17" ht="15" customHeight="1" x14ac:dyDescent="0.2">
      <c r="A652" s="174"/>
      <c r="B652" s="174"/>
      <c r="C652" s="194"/>
      <c r="D652" s="154" t="s">
        <v>229</v>
      </c>
      <c r="E652" s="217"/>
      <c r="F652" s="217"/>
      <c r="G652" s="148"/>
      <c r="H652" s="148"/>
      <c r="I652" s="148"/>
      <c r="J652" s="148"/>
      <c r="K652" s="148"/>
      <c r="L652" s="148"/>
      <c r="M652" s="148"/>
      <c r="N652" s="148"/>
      <c r="O652" s="148"/>
      <c r="P652" s="148"/>
      <c r="Q652" s="148"/>
    </row>
    <row r="653" spans="1:17" ht="15" customHeight="1" x14ac:dyDescent="0.2">
      <c r="A653" s="174"/>
      <c r="B653" s="174"/>
      <c r="C653" s="194"/>
      <c r="D653" s="277" t="s">
        <v>911</v>
      </c>
      <c r="E653" s="198">
        <v>1</v>
      </c>
      <c r="F653" s="148">
        <v>221950</v>
      </c>
      <c r="G653" s="148">
        <f>148407+táj.2!G653</f>
        <v>148407</v>
      </c>
      <c r="H653" s="148">
        <f>23403+táj.2!H653</f>
        <v>23403</v>
      </c>
      <c r="I653" s="148">
        <f>1338+táj.2!I653</f>
        <v>1338</v>
      </c>
      <c r="J653" s="148">
        <f>0+táj.2!J653</f>
        <v>0</v>
      </c>
      <c r="K653" s="148">
        <f>0+táj.2!K653</f>
        <v>0</v>
      </c>
      <c r="L653" s="148">
        <f>0+táj.2!L653</f>
        <v>0</v>
      </c>
      <c r="M653" s="148">
        <f>0+táj.2!M653</f>
        <v>0</v>
      </c>
      <c r="N653" s="148">
        <f>0+táj.2!N653</f>
        <v>0</v>
      </c>
      <c r="O653" s="148">
        <f>0+táj.2!O653</f>
        <v>0</v>
      </c>
      <c r="P653" s="148">
        <f>0+táj.2!P653</f>
        <v>0</v>
      </c>
      <c r="Q653" s="342">
        <f>SUM(G653:P653)</f>
        <v>173148</v>
      </c>
    </row>
    <row r="654" spans="1:17" ht="24.95" customHeight="1" x14ac:dyDescent="0.2">
      <c r="A654" s="174"/>
      <c r="B654" s="174"/>
      <c r="C654" s="194"/>
      <c r="D654" s="150" t="s">
        <v>912</v>
      </c>
      <c r="E654" s="185">
        <v>1</v>
      </c>
      <c r="F654" s="148">
        <v>181907</v>
      </c>
      <c r="G654" s="148">
        <f>0+táj.2!G654</f>
        <v>0</v>
      </c>
      <c r="H654" s="148">
        <f>0+táj.2!H654</f>
        <v>0</v>
      </c>
      <c r="I654" s="148">
        <f>15840+táj.2!I654</f>
        <v>15840</v>
      </c>
      <c r="J654" s="148">
        <f>0+táj.2!J654</f>
        <v>0</v>
      </c>
      <c r="K654" s="148">
        <f>0+táj.2!K654</f>
        <v>0</v>
      </c>
      <c r="L654" s="148">
        <f>0+táj.2!L654</f>
        <v>0</v>
      </c>
      <c r="M654" s="148">
        <f>0+táj.2!M654</f>
        <v>0</v>
      </c>
      <c r="N654" s="148">
        <f>0+táj.2!N654</f>
        <v>0</v>
      </c>
      <c r="O654" s="148">
        <f>0+táj.2!O654</f>
        <v>0</v>
      </c>
      <c r="P654" s="148">
        <f>0+táj.2!P654</f>
        <v>0</v>
      </c>
      <c r="Q654" s="148">
        <f>SUM(G654:P654)</f>
        <v>15840</v>
      </c>
    </row>
    <row r="655" spans="1:17" ht="15.75" customHeight="1" x14ac:dyDescent="0.2">
      <c r="A655" s="174"/>
      <c r="B655" s="174"/>
      <c r="C655" s="194"/>
      <c r="D655" s="277" t="s">
        <v>913</v>
      </c>
      <c r="E655" s="185"/>
      <c r="F655" s="185"/>
      <c r="G655" s="148"/>
      <c r="H655" s="148"/>
      <c r="I655" s="148"/>
      <c r="J655" s="148"/>
      <c r="K655" s="148"/>
      <c r="L655" s="148"/>
      <c r="M655" s="148"/>
      <c r="N655" s="148"/>
      <c r="O655" s="148"/>
      <c r="P655" s="148"/>
      <c r="Q655" s="148"/>
    </row>
    <row r="656" spans="1:17" ht="12.75" customHeight="1" x14ac:dyDescent="0.2">
      <c r="A656" s="174"/>
      <c r="B656" s="174"/>
      <c r="C656" s="194"/>
      <c r="D656" s="150" t="s">
        <v>914</v>
      </c>
      <c r="E656" s="185">
        <v>1</v>
      </c>
      <c r="F656" s="148">
        <v>181909</v>
      </c>
      <c r="G656" s="148">
        <f>0+táj.2!G656</f>
        <v>0</v>
      </c>
      <c r="H656" s="148">
        <f>0+táj.2!H656</f>
        <v>0</v>
      </c>
      <c r="I656" s="148">
        <f>2633+táj.2!I656</f>
        <v>2633</v>
      </c>
      <c r="J656" s="148">
        <f>0+táj.2!J656</f>
        <v>0</v>
      </c>
      <c r="K656" s="148">
        <f>2000+táj.2!K656</f>
        <v>2000</v>
      </c>
      <c r="L656" s="148">
        <f>0+táj.2!L656</f>
        <v>0</v>
      </c>
      <c r="M656" s="148">
        <f>0+táj.2!M656</f>
        <v>0</v>
      </c>
      <c r="N656" s="148">
        <f>0+táj.2!N656</f>
        <v>0</v>
      </c>
      <c r="O656" s="148">
        <f>0+táj.2!O656</f>
        <v>0</v>
      </c>
      <c r="P656" s="148">
        <f>0+táj.2!P656</f>
        <v>0</v>
      </c>
      <c r="Q656" s="148">
        <f>SUM(G656:P656)</f>
        <v>4633</v>
      </c>
    </row>
    <row r="657" spans="1:17" ht="26.25" customHeight="1" x14ac:dyDescent="0.2">
      <c r="A657" s="174"/>
      <c r="B657" s="174"/>
      <c r="C657" s="194"/>
      <c r="D657" s="150" t="s">
        <v>915</v>
      </c>
      <c r="E657" s="217">
        <v>2</v>
      </c>
      <c r="F657" s="226">
        <v>191142</v>
      </c>
      <c r="G657" s="148">
        <f>0+táj.2!G657</f>
        <v>0</v>
      </c>
      <c r="H657" s="148">
        <f>0+táj.2!H657</f>
        <v>0</v>
      </c>
      <c r="I657" s="148">
        <f>0+táj.2!I657</f>
        <v>0</v>
      </c>
      <c r="J657" s="148">
        <f>0+táj.2!J657</f>
        <v>0</v>
      </c>
      <c r="K657" s="148">
        <f>1000+táj.2!K657</f>
        <v>1000</v>
      </c>
      <c r="L657" s="148">
        <f>0+táj.2!L657</f>
        <v>0</v>
      </c>
      <c r="M657" s="148">
        <f>0+táj.2!M657</f>
        <v>0</v>
      </c>
      <c r="N657" s="148">
        <f>0+táj.2!N657</f>
        <v>0</v>
      </c>
      <c r="O657" s="148">
        <f>0+táj.2!O657</f>
        <v>0</v>
      </c>
      <c r="P657" s="148">
        <f>0+táj.2!P657</f>
        <v>0</v>
      </c>
      <c r="Q657" s="148">
        <f>SUM(G657:P657)</f>
        <v>1000</v>
      </c>
    </row>
    <row r="658" spans="1:17" ht="29.25" customHeight="1" x14ac:dyDescent="0.2">
      <c r="A658" s="174"/>
      <c r="B658" s="174"/>
      <c r="C658" s="194"/>
      <c r="D658" s="150" t="s">
        <v>916</v>
      </c>
      <c r="E658" s="217">
        <v>2</v>
      </c>
      <c r="F658" s="226">
        <v>191154</v>
      </c>
      <c r="G658" s="148">
        <f>0+táj.2!G658</f>
        <v>0</v>
      </c>
      <c r="H658" s="148">
        <f>0+táj.2!H658</f>
        <v>0</v>
      </c>
      <c r="I658" s="148">
        <f>0+táj.2!I658</f>
        <v>0</v>
      </c>
      <c r="J658" s="148">
        <f>0+táj.2!J658</f>
        <v>0</v>
      </c>
      <c r="K658" s="148">
        <f>3500+táj.2!K658</f>
        <v>3500</v>
      </c>
      <c r="L658" s="148">
        <f>0+táj.2!L658</f>
        <v>0</v>
      </c>
      <c r="M658" s="148">
        <f>0+táj.2!M658</f>
        <v>0</v>
      </c>
      <c r="N658" s="148">
        <f>0+táj.2!N658</f>
        <v>0</v>
      </c>
      <c r="O658" s="148">
        <f>0+táj.2!O658</f>
        <v>0</v>
      </c>
      <c r="P658" s="148">
        <f>0+táj.2!P658</f>
        <v>0</v>
      </c>
      <c r="Q658" s="148">
        <f>SUM(G658:P658)</f>
        <v>3500</v>
      </c>
    </row>
    <row r="659" spans="1:17" ht="15" customHeight="1" x14ac:dyDescent="0.2">
      <c r="A659" s="174"/>
      <c r="B659" s="174"/>
      <c r="C659" s="194"/>
      <c r="D659" s="150" t="s">
        <v>917</v>
      </c>
      <c r="E659" s="185"/>
      <c r="F659" s="185"/>
      <c r="G659" s="148"/>
      <c r="H659" s="148"/>
      <c r="I659" s="148"/>
      <c r="J659" s="148"/>
      <c r="K659" s="148"/>
      <c r="L659" s="148"/>
      <c r="M659" s="148"/>
      <c r="N659" s="148"/>
      <c r="O659" s="148"/>
      <c r="P659" s="148"/>
      <c r="Q659" s="148"/>
    </row>
    <row r="660" spans="1:17" ht="15" customHeight="1" x14ac:dyDescent="0.2">
      <c r="A660" s="174"/>
      <c r="B660" s="174"/>
      <c r="C660" s="194"/>
      <c r="D660" s="150" t="s">
        <v>918</v>
      </c>
      <c r="E660" s="185">
        <v>1</v>
      </c>
      <c r="F660" s="148">
        <v>181902</v>
      </c>
      <c r="G660" s="148">
        <f>0+táj.2!G660</f>
        <v>0</v>
      </c>
      <c r="H660" s="148">
        <f>0+táj.2!H660</f>
        <v>0</v>
      </c>
      <c r="I660" s="148">
        <f>300+táj.2!I660</f>
        <v>300</v>
      </c>
      <c r="J660" s="148">
        <f>0+táj.2!J660</f>
        <v>0</v>
      </c>
      <c r="K660" s="148">
        <f>0+táj.2!K660</f>
        <v>0</v>
      </c>
      <c r="L660" s="148">
        <f>0+táj.2!L660</f>
        <v>0</v>
      </c>
      <c r="M660" s="148">
        <f>0+táj.2!M660</f>
        <v>0</v>
      </c>
      <c r="N660" s="148">
        <f>0+táj.2!N660</f>
        <v>0</v>
      </c>
      <c r="O660" s="148">
        <f>0+táj.2!O660</f>
        <v>0</v>
      </c>
      <c r="P660" s="148">
        <f>0+táj.2!P660</f>
        <v>0</v>
      </c>
      <c r="Q660" s="148">
        <f>SUM(G660:P660)</f>
        <v>300</v>
      </c>
    </row>
    <row r="661" spans="1:17" ht="15" customHeight="1" x14ac:dyDescent="0.2">
      <c r="A661" s="174"/>
      <c r="B661" s="174"/>
      <c r="C661" s="194"/>
      <c r="D661" s="150" t="s">
        <v>919</v>
      </c>
      <c r="E661" s="185">
        <v>1</v>
      </c>
      <c r="F661" s="148">
        <v>181903</v>
      </c>
      <c r="G661" s="148">
        <f>0+táj.2!G661</f>
        <v>0</v>
      </c>
      <c r="H661" s="148">
        <f>0+táj.2!H661</f>
        <v>0</v>
      </c>
      <c r="I661" s="148">
        <f>100+táj.2!I661</f>
        <v>100</v>
      </c>
      <c r="J661" s="148">
        <f>0+táj.2!J661</f>
        <v>0</v>
      </c>
      <c r="K661" s="148">
        <f>0+táj.2!K661</f>
        <v>0</v>
      </c>
      <c r="L661" s="148">
        <f>0+táj.2!L661</f>
        <v>0</v>
      </c>
      <c r="M661" s="148">
        <f>0+táj.2!M661</f>
        <v>0</v>
      </c>
      <c r="N661" s="148">
        <f>0+táj.2!N661</f>
        <v>0</v>
      </c>
      <c r="O661" s="148">
        <f>0+táj.2!O661</f>
        <v>0</v>
      </c>
      <c r="P661" s="148">
        <f>0+táj.2!P661</f>
        <v>0</v>
      </c>
      <c r="Q661" s="148">
        <f>SUM(G661:P661)</f>
        <v>100</v>
      </c>
    </row>
    <row r="662" spans="1:17" ht="14.1" customHeight="1" x14ac:dyDescent="0.2">
      <c r="A662" s="343"/>
      <c r="B662" s="343"/>
      <c r="C662" s="343"/>
      <c r="D662" s="277" t="s">
        <v>920</v>
      </c>
      <c r="E662" s="148">
        <v>1</v>
      </c>
      <c r="F662" s="148">
        <v>181904</v>
      </c>
      <c r="G662" s="148">
        <f>0+táj.2!G662</f>
        <v>0</v>
      </c>
      <c r="H662" s="148">
        <f>0+táj.2!H662</f>
        <v>0</v>
      </c>
      <c r="I662" s="148">
        <f>300+táj.2!I662</f>
        <v>547</v>
      </c>
      <c r="J662" s="148">
        <f>0+táj.2!J662</f>
        <v>0</v>
      </c>
      <c r="K662" s="148">
        <f>0+táj.2!K662</f>
        <v>0</v>
      </c>
      <c r="L662" s="148">
        <f>0+táj.2!L662</f>
        <v>0</v>
      </c>
      <c r="M662" s="148">
        <f>0+táj.2!M662</f>
        <v>0</v>
      </c>
      <c r="N662" s="148">
        <f>0+táj.2!N662</f>
        <v>0</v>
      </c>
      <c r="O662" s="148">
        <f>0+táj.2!O662</f>
        <v>0</v>
      </c>
      <c r="P662" s="148">
        <f>0+táj.2!P662</f>
        <v>0</v>
      </c>
      <c r="Q662" s="148">
        <f>SUM(G662:P662)</f>
        <v>547</v>
      </c>
    </row>
    <row r="663" spans="1:17" ht="15" customHeight="1" x14ac:dyDescent="0.2">
      <c r="A663" s="204"/>
      <c r="B663" s="204"/>
      <c r="C663" s="202"/>
      <c r="D663" s="159" t="s">
        <v>921</v>
      </c>
      <c r="E663" s="203"/>
      <c r="F663" s="203"/>
      <c r="G663" s="280">
        <f t="shared" ref="G663:Q663" si="50">SUM(G649:G662)</f>
        <v>148407</v>
      </c>
      <c r="H663" s="280">
        <f t="shared" si="50"/>
        <v>23403</v>
      </c>
      <c r="I663" s="280">
        <f t="shared" si="50"/>
        <v>77097</v>
      </c>
      <c r="J663" s="280">
        <f t="shared" si="50"/>
        <v>0</v>
      </c>
      <c r="K663" s="280">
        <f t="shared" si="50"/>
        <v>6500</v>
      </c>
      <c r="L663" s="280">
        <f t="shared" si="50"/>
        <v>800</v>
      </c>
      <c r="M663" s="280">
        <f t="shared" si="50"/>
        <v>0</v>
      </c>
      <c r="N663" s="280">
        <f t="shared" si="50"/>
        <v>0</v>
      </c>
      <c r="O663" s="280">
        <f t="shared" si="50"/>
        <v>0</v>
      </c>
      <c r="P663" s="280">
        <f t="shared" si="50"/>
        <v>0</v>
      </c>
      <c r="Q663" s="280">
        <f t="shared" si="50"/>
        <v>256207</v>
      </c>
    </row>
    <row r="664" spans="1:17" ht="15" customHeight="1" x14ac:dyDescent="0.2">
      <c r="A664" s="210"/>
      <c r="B664" s="210"/>
      <c r="C664" s="264"/>
      <c r="D664" s="281" t="s">
        <v>922</v>
      </c>
      <c r="E664" s="209"/>
      <c r="F664" s="209"/>
      <c r="G664" s="179"/>
      <c r="H664" s="179"/>
      <c r="I664" s="179"/>
      <c r="J664" s="179"/>
      <c r="K664" s="179"/>
      <c r="L664" s="179"/>
      <c r="M664" s="179"/>
      <c r="N664" s="179"/>
      <c r="O664" s="179"/>
      <c r="P664" s="179"/>
      <c r="Q664" s="179"/>
    </row>
    <row r="665" spans="1:17" ht="15" customHeight="1" x14ac:dyDescent="0.2">
      <c r="A665" s="210"/>
      <c r="B665" s="210"/>
      <c r="C665" s="317" t="s">
        <v>100</v>
      </c>
      <c r="D665" s="511" t="s">
        <v>923</v>
      </c>
      <c r="E665" s="345"/>
      <c r="F665" s="348">
        <v>182911</v>
      </c>
      <c r="G665" s="346">
        <f>0+táj.2!G665</f>
        <v>0</v>
      </c>
      <c r="H665" s="346">
        <f>0+táj.2!H665</f>
        <v>0</v>
      </c>
      <c r="I665" s="346">
        <f>0+táj.2!I665</f>
        <v>0</v>
      </c>
      <c r="J665" s="346">
        <f>0+táj.2!J665</f>
        <v>0</v>
      </c>
      <c r="K665" s="346">
        <f>0+táj.2!K665</f>
        <v>0</v>
      </c>
      <c r="L665" s="346">
        <f>1700+táj.2!L665</f>
        <v>1700</v>
      </c>
      <c r="M665" s="346">
        <f>0+táj.2!M665</f>
        <v>0</v>
      </c>
      <c r="N665" s="346">
        <f>0+táj.2!N665</f>
        <v>0</v>
      </c>
      <c r="O665" s="346">
        <f>0+táj.2!O665</f>
        <v>0</v>
      </c>
      <c r="P665" s="346">
        <f>0+táj.2!P665</f>
        <v>0</v>
      </c>
      <c r="Q665" s="179">
        <f>SUM(L665:P665)</f>
        <v>1700</v>
      </c>
    </row>
    <row r="666" spans="1:17" ht="15" customHeight="1" x14ac:dyDescent="0.2">
      <c r="A666" s="210"/>
      <c r="B666" s="210"/>
      <c r="C666" s="347"/>
      <c r="D666" s="277" t="s">
        <v>1145</v>
      </c>
      <c r="E666" s="345"/>
      <c r="F666" s="348"/>
      <c r="G666" s="346"/>
      <c r="H666" s="346"/>
      <c r="I666" s="346"/>
      <c r="J666" s="346"/>
      <c r="K666" s="346"/>
      <c r="L666" s="346"/>
      <c r="M666" s="346"/>
      <c r="N666" s="346"/>
      <c r="O666" s="179"/>
      <c r="P666" s="179"/>
      <c r="Q666" s="179"/>
    </row>
    <row r="667" spans="1:17" ht="15" customHeight="1" x14ac:dyDescent="0.2">
      <c r="A667" s="210"/>
      <c r="B667" s="210"/>
      <c r="C667" s="194" t="s">
        <v>382</v>
      </c>
      <c r="D667" s="285" t="s">
        <v>924</v>
      </c>
      <c r="E667" s="341"/>
      <c r="F667" s="349">
        <v>182905</v>
      </c>
      <c r="G667" s="346">
        <f>0+táj.2!G667</f>
        <v>0</v>
      </c>
      <c r="H667" s="346">
        <f>0+táj.2!H667</f>
        <v>0</v>
      </c>
      <c r="I667" s="346">
        <f>0+táj.2!I667</f>
        <v>0</v>
      </c>
      <c r="J667" s="346">
        <f>0+táj.2!J667</f>
        <v>0</v>
      </c>
      <c r="K667" s="346">
        <f>0+táj.2!K667</f>
        <v>0</v>
      </c>
      <c r="L667" s="346">
        <f>5000+táj.2!L667</f>
        <v>5000</v>
      </c>
      <c r="M667" s="346">
        <f>0+táj.2!M667</f>
        <v>0</v>
      </c>
      <c r="N667" s="346">
        <f>0+táj.2!N667</f>
        <v>0</v>
      </c>
      <c r="O667" s="346">
        <f>0+táj.2!O667</f>
        <v>0</v>
      </c>
      <c r="P667" s="346">
        <f>0+táj.2!P667</f>
        <v>0</v>
      </c>
      <c r="Q667" s="179">
        <f>SUM(G667:P667)</f>
        <v>5000</v>
      </c>
    </row>
    <row r="668" spans="1:17" ht="15" customHeight="1" x14ac:dyDescent="0.2">
      <c r="A668" s="204"/>
      <c r="B668" s="204"/>
      <c r="C668" s="202"/>
      <c r="D668" s="159" t="s">
        <v>925</v>
      </c>
      <c r="E668" s="203"/>
      <c r="F668" s="203"/>
      <c r="G668" s="377">
        <f t="shared" ref="G668:Q668" si="51">SUM(G663:G667)</f>
        <v>148407</v>
      </c>
      <c r="H668" s="377">
        <f t="shared" si="51"/>
        <v>23403</v>
      </c>
      <c r="I668" s="377">
        <f t="shared" si="51"/>
        <v>77097</v>
      </c>
      <c r="J668" s="377">
        <f t="shared" si="51"/>
        <v>0</v>
      </c>
      <c r="K668" s="377">
        <f t="shared" si="51"/>
        <v>6500</v>
      </c>
      <c r="L668" s="377">
        <f t="shared" si="51"/>
        <v>7500</v>
      </c>
      <c r="M668" s="377">
        <f t="shared" si="51"/>
        <v>0</v>
      </c>
      <c r="N668" s="377">
        <f t="shared" si="51"/>
        <v>0</v>
      </c>
      <c r="O668" s="377">
        <f t="shared" si="51"/>
        <v>0</v>
      </c>
      <c r="P668" s="377">
        <f t="shared" si="51"/>
        <v>0</v>
      </c>
      <c r="Q668" s="377">
        <f t="shared" si="51"/>
        <v>262907</v>
      </c>
    </row>
    <row r="669" spans="1:17" ht="15" customHeight="1" x14ac:dyDescent="0.2">
      <c r="A669" s="174">
        <v>1</v>
      </c>
      <c r="B669" s="174">
        <v>19</v>
      </c>
      <c r="C669" s="194"/>
      <c r="D669" s="276" t="s">
        <v>926</v>
      </c>
      <c r="E669" s="207"/>
      <c r="F669" s="207"/>
      <c r="G669" s="148"/>
      <c r="H669" s="179"/>
      <c r="I669" s="179"/>
      <c r="J669" s="179"/>
      <c r="K669" s="179"/>
      <c r="L669" s="179"/>
      <c r="M669" s="148"/>
      <c r="N669" s="148"/>
      <c r="O669" s="148"/>
      <c r="P669" s="148"/>
      <c r="Q669" s="148"/>
    </row>
    <row r="670" spans="1:17" ht="15" customHeight="1" x14ac:dyDescent="0.2">
      <c r="A670" s="174"/>
      <c r="B670" s="174"/>
      <c r="C670" s="194"/>
      <c r="D670" s="288" t="s">
        <v>927</v>
      </c>
      <c r="E670" s="212"/>
      <c r="F670" s="212"/>
      <c r="G670" s="148"/>
      <c r="H670" s="179"/>
      <c r="I670" s="179"/>
      <c r="J670" s="179"/>
      <c r="K670" s="179"/>
      <c r="L670" s="179"/>
      <c r="M670" s="148"/>
      <c r="N670" s="148"/>
      <c r="O670" s="148"/>
      <c r="P670" s="148"/>
      <c r="Q670" s="148"/>
    </row>
    <row r="671" spans="1:17" ht="15" customHeight="1" x14ac:dyDescent="0.2">
      <c r="A671" s="174"/>
      <c r="B671" s="174"/>
      <c r="C671" s="194"/>
      <c r="D671" s="277" t="s">
        <v>1258</v>
      </c>
      <c r="E671" s="185">
        <v>1</v>
      </c>
      <c r="F671" s="148">
        <v>191101</v>
      </c>
      <c r="G671" s="148">
        <f>0+táj.2!G671</f>
        <v>0</v>
      </c>
      <c r="H671" s="148">
        <f>0+táj.2!H671</f>
        <v>0</v>
      </c>
      <c r="I671" s="148">
        <f>0+táj.2!I671</f>
        <v>0</v>
      </c>
      <c r="J671" s="148">
        <f>0+táj.2!J671</f>
        <v>0</v>
      </c>
      <c r="K671" s="148">
        <f>10000+táj.2!K671</f>
        <v>10000</v>
      </c>
      <c r="L671" s="148">
        <f>0+táj.2!L671</f>
        <v>0</v>
      </c>
      <c r="M671" s="148">
        <f>0+táj.2!M671</f>
        <v>0</v>
      </c>
      <c r="N671" s="148">
        <f>0+táj.2!N671</f>
        <v>0</v>
      </c>
      <c r="O671" s="148">
        <f>0+táj.2!O671</f>
        <v>0</v>
      </c>
      <c r="P671" s="148">
        <f>0+táj.2!P671</f>
        <v>0</v>
      </c>
      <c r="Q671" s="148">
        <f>SUM(G671:P671)</f>
        <v>10000</v>
      </c>
    </row>
    <row r="672" spans="1:17" ht="15" customHeight="1" x14ac:dyDescent="0.2">
      <c r="A672" s="174"/>
      <c r="B672" s="174"/>
      <c r="C672" s="194"/>
      <c r="D672" s="277" t="s">
        <v>1259</v>
      </c>
      <c r="E672" s="185">
        <v>1</v>
      </c>
      <c r="F672" s="148">
        <v>191901</v>
      </c>
      <c r="G672" s="148">
        <f>0+táj.2!G672</f>
        <v>0</v>
      </c>
      <c r="H672" s="148">
        <f>0+táj.2!H672</f>
        <v>0</v>
      </c>
      <c r="I672" s="148">
        <f>0+táj.2!I672</f>
        <v>0</v>
      </c>
      <c r="J672" s="148">
        <f>0+táj.2!J672</f>
        <v>0</v>
      </c>
      <c r="K672" s="148">
        <f>0+táj.2!K672</f>
        <v>0</v>
      </c>
      <c r="L672" s="148">
        <f>0+táj.2!L672</f>
        <v>0</v>
      </c>
      <c r="M672" s="148">
        <f>0+táj.2!M672</f>
        <v>0</v>
      </c>
      <c r="N672" s="148">
        <f>0+táj.2!N672</f>
        <v>0</v>
      </c>
      <c r="O672" s="148">
        <f>0+táj.2!O672</f>
        <v>0</v>
      </c>
      <c r="P672" s="148">
        <f>169029+táj.2!P672</f>
        <v>169029</v>
      </c>
      <c r="Q672" s="148">
        <f>SUM(G672:P672)</f>
        <v>169029</v>
      </c>
    </row>
    <row r="673" spans="1:17" ht="15" customHeight="1" x14ac:dyDescent="0.2">
      <c r="A673" s="174"/>
      <c r="B673" s="174"/>
      <c r="C673" s="194"/>
      <c r="D673" s="277" t="s">
        <v>928</v>
      </c>
      <c r="E673" s="185">
        <v>1</v>
      </c>
      <c r="F673" s="148">
        <v>191901</v>
      </c>
      <c r="G673" s="148">
        <f>0+táj.2!G673</f>
        <v>0</v>
      </c>
      <c r="H673" s="148">
        <f>0+táj.2!H673</f>
        <v>0</v>
      </c>
      <c r="I673" s="148">
        <f>0+táj.2!I673</f>
        <v>0</v>
      </c>
      <c r="J673" s="148">
        <f>0+táj.2!J673</f>
        <v>0</v>
      </c>
      <c r="K673" s="148">
        <f>952748+táj.2!K673</f>
        <v>952748</v>
      </c>
      <c r="L673" s="148">
        <f>0+táj.2!L673</f>
        <v>0</v>
      </c>
      <c r="M673" s="148">
        <f>0+táj.2!M673</f>
        <v>0</v>
      </c>
      <c r="N673" s="148">
        <f>0+táj.2!N673</f>
        <v>0</v>
      </c>
      <c r="O673" s="148">
        <f>0+táj.2!O673</f>
        <v>0</v>
      </c>
      <c r="P673" s="148">
        <f>0+táj.2!P673</f>
        <v>0</v>
      </c>
      <c r="Q673" s="148">
        <f>SUM(G673:P673)</f>
        <v>952748</v>
      </c>
    </row>
    <row r="674" spans="1:17" ht="15" customHeight="1" x14ac:dyDescent="0.2">
      <c r="A674" s="578"/>
      <c r="B674" s="578"/>
      <c r="C674" s="579"/>
      <c r="D674" s="597" t="s">
        <v>1022</v>
      </c>
      <c r="E674" s="596">
        <v>1</v>
      </c>
      <c r="F674" s="582">
        <v>191901</v>
      </c>
      <c r="G674" s="148">
        <f>0+táj.2!G674</f>
        <v>0</v>
      </c>
      <c r="H674" s="148">
        <f>0+táj.2!H674</f>
        <v>0</v>
      </c>
      <c r="I674" s="148">
        <f>0+táj.2!I674</f>
        <v>0</v>
      </c>
      <c r="J674" s="148">
        <f>0+táj.2!J674</f>
        <v>0</v>
      </c>
      <c r="K674" s="148">
        <f>0+táj.2!K674</f>
        <v>0</v>
      </c>
      <c r="L674" s="148">
        <f>0+táj.2!L674</f>
        <v>0</v>
      </c>
      <c r="M674" s="148">
        <f>0+táj.2!M674</f>
        <v>0</v>
      </c>
      <c r="N674" s="148">
        <f>0+táj.2!N674</f>
        <v>0</v>
      </c>
      <c r="O674" s="148">
        <f>0+táj.2!O674</f>
        <v>0</v>
      </c>
      <c r="P674" s="148">
        <f>0+táj.2!P674</f>
        <v>0</v>
      </c>
      <c r="Q674" s="148">
        <f>SUM(G674:P674)</f>
        <v>0</v>
      </c>
    </row>
    <row r="675" spans="1:17" ht="15" customHeight="1" x14ac:dyDescent="0.2">
      <c r="A675" s="174"/>
      <c r="B675" s="174"/>
      <c r="C675" s="194"/>
      <c r="D675" s="154" t="s">
        <v>229</v>
      </c>
      <c r="E675" s="217"/>
      <c r="F675" s="217"/>
      <c r="G675" s="148"/>
      <c r="H675" s="148"/>
      <c r="I675" s="148"/>
      <c r="J675" s="148"/>
      <c r="K675" s="148"/>
      <c r="L675" s="148"/>
      <c r="M675" s="148"/>
      <c r="N675" s="148"/>
      <c r="O675" s="148"/>
      <c r="P675" s="148"/>
      <c r="Q675" s="148"/>
    </row>
    <row r="676" spans="1:17" ht="15" customHeight="1" x14ac:dyDescent="0.2">
      <c r="A676" s="174"/>
      <c r="B676" s="174"/>
      <c r="C676" s="194"/>
      <c r="D676" s="277" t="s">
        <v>929</v>
      </c>
      <c r="E676" s="185">
        <v>1</v>
      </c>
      <c r="F676" s="148">
        <v>191102</v>
      </c>
      <c r="G676" s="148">
        <f>0+táj.2!G676</f>
        <v>0</v>
      </c>
      <c r="H676" s="148">
        <f>0+táj.2!H676</f>
        <v>0</v>
      </c>
      <c r="I676" s="148">
        <f>25000+táj.2!I676</f>
        <v>25000</v>
      </c>
      <c r="J676" s="148">
        <f>0+táj.2!J676</f>
        <v>0</v>
      </c>
      <c r="K676" s="148">
        <f>0+táj.2!K676</f>
        <v>0</v>
      </c>
      <c r="L676" s="148">
        <f>0+táj.2!L676</f>
        <v>0</v>
      </c>
      <c r="M676" s="148">
        <f>0+táj.2!M676</f>
        <v>0</v>
      </c>
      <c r="N676" s="148">
        <f>0+táj.2!N676</f>
        <v>0</v>
      </c>
      <c r="O676" s="148">
        <f>0+táj.2!O676</f>
        <v>0</v>
      </c>
      <c r="P676" s="148">
        <f>0+táj.2!P676</f>
        <v>0</v>
      </c>
      <c r="Q676" s="148">
        <f t="shared" ref="Q676:Q680" si="52">SUM(G676:P676)</f>
        <v>25000</v>
      </c>
    </row>
    <row r="677" spans="1:17" ht="15" customHeight="1" x14ac:dyDescent="0.2">
      <c r="A677" s="174"/>
      <c r="B677" s="174"/>
      <c r="C677" s="194"/>
      <c r="D677" s="277" t="s">
        <v>930</v>
      </c>
      <c r="E677" s="148">
        <v>1</v>
      </c>
      <c r="F677" s="148">
        <v>191103</v>
      </c>
      <c r="G677" s="148">
        <f>0+táj.2!G677</f>
        <v>0</v>
      </c>
      <c r="H677" s="148">
        <f>0+táj.2!H677</f>
        <v>0</v>
      </c>
      <c r="I677" s="148">
        <f>268595+táj.2!I677</f>
        <v>302220</v>
      </c>
      <c r="J677" s="148">
        <f>0+táj.2!J677</f>
        <v>0</v>
      </c>
      <c r="K677" s="148">
        <f>0+táj.2!K677</f>
        <v>0</v>
      </c>
      <c r="L677" s="148">
        <f>0+táj.2!L677</f>
        <v>0</v>
      </c>
      <c r="M677" s="148">
        <f>0+táj.2!M677</f>
        <v>0</v>
      </c>
      <c r="N677" s="148">
        <f>0+táj.2!N677</f>
        <v>0</v>
      </c>
      <c r="O677" s="148">
        <f>0+táj.2!O677</f>
        <v>0</v>
      </c>
      <c r="P677" s="148">
        <f>0+táj.2!P677</f>
        <v>0</v>
      </c>
      <c r="Q677" s="148">
        <f t="shared" si="52"/>
        <v>302220</v>
      </c>
    </row>
    <row r="678" spans="1:17" ht="15" customHeight="1" x14ac:dyDescent="0.2">
      <c r="A678" s="174"/>
      <c r="B678" s="174"/>
      <c r="C678" s="194"/>
      <c r="D678" s="277" t="s">
        <v>931</v>
      </c>
      <c r="E678" s="148">
        <v>1</v>
      </c>
      <c r="F678" s="148">
        <v>191105</v>
      </c>
      <c r="G678" s="148">
        <f>0+táj.2!G678</f>
        <v>0</v>
      </c>
      <c r="H678" s="148">
        <f>0+táj.2!H678</f>
        <v>0</v>
      </c>
      <c r="I678" s="148">
        <f>3900+táj.2!I678</f>
        <v>3900</v>
      </c>
      <c r="J678" s="148">
        <f>0+táj.2!J678</f>
        <v>0</v>
      </c>
      <c r="K678" s="148">
        <f>0+táj.2!K678</f>
        <v>0</v>
      </c>
      <c r="L678" s="148">
        <f>0+táj.2!L678</f>
        <v>0</v>
      </c>
      <c r="M678" s="148">
        <f>0+táj.2!M678</f>
        <v>0</v>
      </c>
      <c r="N678" s="148">
        <f>0+táj.2!N678</f>
        <v>0</v>
      </c>
      <c r="O678" s="148">
        <f>0+táj.2!O678</f>
        <v>0</v>
      </c>
      <c r="P678" s="148">
        <f>0+táj.2!P678</f>
        <v>0</v>
      </c>
      <c r="Q678" s="148">
        <f t="shared" si="52"/>
        <v>3900</v>
      </c>
    </row>
    <row r="679" spans="1:17" ht="15" customHeight="1" x14ac:dyDescent="0.2">
      <c r="A679" s="174"/>
      <c r="B679" s="174"/>
      <c r="C679" s="194"/>
      <c r="D679" s="277" t="s">
        <v>932</v>
      </c>
      <c r="E679" s="148">
        <v>1</v>
      </c>
      <c r="F679" s="148">
        <v>196901</v>
      </c>
      <c r="G679" s="148">
        <f>0+táj.2!G679</f>
        <v>0</v>
      </c>
      <c r="H679" s="148">
        <f>0+táj.2!H679</f>
        <v>0</v>
      </c>
      <c r="I679" s="148">
        <f>300+táj.2!I679</f>
        <v>300</v>
      </c>
      <c r="J679" s="148">
        <f>0+táj.2!J679</f>
        <v>0</v>
      </c>
      <c r="K679" s="148">
        <f>0+táj.2!K679</f>
        <v>0</v>
      </c>
      <c r="L679" s="148">
        <f>0+táj.2!L679</f>
        <v>0</v>
      </c>
      <c r="M679" s="148">
        <f>0+táj.2!M679</f>
        <v>0</v>
      </c>
      <c r="N679" s="148">
        <f>5465+táj.2!N679</f>
        <v>5465</v>
      </c>
      <c r="O679" s="148">
        <f>0+táj.2!O679</f>
        <v>0</v>
      </c>
      <c r="P679" s="148">
        <f>0+táj.2!P679</f>
        <v>0</v>
      </c>
      <c r="Q679" s="148">
        <f t="shared" si="52"/>
        <v>5765</v>
      </c>
    </row>
    <row r="680" spans="1:17" ht="27" customHeight="1" x14ac:dyDescent="0.2">
      <c r="A680" s="174"/>
      <c r="B680" s="174"/>
      <c r="C680" s="879"/>
      <c r="D680" s="935" t="s">
        <v>1401</v>
      </c>
      <c r="E680" s="388">
        <v>2</v>
      </c>
      <c r="F680" s="388">
        <v>191158</v>
      </c>
      <c r="G680" s="148">
        <f>0+táj.2!G680</f>
        <v>0</v>
      </c>
      <c r="H680" s="148">
        <f>0+táj.2!H680</f>
        <v>0</v>
      </c>
      <c r="I680" s="148">
        <f>0+táj.2!I680</f>
        <v>0</v>
      </c>
      <c r="J680" s="148">
        <f>0+táj.2!J680</f>
        <v>0</v>
      </c>
      <c r="K680" s="148">
        <f>0+táj.2!K680</f>
        <v>18000</v>
      </c>
      <c r="L680" s="148">
        <f>0+táj.2!L680</f>
        <v>0</v>
      </c>
      <c r="M680" s="148">
        <f>0+táj.2!M680</f>
        <v>0</v>
      </c>
      <c r="N680" s="148">
        <f>0+táj.2!N680</f>
        <v>0</v>
      </c>
      <c r="O680" s="148">
        <f>0+táj.2!O680</f>
        <v>0</v>
      </c>
      <c r="P680" s="148">
        <f>0+táj.2!P680</f>
        <v>0</v>
      </c>
      <c r="Q680" s="148">
        <f t="shared" si="52"/>
        <v>18000</v>
      </c>
    </row>
    <row r="681" spans="1:17" ht="15" customHeight="1" x14ac:dyDescent="0.2">
      <c r="A681" s="174"/>
      <c r="B681" s="174"/>
      <c r="C681" s="194"/>
      <c r="D681" s="277" t="s">
        <v>238</v>
      </c>
      <c r="E681" s="148"/>
      <c r="F681" s="148"/>
      <c r="G681" s="148"/>
      <c r="H681" s="148"/>
      <c r="I681" s="148"/>
      <c r="J681" s="148"/>
      <c r="K681" s="148"/>
      <c r="L681" s="148"/>
      <c r="M681" s="148"/>
      <c r="N681" s="148"/>
      <c r="O681" s="148"/>
      <c r="P681" s="148"/>
      <c r="Q681" s="148"/>
    </row>
    <row r="682" spans="1:17" ht="15" customHeight="1" x14ac:dyDescent="0.2">
      <c r="A682" s="174"/>
      <c r="B682" s="174"/>
      <c r="C682" s="194"/>
      <c r="D682" s="277" t="s">
        <v>933</v>
      </c>
      <c r="E682" s="148">
        <v>1</v>
      </c>
      <c r="F682" s="148">
        <v>191104</v>
      </c>
      <c r="G682" s="148">
        <f>0+táj.2!G682</f>
        <v>0</v>
      </c>
      <c r="H682" s="148">
        <f>0+táj.2!H682</f>
        <v>0</v>
      </c>
      <c r="I682" s="148">
        <f>4400+táj.2!I682</f>
        <v>4400</v>
      </c>
      <c r="J682" s="148">
        <f>0+táj.2!J682</f>
        <v>0</v>
      </c>
      <c r="K682" s="148">
        <f>0+táj.2!K682</f>
        <v>0</v>
      </c>
      <c r="L682" s="148">
        <f>0+táj.2!L682</f>
        <v>0</v>
      </c>
      <c r="M682" s="148">
        <f>0+táj.2!M682</f>
        <v>0</v>
      </c>
      <c r="N682" s="148">
        <f>0+táj.2!N682</f>
        <v>0</v>
      </c>
      <c r="O682" s="148">
        <f>0+táj.2!O682</f>
        <v>0</v>
      </c>
      <c r="P682" s="148">
        <f>0+táj.2!P682</f>
        <v>0</v>
      </c>
      <c r="Q682" s="148">
        <f>SUM(G682:P682)</f>
        <v>4400</v>
      </c>
    </row>
    <row r="683" spans="1:17" ht="14.1" customHeight="1" x14ac:dyDescent="0.2">
      <c r="A683" s="174"/>
      <c r="B683" s="174"/>
      <c r="C683" s="194"/>
      <c r="D683" s="350" t="s">
        <v>934</v>
      </c>
      <c r="E683" s="148"/>
      <c r="F683" s="148"/>
      <c r="G683" s="148"/>
      <c r="H683" s="148"/>
      <c r="I683" s="148"/>
      <c r="J683" s="148"/>
      <c r="K683" s="148"/>
      <c r="L683" s="148"/>
      <c r="M683" s="148"/>
      <c r="N683" s="148"/>
      <c r="O683" s="148"/>
      <c r="P683" s="148"/>
      <c r="Q683" s="148"/>
    </row>
    <row r="684" spans="1:17" ht="14.1" customHeight="1" x14ac:dyDescent="0.2">
      <c r="A684" s="174"/>
      <c r="B684" s="174"/>
      <c r="C684" s="194"/>
      <c r="D684" s="277" t="s">
        <v>935</v>
      </c>
      <c r="E684" s="148">
        <v>2</v>
      </c>
      <c r="F684" s="148">
        <v>191109</v>
      </c>
      <c r="G684" s="148">
        <f>0+táj.2!G684</f>
        <v>0</v>
      </c>
      <c r="H684" s="148">
        <f>0+táj.2!H684</f>
        <v>0</v>
      </c>
      <c r="I684" s="148">
        <f>0+táj.2!I684</f>
        <v>0</v>
      </c>
      <c r="J684" s="148">
        <f>0+táj.2!J684</f>
        <v>0</v>
      </c>
      <c r="K684" s="148">
        <f>5000+táj.2!K684</f>
        <v>5000</v>
      </c>
      <c r="L684" s="148">
        <f>0+táj.2!L684</f>
        <v>0</v>
      </c>
      <c r="M684" s="148">
        <f>0+táj.2!M684</f>
        <v>0</v>
      </c>
      <c r="N684" s="148">
        <f>0+táj.2!N684</f>
        <v>0</v>
      </c>
      <c r="O684" s="148">
        <f>0+táj.2!O684</f>
        <v>0</v>
      </c>
      <c r="P684" s="148">
        <f>0+táj.2!P684</f>
        <v>0</v>
      </c>
      <c r="Q684" s="148">
        <f>SUM(G684:P684)</f>
        <v>5000</v>
      </c>
    </row>
    <row r="685" spans="1:17" ht="14.1" customHeight="1" x14ac:dyDescent="0.2">
      <c r="A685" s="174"/>
      <c r="B685" s="174"/>
      <c r="C685" s="194"/>
      <c r="D685" s="277" t="s">
        <v>936</v>
      </c>
      <c r="E685" s="148">
        <v>2</v>
      </c>
      <c r="F685" s="148">
        <v>191159</v>
      </c>
      <c r="G685" s="148">
        <f>0+táj.2!G685</f>
        <v>0</v>
      </c>
      <c r="H685" s="148">
        <f>0+táj.2!H685</f>
        <v>0</v>
      </c>
      <c r="I685" s="148">
        <f>0+táj.2!I685</f>
        <v>0</v>
      </c>
      <c r="J685" s="148">
        <f>0+táj.2!J685</f>
        <v>0</v>
      </c>
      <c r="K685" s="148">
        <f>500+táj.2!K685</f>
        <v>500</v>
      </c>
      <c r="L685" s="148">
        <f>0+táj.2!L685</f>
        <v>0</v>
      </c>
      <c r="M685" s="148">
        <f>0+táj.2!M685</f>
        <v>0</v>
      </c>
      <c r="N685" s="148">
        <f>0+táj.2!N685</f>
        <v>0</v>
      </c>
      <c r="O685" s="148">
        <f>0+táj.2!O685</f>
        <v>0</v>
      </c>
      <c r="P685" s="148">
        <f>0+táj.2!P685</f>
        <v>0</v>
      </c>
      <c r="Q685" s="148">
        <f>SUM(G685:P685)</f>
        <v>500</v>
      </c>
    </row>
    <row r="686" spans="1:17" ht="14.1" customHeight="1" x14ac:dyDescent="0.2">
      <c r="A686" s="174"/>
      <c r="B686" s="174"/>
      <c r="C686" s="194"/>
      <c r="D686" s="277" t="s">
        <v>937</v>
      </c>
      <c r="E686" s="148"/>
      <c r="F686" s="148"/>
      <c r="G686" s="148"/>
      <c r="H686" s="148"/>
      <c r="I686" s="148"/>
      <c r="J686" s="148"/>
      <c r="K686" s="148"/>
      <c r="L686" s="148"/>
      <c r="M686" s="148"/>
      <c r="N686" s="148"/>
      <c r="O686" s="148"/>
      <c r="P686" s="148"/>
      <c r="Q686" s="148"/>
    </row>
    <row r="687" spans="1:17" ht="14.1" customHeight="1" x14ac:dyDescent="0.2">
      <c r="A687" s="174"/>
      <c r="B687" s="174"/>
      <c r="C687" s="194"/>
      <c r="D687" s="277" t="s">
        <v>938</v>
      </c>
      <c r="E687" s="148">
        <v>2</v>
      </c>
      <c r="F687" s="148">
        <v>191401</v>
      </c>
      <c r="G687" s="148">
        <f>0+táj.2!G687</f>
        <v>0</v>
      </c>
      <c r="H687" s="148">
        <f>0+táj.2!H687</f>
        <v>0</v>
      </c>
      <c r="I687" s="148">
        <f>0+táj.2!I687</f>
        <v>0</v>
      </c>
      <c r="J687" s="148">
        <f>0+táj.2!J687</f>
        <v>0</v>
      </c>
      <c r="K687" s="148">
        <f>1500+táj.2!K687</f>
        <v>1500</v>
      </c>
      <c r="L687" s="148">
        <f>0+táj.2!L687</f>
        <v>0</v>
      </c>
      <c r="M687" s="148">
        <f>0+táj.2!M687</f>
        <v>0</v>
      </c>
      <c r="N687" s="148">
        <f>0+táj.2!N687</f>
        <v>0</v>
      </c>
      <c r="O687" s="148">
        <f>0+táj.2!O687</f>
        <v>0</v>
      </c>
      <c r="P687" s="148">
        <f>0+táj.2!P687</f>
        <v>0</v>
      </c>
      <c r="Q687" s="148">
        <f>SUM(G687:P687)</f>
        <v>1500</v>
      </c>
    </row>
    <row r="688" spans="1:17" ht="15" customHeight="1" x14ac:dyDescent="0.2">
      <c r="A688" s="174"/>
      <c r="B688" s="174"/>
      <c r="C688" s="194"/>
      <c r="D688" s="154" t="s">
        <v>229</v>
      </c>
      <c r="E688" s="217"/>
      <c r="F688" s="217"/>
      <c r="G688" s="148"/>
      <c r="H688" s="148"/>
      <c r="I688" s="148"/>
      <c r="J688" s="148"/>
      <c r="K688" s="148"/>
      <c r="L688" s="148"/>
      <c r="M688" s="148"/>
      <c r="N688" s="148"/>
      <c r="O688" s="148"/>
      <c r="P688" s="148"/>
      <c r="Q688" s="148"/>
    </row>
    <row r="689" spans="1:17" ht="24" customHeight="1" x14ac:dyDescent="0.2">
      <c r="A689" s="174"/>
      <c r="B689" s="174"/>
      <c r="C689" s="194"/>
      <c r="D689" s="149" t="s">
        <v>939</v>
      </c>
      <c r="E689" s="185">
        <v>1</v>
      </c>
      <c r="F689" s="148">
        <v>191905</v>
      </c>
      <c r="G689" s="148">
        <f>0+táj.2!G689</f>
        <v>0</v>
      </c>
      <c r="H689" s="148">
        <f>0+táj.2!H689</f>
        <v>0</v>
      </c>
      <c r="I689" s="148">
        <f>0+táj.2!I689</f>
        <v>0</v>
      </c>
      <c r="J689" s="148">
        <f>0+táj.2!J689</f>
        <v>0</v>
      </c>
      <c r="K689" s="148">
        <f>451491+táj.2!K689</f>
        <v>484525</v>
      </c>
      <c r="L689" s="148">
        <f>0+táj.2!L689</f>
        <v>0</v>
      </c>
      <c r="M689" s="148">
        <f>0+táj.2!M689</f>
        <v>0</v>
      </c>
      <c r="N689" s="148">
        <f>0+táj.2!N689</f>
        <v>0</v>
      </c>
      <c r="O689" s="148">
        <f>0+táj.2!O689</f>
        <v>0</v>
      </c>
      <c r="P689" s="148">
        <f>0+táj.2!P689</f>
        <v>0</v>
      </c>
      <c r="Q689" s="148">
        <f>SUM(G689:P689)</f>
        <v>484525</v>
      </c>
    </row>
    <row r="690" spans="1:17" ht="15" customHeight="1" x14ac:dyDescent="0.2">
      <c r="A690" s="174"/>
      <c r="B690" s="174"/>
      <c r="C690" s="194"/>
      <c r="D690" s="154" t="s">
        <v>229</v>
      </c>
      <c r="E690" s="217"/>
      <c r="F690" s="217"/>
      <c r="G690" s="148"/>
      <c r="H690" s="148"/>
      <c r="I690" s="148"/>
      <c r="J690" s="148"/>
      <c r="K690" s="148"/>
      <c r="L690" s="148"/>
      <c r="M690" s="148"/>
      <c r="N690" s="148"/>
      <c r="O690" s="148"/>
      <c r="P690" s="148"/>
      <c r="Q690" s="148"/>
    </row>
    <row r="691" spans="1:17" ht="14.1" customHeight="1" x14ac:dyDescent="0.2">
      <c r="A691" s="174"/>
      <c r="B691" s="174"/>
      <c r="C691" s="194"/>
      <c r="D691" s="277" t="s">
        <v>940</v>
      </c>
      <c r="E691" s="148">
        <v>1</v>
      </c>
      <c r="F691" s="148">
        <v>191121</v>
      </c>
      <c r="G691" s="148">
        <f>0+táj.2!G691</f>
        <v>0</v>
      </c>
      <c r="H691" s="148">
        <f>0+táj.2!H691</f>
        <v>0</v>
      </c>
      <c r="I691" s="148">
        <f>10000+táj.2!I691</f>
        <v>10000</v>
      </c>
      <c r="J691" s="148">
        <f>0+táj.2!J691</f>
        <v>0</v>
      </c>
      <c r="K691" s="148">
        <f>0+táj.2!K691</f>
        <v>0</v>
      </c>
      <c r="L691" s="148">
        <f>0+táj.2!L691</f>
        <v>0</v>
      </c>
      <c r="M691" s="148">
        <f>0+táj.2!M691</f>
        <v>0</v>
      </c>
      <c r="N691" s="148">
        <f>0+táj.2!N691</f>
        <v>0</v>
      </c>
      <c r="O691" s="148">
        <f>0+táj.2!O691</f>
        <v>0</v>
      </c>
      <c r="P691" s="148">
        <f>0+táj.2!P691</f>
        <v>0</v>
      </c>
      <c r="Q691" s="148">
        <f>SUM(G691:P691)</f>
        <v>10000</v>
      </c>
    </row>
    <row r="692" spans="1:17" ht="24.75" customHeight="1" x14ac:dyDescent="0.2">
      <c r="A692" s="174"/>
      <c r="B692" s="174"/>
      <c r="C692" s="194"/>
      <c r="D692" s="150" t="s">
        <v>328</v>
      </c>
      <c r="E692" s="217"/>
      <c r="F692" s="217"/>
      <c r="G692" s="148"/>
      <c r="H692" s="148"/>
      <c r="I692" s="148"/>
      <c r="J692" s="148"/>
      <c r="K692" s="148"/>
      <c r="L692" s="148"/>
      <c r="M692" s="148"/>
      <c r="N692" s="148"/>
      <c r="O692" s="148"/>
      <c r="P692" s="148"/>
      <c r="Q692" s="148"/>
    </row>
    <row r="693" spans="1:17" ht="30.75" customHeight="1" x14ac:dyDescent="0.2">
      <c r="A693" s="174"/>
      <c r="B693" s="174"/>
      <c r="C693" s="194"/>
      <c r="D693" s="150" t="s">
        <v>941</v>
      </c>
      <c r="E693" s="217">
        <v>1</v>
      </c>
      <c r="F693" s="226">
        <v>191152</v>
      </c>
      <c r="G693" s="148">
        <f>0+táj.2!G693</f>
        <v>0</v>
      </c>
      <c r="H693" s="148">
        <f>0+táj.2!H693</f>
        <v>0</v>
      </c>
      <c r="I693" s="148">
        <f>35142+táj.2!I693</f>
        <v>35142</v>
      </c>
      <c r="J693" s="148">
        <f>0+táj.2!J693</f>
        <v>0</v>
      </c>
      <c r="K693" s="148">
        <f>0+táj.2!K693</f>
        <v>0</v>
      </c>
      <c r="L693" s="148">
        <f>0+táj.2!L693</f>
        <v>0</v>
      </c>
      <c r="M693" s="148">
        <f>0+táj.2!M693</f>
        <v>0</v>
      </c>
      <c r="N693" s="148">
        <f>0+táj.2!N693</f>
        <v>0</v>
      </c>
      <c r="O693" s="148">
        <f>111534+táj.2!O693</f>
        <v>111534</v>
      </c>
      <c r="P693" s="148">
        <f>0+táj.2!P693</f>
        <v>0</v>
      </c>
      <c r="Q693" s="148">
        <f>SUM(G693:P693)</f>
        <v>146676</v>
      </c>
    </row>
    <row r="694" spans="1:17" ht="27.75" customHeight="1" x14ac:dyDescent="0.2">
      <c r="A694" s="174"/>
      <c r="B694" s="174"/>
      <c r="C694" s="194"/>
      <c r="D694" s="295" t="s">
        <v>942</v>
      </c>
      <c r="E694" s="217">
        <v>2</v>
      </c>
      <c r="F694" s="226">
        <v>196919</v>
      </c>
      <c r="G694" s="148">
        <f>0+táj.2!G694</f>
        <v>0</v>
      </c>
      <c r="H694" s="148">
        <f>0+táj.2!H694</f>
        <v>0</v>
      </c>
      <c r="I694" s="148">
        <f>0+táj.2!I694</f>
        <v>0</v>
      </c>
      <c r="J694" s="148">
        <f>0+táj.2!J694</f>
        <v>0</v>
      </c>
      <c r="K694" s="148">
        <f>0+táj.2!K694</f>
        <v>0</v>
      </c>
      <c r="L694" s="148">
        <f>0+táj.2!L694</f>
        <v>0</v>
      </c>
      <c r="M694" s="148">
        <f>0+táj.2!M694</f>
        <v>0</v>
      </c>
      <c r="N694" s="148">
        <f>0+táj.2!N694</f>
        <v>0</v>
      </c>
      <c r="O694" s="148">
        <f>0+táj.2!O694</f>
        <v>0</v>
      </c>
      <c r="P694" s="148">
        <f>11500000+táj.2!P694</f>
        <v>11500000</v>
      </c>
      <c r="Q694" s="148">
        <f>SUM(G694:P694)</f>
        <v>11500000</v>
      </c>
    </row>
    <row r="695" spans="1:17" ht="15" customHeight="1" x14ac:dyDescent="0.2">
      <c r="A695" s="174"/>
      <c r="B695" s="174"/>
      <c r="C695" s="194"/>
      <c r="D695" s="277" t="s">
        <v>943</v>
      </c>
      <c r="E695" s="148"/>
      <c r="F695" s="351"/>
      <c r="G695" s="148"/>
      <c r="H695" s="148"/>
      <c r="I695" s="148"/>
      <c r="J695" s="148"/>
      <c r="K695" s="148"/>
      <c r="L695" s="148"/>
      <c r="M695" s="148"/>
      <c r="N695" s="148"/>
      <c r="O695" s="148"/>
      <c r="P695" s="148"/>
      <c r="Q695" s="148"/>
    </row>
    <row r="696" spans="1:17" ht="14.25" customHeight="1" x14ac:dyDescent="0.2">
      <c r="A696" s="174"/>
      <c r="B696" s="174"/>
      <c r="C696" s="194"/>
      <c r="D696" s="277" t="s">
        <v>944</v>
      </c>
      <c r="E696" s="148">
        <v>2</v>
      </c>
      <c r="F696" s="352" t="s">
        <v>945</v>
      </c>
      <c r="G696" s="148">
        <f>0+táj.2!G696</f>
        <v>0</v>
      </c>
      <c r="H696" s="148">
        <f>0+táj.2!H696</f>
        <v>0</v>
      </c>
      <c r="I696" s="148">
        <f>0+táj.2!I696</f>
        <v>0</v>
      </c>
      <c r="J696" s="148">
        <f>0+táj.2!J696</f>
        <v>0</v>
      </c>
      <c r="K696" s="148">
        <f>2150+táj.2!K696</f>
        <v>2150</v>
      </c>
      <c r="L696" s="148">
        <f>0+táj.2!L696</f>
        <v>0</v>
      </c>
      <c r="M696" s="148">
        <f>0+táj.2!M696</f>
        <v>0</v>
      </c>
      <c r="N696" s="148">
        <f>0+táj.2!N696</f>
        <v>0</v>
      </c>
      <c r="O696" s="148">
        <f>0+táj.2!O696</f>
        <v>0</v>
      </c>
      <c r="P696" s="148">
        <f>0+táj.2!P696</f>
        <v>0</v>
      </c>
      <c r="Q696" s="148">
        <f>SUM(G696:P696)</f>
        <v>2150</v>
      </c>
    </row>
    <row r="697" spans="1:17" ht="14.1" customHeight="1" x14ac:dyDescent="0.2">
      <c r="A697" s="174"/>
      <c r="B697" s="174"/>
      <c r="C697" s="194"/>
      <c r="D697" s="288" t="s">
        <v>241</v>
      </c>
      <c r="E697" s="185"/>
      <c r="F697" s="185"/>
      <c r="G697" s="148"/>
      <c r="H697" s="148"/>
      <c r="I697" s="148"/>
      <c r="J697" s="148"/>
      <c r="K697" s="148"/>
      <c r="L697" s="148"/>
      <c r="M697" s="148"/>
      <c r="N697" s="148"/>
      <c r="O697" s="148"/>
      <c r="P697" s="148"/>
      <c r="Q697" s="148"/>
    </row>
    <row r="698" spans="1:17" ht="14.1" customHeight="1" x14ac:dyDescent="0.2">
      <c r="A698" s="174"/>
      <c r="B698" s="174"/>
      <c r="C698" s="194"/>
      <c r="D698" s="277" t="s">
        <v>946</v>
      </c>
      <c r="E698" s="148">
        <v>2</v>
      </c>
      <c r="F698" s="148">
        <v>191801</v>
      </c>
      <c r="G698" s="148">
        <f>0+táj.2!G698</f>
        <v>0</v>
      </c>
      <c r="H698" s="148">
        <f>0+táj.2!H698</f>
        <v>0</v>
      </c>
      <c r="I698" s="148">
        <f>0+táj.2!I698</f>
        <v>0</v>
      </c>
      <c r="J698" s="148">
        <f>0+táj.2!J698</f>
        <v>0</v>
      </c>
      <c r="K698" s="148">
        <f>30000+táj.2!K698</f>
        <v>30000</v>
      </c>
      <c r="L698" s="148">
        <f>0+táj.2!L698</f>
        <v>0</v>
      </c>
      <c r="M698" s="148">
        <f>0+táj.2!M698</f>
        <v>0</v>
      </c>
      <c r="N698" s="148">
        <f>0+táj.2!N698</f>
        <v>0</v>
      </c>
      <c r="O698" s="148">
        <f>0+táj.2!O698</f>
        <v>0</v>
      </c>
      <c r="P698" s="148">
        <f>0+táj.2!P698</f>
        <v>0</v>
      </c>
      <c r="Q698" s="148">
        <f>SUM(G698:P698)</f>
        <v>30000</v>
      </c>
    </row>
    <row r="699" spans="1:17" ht="14.1" customHeight="1" x14ac:dyDescent="0.2">
      <c r="A699" s="200"/>
      <c r="B699" s="200"/>
      <c r="C699" s="201"/>
      <c r="D699" s="159" t="s">
        <v>947</v>
      </c>
      <c r="E699" s="203"/>
      <c r="F699" s="203"/>
      <c r="G699" s="204">
        <f t="shared" ref="G699:Q699" si="53">SUM(G669:G698)</f>
        <v>0</v>
      </c>
      <c r="H699" s="204">
        <f t="shared" si="53"/>
        <v>0</v>
      </c>
      <c r="I699" s="204">
        <f t="shared" si="53"/>
        <v>380962</v>
      </c>
      <c r="J699" s="204">
        <f t="shared" si="53"/>
        <v>0</v>
      </c>
      <c r="K699" s="204">
        <f t="shared" si="53"/>
        <v>1504423</v>
      </c>
      <c r="L699" s="204">
        <f t="shared" si="53"/>
        <v>0</v>
      </c>
      <c r="M699" s="204">
        <f t="shared" si="53"/>
        <v>0</v>
      </c>
      <c r="N699" s="204">
        <f t="shared" si="53"/>
        <v>5465</v>
      </c>
      <c r="O699" s="204">
        <f t="shared" si="53"/>
        <v>111534</v>
      </c>
      <c r="P699" s="204">
        <f t="shared" si="53"/>
        <v>11669029</v>
      </c>
      <c r="Q699" s="204">
        <f t="shared" si="53"/>
        <v>13671413</v>
      </c>
    </row>
    <row r="700" spans="1:17" ht="14.1" customHeight="1" x14ac:dyDescent="0.2">
      <c r="A700" s="206"/>
      <c r="B700" s="206"/>
      <c r="C700" s="259"/>
      <c r="D700" s="281" t="s">
        <v>922</v>
      </c>
      <c r="E700" s="209"/>
      <c r="F700" s="209"/>
      <c r="G700" s="148"/>
      <c r="H700" s="210"/>
      <c r="I700" s="210"/>
      <c r="J700" s="210"/>
      <c r="K700" s="210"/>
      <c r="L700" s="210"/>
      <c r="M700" s="210"/>
      <c r="N700" s="210"/>
      <c r="O700" s="210"/>
      <c r="P700" s="210"/>
      <c r="Q700" s="210"/>
    </row>
    <row r="701" spans="1:17" ht="24.75" customHeight="1" x14ac:dyDescent="0.2">
      <c r="A701" s="206"/>
      <c r="B701" s="206"/>
      <c r="C701" s="206" t="s">
        <v>100</v>
      </c>
      <c r="D701" s="443" t="s">
        <v>1402</v>
      </c>
      <c r="E701" s="330"/>
      <c r="F701" s="353">
        <v>192909</v>
      </c>
      <c r="G701" s="148">
        <f>0+táj.2!G701</f>
        <v>0</v>
      </c>
      <c r="H701" s="148">
        <f>0+táj.2!H701</f>
        <v>0</v>
      </c>
      <c r="I701" s="148">
        <f>0+táj.2!I701</f>
        <v>0</v>
      </c>
      <c r="J701" s="148">
        <f>0+táj.2!J701</f>
        <v>0</v>
      </c>
      <c r="K701" s="148">
        <f>0+táj.2!K701</f>
        <v>0</v>
      </c>
      <c r="L701" s="148">
        <f>0+táj.2!L701</f>
        <v>0</v>
      </c>
      <c r="M701" s="148">
        <f>0+táj.2!M701</f>
        <v>0</v>
      </c>
      <c r="N701" s="148">
        <f>0+táj.2!N701</f>
        <v>500</v>
      </c>
      <c r="O701" s="148">
        <f>0+táj.2!O701</f>
        <v>0</v>
      </c>
      <c r="P701" s="148">
        <f>0+táj.2!P701</f>
        <v>0</v>
      </c>
      <c r="Q701" s="148">
        <f>SUM(G701:P701)</f>
        <v>500</v>
      </c>
    </row>
    <row r="702" spans="1:17" ht="14.1" customHeight="1" x14ac:dyDescent="0.2">
      <c r="A702" s="200"/>
      <c r="B702" s="200"/>
      <c r="C702" s="201"/>
      <c r="D702" s="159" t="s">
        <v>343</v>
      </c>
      <c r="E702" s="203"/>
      <c r="F702" s="203"/>
      <c r="G702" s="204">
        <f>SUM(G699:G701)</f>
        <v>0</v>
      </c>
      <c r="H702" s="204">
        <f t="shared" ref="H702:Q702" si="54">SUM(H699:H701)</f>
        <v>0</v>
      </c>
      <c r="I702" s="204">
        <f t="shared" si="54"/>
        <v>380962</v>
      </c>
      <c r="J702" s="204">
        <f t="shared" si="54"/>
        <v>0</v>
      </c>
      <c r="K702" s="204">
        <f t="shared" si="54"/>
        <v>1504423</v>
      </c>
      <c r="L702" s="204">
        <f t="shared" si="54"/>
        <v>0</v>
      </c>
      <c r="M702" s="204">
        <f t="shared" si="54"/>
        <v>0</v>
      </c>
      <c r="N702" s="204">
        <f t="shared" si="54"/>
        <v>5965</v>
      </c>
      <c r="O702" s="204">
        <f t="shared" si="54"/>
        <v>111534</v>
      </c>
      <c r="P702" s="204">
        <f t="shared" si="54"/>
        <v>11669029</v>
      </c>
      <c r="Q702" s="204">
        <f t="shared" si="54"/>
        <v>13671913</v>
      </c>
    </row>
    <row r="703" spans="1:17" ht="14.1" customHeight="1" x14ac:dyDescent="0.2">
      <c r="A703" s="354">
        <v>1</v>
      </c>
      <c r="B703" s="354" t="s">
        <v>948</v>
      </c>
      <c r="C703" s="355"/>
      <c r="D703" s="356" t="s">
        <v>949</v>
      </c>
      <c r="E703" s="357"/>
      <c r="F703" s="357"/>
      <c r="G703" s="358"/>
      <c r="H703" s="179"/>
      <c r="I703" s="179"/>
      <c r="J703" s="179"/>
      <c r="K703" s="179"/>
      <c r="L703" s="179"/>
      <c r="M703" s="148"/>
      <c r="N703" s="148"/>
      <c r="O703" s="358"/>
      <c r="P703" s="358"/>
      <c r="Q703" s="358"/>
    </row>
    <row r="704" spans="1:17" ht="14.1" customHeight="1" x14ac:dyDescent="0.2">
      <c r="A704" s="354"/>
      <c r="B704" s="354"/>
      <c r="C704" s="355"/>
      <c r="D704" s="154" t="s">
        <v>229</v>
      </c>
      <c r="E704" s="212"/>
      <c r="F704" s="212"/>
      <c r="G704" s="358"/>
      <c r="H704" s="179"/>
      <c r="I704" s="179"/>
      <c r="J704" s="179"/>
      <c r="K704" s="179"/>
      <c r="L704" s="179"/>
      <c r="M704" s="148"/>
      <c r="N704" s="148"/>
      <c r="O704" s="358"/>
      <c r="P704" s="358"/>
      <c r="Q704" s="358"/>
    </row>
    <row r="705" spans="1:17" ht="14.1" customHeight="1" x14ac:dyDescent="0.2">
      <c r="A705" s="354"/>
      <c r="B705" s="354"/>
      <c r="C705" s="355"/>
      <c r="D705" s="350" t="s">
        <v>950</v>
      </c>
      <c r="E705" s="342">
        <v>2</v>
      </c>
      <c r="F705" s="342">
        <v>221901</v>
      </c>
      <c r="G705" s="359">
        <f>9000+táj.2!G705</f>
        <v>9250</v>
      </c>
      <c r="H705" s="359">
        <f>4240+táj.2!H705</f>
        <v>4275</v>
      </c>
      <c r="I705" s="359">
        <f>43885+táj.2!I705</f>
        <v>39758</v>
      </c>
      <c r="J705" s="359">
        <f>0+táj.2!J705</f>
        <v>0</v>
      </c>
      <c r="K705" s="359">
        <f>1200+táj.2!K705</f>
        <v>1200</v>
      </c>
      <c r="L705" s="359">
        <f>0+táj.2!L705</f>
        <v>127</v>
      </c>
      <c r="M705" s="359">
        <f>0+táj.2!M705</f>
        <v>0</v>
      </c>
      <c r="N705" s="359">
        <f>0+táj.2!N705</f>
        <v>0</v>
      </c>
      <c r="O705" s="359">
        <f>0+táj.2!O705</f>
        <v>0</v>
      </c>
      <c r="P705" s="359">
        <f>0+táj.2!P705</f>
        <v>0</v>
      </c>
      <c r="Q705" s="342">
        <f t="shared" ref="Q705:Q714" si="55">SUM(G705:P705)</f>
        <v>54610</v>
      </c>
    </row>
    <row r="706" spans="1:17" ht="14.1" customHeight="1" x14ac:dyDescent="0.2">
      <c r="A706" s="354"/>
      <c r="B706" s="354"/>
      <c r="C706" s="355"/>
      <c r="D706" s="288" t="s">
        <v>951</v>
      </c>
      <c r="E706" s="198">
        <v>1</v>
      </c>
      <c r="F706" s="148">
        <v>221912</v>
      </c>
      <c r="G706" s="359">
        <f>100+táj.2!G706</f>
        <v>100</v>
      </c>
      <c r="H706" s="359">
        <f>36+táj.2!H706</f>
        <v>36</v>
      </c>
      <c r="I706" s="359">
        <f>3814+táj.2!I706</f>
        <v>3814</v>
      </c>
      <c r="J706" s="359">
        <f>0+táj.2!J706</f>
        <v>0</v>
      </c>
      <c r="K706" s="359">
        <f>3250+táj.2!K706</f>
        <v>3250</v>
      </c>
      <c r="L706" s="359">
        <f>0+táj.2!L706</f>
        <v>0</v>
      </c>
      <c r="M706" s="359">
        <f>0+táj.2!M706</f>
        <v>0</v>
      </c>
      <c r="N706" s="359">
        <f>0+táj.2!N706</f>
        <v>0</v>
      </c>
      <c r="O706" s="359">
        <f>0+táj.2!O706</f>
        <v>0</v>
      </c>
      <c r="P706" s="359">
        <f>0+táj.2!P706</f>
        <v>0</v>
      </c>
      <c r="Q706" s="342">
        <f t="shared" si="55"/>
        <v>7200</v>
      </c>
    </row>
    <row r="707" spans="1:17" ht="14.1" customHeight="1" x14ac:dyDescent="0.2">
      <c r="A707" s="588"/>
      <c r="B707" s="588"/>
      <c r="C707" s="589"/>
      <c r="D707" s="593" t="s">
        <v>1019</v>
      </c>
      <c r="E707" s="594">
        <v>2</v>
      </c>
      <c r="F707" s="509">
        <v>221956</v>
      </c>
      <c r="G707" s="359">
        <f>0+táj.2!G707</f>
        <v>0</v>
      </c>
      <c r="H707" s="359">
        <f>0+táj.2!H707</f>
        <v>0</v>
      </c>
      <c r="I707" s="359">
        <f>7000+táj.2!I707</f>
        <v>7000</v>
      </c>
      <c r="J707" s="359">
        <f>0+táj.2!J707</f>
        <v>0</v>
      </c>
      <c r="K707" s="359">
        <f>0+táj.2!K707</f>
        <v>0</v>
      </c>
      <c r="L707" s="359">
        <f>0+táj.2!L707</f>
        <v>0</v>
      </c>
      <c r="M707" s="359">
        <f>0+táj.2!M707</f>
        <v>0</v>
      </c>
      <c r="N707" s="359">
        <f>0+táj.2!N707</f>
        <v>0</v>
      </c>
      <c r="O707" s="359">
        <f>0+táj.2!O707</f>
        <v>0</v>
      </c>
      <c r="P707" s="359">
        <f>0+táj.2!P707</f>
        <v>0</v>
      </c>
      <c r="Q707" s="342">
        <f t="shared" si="55"/>
        <v>7000</v>
      </c>
    </row>
    <row r="708" spans="1:17" ht="14.1" customHeight="1" x14ac:dyDescent="0.2">
      <c r="A708" s="354"/>
      <c r="B708" s="354"/>
      <c r="C708" s="355"/>
      <c r="D708" s="288" t="s">
        <v>952</v>
      </c>
      <c r="E708" s="198">
        <v>2</v>
      </c>
      <c r="F708" s="148">
        <v>221916</v>
      </c>
      <c r="G708" s="359">
        <f>0+táj.2!G708</f>
        <v>0</v>
      </c>
      <c r="H708" s="359">
        <f>0+táj.2!H708</f>
        <v>0</v>
      </c>
      <c r="I708" s="359">
        <f>0+táj.2!I708</f>
        <v>0</v>
      </c>
      <c r="J708" s="359">
        <f>0+táj.2!J708</f>
        <v>0</v>
      </c>
      <c r="K708" s="359">
        <f>35000+táj.2!K708</f>
        <v>35000</v>
      </c>
      <c r="L708" s="359">
        <f>0+táj.2!L708</f>
        <v>0</v>
      </c>
      <c r="M708" s="359">
        <f>0+táj.2!M708</f>
        <v>0</v>
      </c>
      <c r="N708" s="359">
        <f>0+táj.2!N708</f>
        <v>0</v>
      </c>
      <c r="O708" s="359">
        <f>0+táj.2!O708</f>
        <v>0</v>
      </c>
      <c r="P708" s="359">
        <f>0+táj.2!P708</f>
        <v>0</v>
      </c>
      <c r="Q708" s="342">
        <f t="shared" si="55"/>
        <v>35000</v>
      </c>
    </row>
    <row r="709" spans="1:17" ht="14.1" customHeight="1" x14ac:dyDescent="0.2">
      <c r="A709" s="354"/>
      <c r="B709" s="354"/>
      <c r="C709" s="355"/>
      <c r="D709" s="277" t="s">
        <v>953</v>
      </c>
      <c r="E709" s="198">
        <v>2</v>
      </c>
      <c r="F709" s="148">
        <v>221904</v>
      </c>
      <c r="G709" s="359">
        <f>0+táj.2!G709</f>
        <v>0</v>
      </c>
      <c r="H709" s="359">
        <f>0+táj.2!H709</f>
        <v>0</v>
      </c>
      <c r="I709" s="359">
        <f>2000+táj.2!I709</f>
        <v>2000</v>
      </c>
      <c r="J709" s="359">
        <f>0+táj.2!J709</f>
        <v>0</v>
      </c>
      <c r="K709" s="359">
        <f>0+táj.2!K709</f>
        <v>0</v>
      </c>
      <c r="L709" s="359">
        <f>0+táj.2!L709</f>
        <v>0</v>
      </c>
      <c r="M709" s="359">
        <f>0+táj.2!M709</f>
        <v>0</v>
      </c>
      <c r="N709" s="359">
        <f>0+táj.2!N709</f>
        <v>0</v>
      </c>
      <c r="O709" s="359">
        <f>0+táj.2!O709</f>
        <v>0</v>
      </c>
      <c r="P709" s="359">
        <f>0+táj.2!P709</f>
        <v>0</v>
      </c>
      <c r="Q709" s="342">
        <f t="shared" si="55"/>
        <v>2000</v>
      </c>
    </row>
    <row r="710" spans="1:17" ht="14.1" customHeight="1" x14ac:dyDescent="0.2">
      <c r="A710" s="354"/>
      <c r="B710" s="354"/>
      <c r="C710" s="355"/>
      <c r="D710" s="277" t="s">
        <v>954</v>
      </c>
      <c r="E710" s="148">
        <v>2</v>
      </c>
      <c r="F710" s="148">
        <v>221922</v>
      </c>
      <c r="G710" s="359">
        <f>0+táj.2!G710</f>
        <v>0</v>
      </c>
      <c r="H710" s="359">
        <f>0+táj.2!H710</f>
        <v>0</v>
      </c>
      <c r="I710" s="359">
        <f>7000+táj.2!I710</f>
        <v>7000</v>
      </c>
      <c r="J710" s="359">
        <f>0+táj.2!J710</f>
        <v>0</v>
      </c>
      <c r="K710" s="359">
        <f>0+táj.2!K710</f>
        <v>0</v>
      </c>
      <c r="L710" s="359">
        <f>0+táj.2!L710</f>
        <v>0</v>
      </c>
      <c r="M710" s="359">
        <f>0+táj.2!M710</f>
        <v>0</v>
      </c>
      <c r="N710" s="359">
        <f>0+táj.2!N710</f>
        <v>0</v>
      </c>
      <c r="O710" s="359">
        <f>0+táj.2!O710</f>
        <v>0</v>
      </c>
      <c r="P710" s="359">
        <f>0+táj.2!P710</f>
        <v>0</v>
      </c>
      <c r="Q710" s="342">
        <f t="shared" si="55"/>
        <v>7000</v>
      </c>
    </row>
    <row r="711" spans="1:17" ht="14.1" customHeight="1" x14ac:dyDescent="0.2">
      <c r="A711" s="354"/>
      <c r="B711" s="354"/>
      <c r="C711" s="355"/>
      <c r="D711" s="277" t="s">
        <v>955</v>
      </c>
      <c r="E711" s="185">
        <v>2</v>
      </c>
      <c r="F711" s="148">
        <v>221939</v>
      </c>
      <c r="G711" s="359">
        <f>0+táj.2!G711</f>
        <v>0</v>
      </c>
      <c r="H711" s="359">
        <f>0+táj.2!H711</f>
        <v>0</v>
      </c>
      <c r="I711" s="359">
        <f>340+táj.2!I711</f>
        <v>340</v>
      </c>
      <c r="J711" s="359">
        <f>0+táj.2!J711</f>
        <v>0</v>
      </c>
      <c r="K711" s="359">
        <f>700+táj.2!K711</f>
        <v>700</v>
      </c>
      <c r="L711" s="359">
        <f>0+táj.2!L711</f>
        <v>0</v>
      </c>
      <c r="M711" s="359">
        <f>0+táj.2!M711</f>
        <v>0</v>
      </c>
      <c r="N711" s="359">
        <f>0+táj.2!N711</f>
        <v>0</v>
      </c>
      <c r="O711" s="359">
        <f>0+táj.2!O711</f>
        <v>0</v>
      </c>
      <c r="P711" s="359">
        <f>0+táj.2!P711</f>
        <v>0</v>
      </c>
      <c r="Q711" s="342">
        <f t="shared" si="55"/>
        <v>1040</v>
      </c>
    </row>
    <row r="712" spans="1:17" ht="14.1" customHeight="1" x14ac:dyDescent="0.2">
      <c r="A712" s="354"/>
      <c r="B712" s="354"/>
      <c r="C712" s="355"/>
      <c r="D712" s="277" t="s">
        <v>956</v>
      </c>
      <c r="E712" s="185">
        <v>2</v>
      </c>
      <c r="F712" s="148">
        <v>221927</v>
      </c>
      <c r="G712" s="359">
        <f>0+táj.2!G712</f>
        <v>0</v>
      </c>
      <c r="H712" s="359">
        <f>0+táj.2!H712</f>
        <v>0</v>
      </c>
      <c r="I712" s="359">
        <f>0+táj.2!I712</f>
        <v>0</v>
      </c>
      <c r="J712" s="359">
        <f>0+táj.2!J712</f>
        <v>0</v>
      </c>
      <c r="K712" s="359">
        <f>2800+táj.2!K712</f>
        <v>2800</v>
      </c>
      <c r="L712" s="359">
        <f>0+táj.2!L712</f>
        <v>0</v>
      </c>
      <c r="M712" s="359">
        <f>0+táj.2!M712</f>
        <v>0</v>
      </c>
      <c r="N712" s="359">
        <f>0+táj.2!N712</f>
        <v>0</v>
      </c>
      <c r="O712" s="359">
        <f>0+táj.2!O712</f>
        <v>0</v>
      </c>
      <c r="P712" s="359">
        <f>0+táj.2!P712</f>
        <v>0</v>
      </c>
      <c r="Q712" s="342">
        <f t="shared" si="55"/>
        <v>2800</v>
      </c>
    </row>
    <row r="713" spans="1:17" ht="26.25" customHeight="1" x14ac:dyDescent="0.2">
      <c r="A713" s="354"/>
      <c r="B713" s="354"/>
      <c r="C713" s="355"/>
      <c r="D713" s="336" t="s">
        <v>957</v>
      </c>
      <c r="E713" s="185">
        <v>2</v>
      </c>
      <c r="F713" s="148">
        <v>221935</v>
      </c>
      <c r="G713" s="359">
        <f>0+táj.2!G713</f>
        <v>0</v>
      </c>
      <c r="H713" s="359">
        <f>0+táj.2!H713</f>
        <v>0</v>
      </c>
      <c r="I713" s="359">
        <f>0+táj.2!I713</f>
        <v>0</v>
      </c>
      <c r="J713" s="359">
        <f>0+táj.2!J713</f>
        <v>0</v>
      </c>
      <c r="K713" s="359">
        <f>40000+táj.2!K713</f>
        <v>40000</v>
      </c>
      <c r="L713" s="359">
        <f>0+táj.2!L713</f>
        <v>0</v>
      </c>
      <c r="M713" s="359">
        <f>0+táj.2!M713</f>
        <v>0</v>
      </c>
      <c r="N713" s="359">
        <f>0+táj.2!N713</f>
        <v>0</v>
      </c>
      <c r="O713" s="359">
        <f>0+táj.2!O713</f>
        <v>0</v>
      </c>
      <c r="P713" s="359">
        <f>0+táj.2!P713</f>
        <v>0</v>
      </c>
      <c r="Q713" s="342">
        <f t="shared" si="55"/>
        <v>40000</v>
      </c>
    </row>
    <row r="714" spans="1:17" ht="14.1" customHeight="1" x14ac:dyDescent="0.2">
      <c r="A714" s="354"/>
      <c r="B714" s="354"/>
      <c r="C714" s="355"/>
      <c r="D714" s="277" t="s">
        <v>958</v>
      </c>
      <c r="E714" s="148">
        <v>2</v>
      </c>
      <c r="F714" s="148">
        <v>191110</v>
      </c>
      <c r="G714" s="359">
        <f>5000+táj.2!G714</f>
        <v>5000</v>
      </c>
      <c r="H714" s="359">
        <f>1800+táj.2!H714</f>
        <v>1800</v>
      </c>
      <c r="I714" s="359">
        <f>3200+táj.2!I714</f>
        <v>2700</v>
      </c>
      <c r="J714" s="359">
        <f>0+táj.2!J714</f>
        <v>0</v>
      </c>
      <c r="K714" s="359">
        <f>0+táj.2!K714</f>
        <v>0</v>
      </c>
      <c r="L714" s="359">
        <f>0+táj.2!L714</f>
        <v>0</v>
      </c>
      <c r="M714" s="359">
        <f>0+táj.2!M714</f>
        <v>0</v>
      </c>
      <c r="N714" s="359">
        <f>0+táj.2!N714</f>
        <v>0</v>
      </c>
      <c r="O714" s="359">
        <f>0+táj.2!O714</f>
        <v>0</v>
      </c>
      <c r="P714" s="359">
        <f>0+táj.2!P714</f>
        <v>0</v>
      </c>
      <c r="Q714" s="342">
        <f t="shared" si="55"/>
        <v>9500</v>
      </c>
    </row>
    <row r="715" spans="1:17" ht="14.1" customHeight="1" x14ac:dyDescent="0.2">
      <c r="A715" s="354"/>
      <c r="B715" s="354"/>
      <c r="C715" s="355"/>
      <c r="D715" s="277" t="s">
        <v>959</v>
      </c>
      <c r="E715" s="185"/>
      <c r="F715" s="185"/>
      <c r="G715" s="359"/>
      <c r="H715" s="359"/>
      <c r="I715" s="359"/>
      <c r="J715" s="359"/>
      <c r="K715" s="359"/>
      <c r="L715" s="359"/>
      <c r="M715" s="359"/>
      <c r="N715" s="359"/>
      <c r="O715" s="359"/>
      <c r="P715" s="359"/>
      <c r="Q715" s="342"/>
    </row>
    <row r="716" spans="1:17" ht="14.1" customHeight="1" x14ac:dyDescent="0.2">
      <c r="A716" s="354"/>
      <c r="B716" s="354"/>
      <c r="C716" s="355"/>
      <c r="D716" s="277" t="s">
        <v>960</v>
      </c>
      <c r="E716" s="148">
        <v>2</v>
      </c>
      <c r="F716" s="148">
        <v>191301</v>
      </c>
      <c r="G716" s="359">
        <f>0+táj.2!G716</f>
        <v>0</v>
      </c>
      <c r="H716" s="359">
        <f>0+táj.2!H716</f>
        <v>0</v>
      </c>
      <c r="I716" s="359">
        <f>0+táj.2!I716</f>
        <v>0</v>
      </c>
      <c r="J716" s="359">
        <f>0+táj.2!J716</f>
        <v>0</v>
      </c>
      <c r="K716" s="359">
        <f>42000+táj.2!K716</f>
        <v>42000</v>
      </c>
      <c r="L716" s="359">
        <f>0+táj.2!L716</f>
        <v>0</v>
      </c>
      <c r="M716" s="359">
        <f>0+táj.2!M716</f>
        <v>0</v>
      </c>
      <c r="N716" s="359">
        <f>0+táj.2!N716</f>
        <v>0</v>
      </c>
      <c r="O716" s="359">
        <f>0+táj.2!O716</f>
        <v>0</v>
      </c>
      <c r="P716" s="359">
        <f>0+táj.2!P716</f>
        <v>0</v>
      </c>
      <c r="Q716" s="342">
        <f>SUM(G716:P716)</f>
        <v>42000</v>
      </c>
    </row>
    <row r="717" spans="1:17" ht="14.1" customHeight="1" x14ac:dyDescent="0.2">
      <c r="A717" s="354"/>
      <c r="B717" s="354"/>
      <c r="C717" s="355"/>
      <c r="D717" s="277" t="s">
        <v>961</v>
      </c>
      <c r="E717" s="148">
        <v>2</v>
      </c>
      <c r="F717" s="148">
        <v>191302</v>
      </c>
      <c r="G717" s="359">
        <f>0+táj.2!G717</f>
        <v>0</v>
      </c>
      <c r="H717" s="359">
        <f>0+táj.2!H717</f>
        <v>0</v>
      </c>
      <c r="I717" s="359">
        <f>10000+táj.2!I717</f>
        <v>10000</v>
      </c>
      <c r="J717" s="359">
        <f>0+táj.2!J717</f>
        <v>0</v>
      </c>
      <c r="K717" s="359">
        <f>0+táj.2!K717</f>
        <v>0</v>
      </c>
      <c r="L717" s="359">
        <f>0+táj.2!L717</f>
        <v>0</v>
      </c>
      <c r="M717" s="359">
        <f>0+táj.2!M717</f>
        <v>0</v>
      </c>
      <c r="N717" s="359">
        <f>0+táj.2!N717</f>
        <v>0</v>
      </c>
      <c r="O717" s="359">
        <f>0+táj.2!O717</f>
        <v>0</v>
      </c>
      <c r="P717" s="359">
        <f>0+táj.2!P717</f>
        <v>0</v>
      </c>
      <c r="Q717" s="342">
        <f>SUM(G717:P717)</f>
        <v>10000</v>
      </c>
    </row>
    <row r="718" spans="1:17" ht="14.1" customHeight="1" x14ac:dyDescent="0.2">
      <c r="A718" s="354"/>
      <c r="B718" s="354"/>
      <c r="C718" s="355"/>
      <c r="D718" s="360" t="s">
        <v>252</v>
      </c>
      <c r="E718" s="198"/>
      <c r="F718" s="148"/>
      <c r="G718" s="359"/>
      <c r="H718" s="359"/>
      <c r="I718" s="359"/>
      <c r="J718" s="359"/>
      <c r="K718" s="359"/>
      <c r="L718" s="359"/>
      <c r="M718" s="359"/>
      <c r="N718" s="359"/>
      <c r="O718" s="359"/>
      <c r="P718" s="359"/>
      <c r="Q718" s="342"/>
    </row>
    <row r="719" spans="1:17" ht="14.1" customHeight="1" x14ac:dyDescent="0.2">
      <c r="A719" s="354"/>
      <c r="B719" s="354"/>
      <c r="C719" s="355"/>
      <c r="D719" s="150" t="s">
        <v>962</v>
      </c>
      <c r="E719" s="255">
        <v>2</v>
      </c>
      <c r="F719" s="226">
        <v>221951</v>
      </c>
      <c r="G719" s="359">
        <f>0+táj.2!G719</f>
        <v>0</v>
      </c>
      <c r="H719" s="359">
        <f>0+táj.2!H719</f>
        <v>0</v>
      </c>
      <c r="I719" s="359">
        <f>1000+táj.2!I719</f>
        <v>500</v>
      </c>
      <c r="J719" s="359">
        <f>0+táj.2!J719</f>
        <v>0</v>
      </c>
      <c r="K719" s="359">
        <f>23400+táj.2!K719</f>
        <v>23139</v>
      </c>
      <c r="L719" s="359">
        <f>0+táj.2!L719</f>
        <v>0</v>
      </c>
      <c r="M719" s="359">
        <f>0+táj.2!M719</f>
        <v>0</v>
      </c>
      <c r="N719" s="359">
        <f>350+táj.2!N719</f>
        <v>1550</v>
      </c>
      <c r="O719" s="359">
        <f>0+táj.2!O719</f>
        <v>0</v>
      </c>
      <c r="P719" s="359">
        <f>0+táj.2!P719</f>
        <v>0</v>
      </c>
      <c r="Q719" s="342">
        <f>SUM(G719:P719)</f>
        <v>25189</v>
      </c>
    </row>
    <row r="720" spans="1:17" ht="14.1" customHeight="1" x14ac:dyDescent="0.2">
      <c r="A720" s="354"/>
      <c r="B720" s="354"/>
      <c r="C720" s="362"/>
      <c r="D720" s="363" t="s">
        <v>963</v>
      </c>
      <c r="E720" s="198">
        <v>2</v>
      </c>
      <c r="F720" s="148" t="s">
        <v>964</v>
      </c>
      <c r="G720" s="359">
        <f>151+táj.2!G720</f>
        <v>151</v>
      </c>
      <c r="H720" s="359">
        <f>86+táj.2!H720</f>
        <v>86</v>
      </c>
      <c r="I720" s="359">
        <f>60928+táj.2!I720</f>
        <v>54201</v>
      </c>
      <c r="J720" s="359">
        <f>0+táj.2!J720</f>
        <v>0</v>
      </c>
      <c r="K720" s="359">
        <f>660+táj.2!K720</f>
        <v>4268</v>
      </c>
      <c r="L720" s="359">
        <f>0+táj.2!L720</f>
        <v>416</v>
      </c>
      <c r="M720" s="359">
        <f>0+táj.2!M720</f>
        <v>0</v>
      </c>
      <c r="N720" s="359">
        <f>650+táj.2!N720</f>
        <v>900</v>
      </c>
      <c r="O720" s="359">
        <f>0+táj.2!O720</f>
        <v>0</v>
      </c>
      <c r="P720" s="359">
        <f>0+táj.2!P720</f>
        <v>0</v>
      </c>
      <c r="Q720" s="342">
        <f>SUM(G720:P720)</f>
        <v>60022</v>
      </c>
    </row>
    <row r="721" spans="1:17" ht="14.1" customHeight="1" x14ac:dyDescent="0.2">
      <c r="A721" s="354"/>
      <c r="B721" s="354"/>
      <c r="C721" s="355"/>
      <c r="D721" s="288" t="s">
        <v>965</v>
      </c>
      <c r="E721" s="198"/>
      <c r="F721" s="148"/>
      <c r="G721" s="359"/>
      <c r="H721" s="359"/>
      <c r="I721" s="359"/>
      <c r="J721" s="359"/>
      <c r="K721" s="359"/>
      <c r="L721" s="359"/>
      <c r="M721" s="359"/>
      <c r="N721" s="359"/>
      <c r="O721" s="359"/>
      <c r="P721" s="359"/>
      <c r="Q721" s="342"/>
    </row>
    <row r="722" spans="1:17" ht="14.1" customHeight="1" x14ac:dyDescent="0.2">
      <c r="A722" s="354"/>
      <c r="B722" s="354"/>
      <c r="C722" s="355"/>
      <c r="D722" s="288" t="s">
        <v>966</v>
      </c>
      <c r="E722" s="198">
        <v>2</v>
      </c>
      <c r="F722" s="148">
        <v>221929</v>
      </c>
      <c r="G722" s="359">
        <f>0+táj.2!G722</f>
        <v>0</v>
      </c>
      <c r="H722" s="359">
        <f>0+táj.2!H722</f>
        <v>0</v>
      </c>
      <c r="I722" s="359">
        <f>0+táj.2!I722</f>
        <v>0</v>
      </c>
      <c r="J722" s="359">
        <f>0+táj.2!J722</f>
        <v>0</v>
      </c>
      <c r="K722" s="359">
        <f>12843+táj.2!K722</f>
        <v>12843</v>
      </c>
      <c r="L722" s="359">
        <f>0+táj.2!L722</f>
        <v>0</v>
      </c>
      <c r="M722" s="359">
        <f>0+táj.2!M722</f>
        <v>0</v>
      </c>
      <c r="N722" s="359">
        <f>0+táj.2!N722</f>
        <v>0</v>
      </c>
      <c r="O722" s="359">
        <f>0+táj.2!O722</f>
        <v>0</v>
      </c>
      <c r="P722" s="359">
        <f>0+táj.2!P722</f>
        <v>0</v>
      </c>
      <c r="Q722" s="342">
        <f>SUM(G722:P722)</f>
        <v>12843</v>
      </c>
    </row>
    <row r="723" spans="1:17" ht="14.1" customHeight="1" x14ac:dyDescent="0.2">
      <c r="A723" s="354"/>
      <c r="B723" s="354"/>
      <c r="C723" s="364"/>
      <c r="D723" s="288" t="s">
        <v>967</v>
      </c>
      <c r="E723" s="198">
        <v>2</v>
      </c>
      <c r="F723" s="148">
        <v>191402</v>
      </c>
      <c r="G723" s="359">
        <f>0+táj.2!G723</f>
        <v>0</v>
      </c>
      <c r="H723" s="359">
        <f>0+táj.2!H723</f>
        <v>0</v>
      </c>
      <c r="I723" s="359">
        <f>0+táj.2!I723</f>
        <v>0</v>
      </c>
      <c r="J723" s="359">
        <f>0+táj.2!J723</f>
        <v>0</v>
      </c>
      <c r="K723" s="359">
        <f>7000+táj.2!K723</f>
        <v>7000</v>
      </c>
      <c r="L723" s="359">
        <f>0+táj.2!L723</f>
        <v>0</v>
      </c>
      <c r="M723" s="359">
        <f>0+táj.2!M723</f>
        <v>0</v>
      </c>
      <c r="N723" s="359">
        <f>0+táj.2!N723</f>
        <v>0</v>
      </c>
      <c r="O723" s="359">
        <f>0+táj.2!O723</f>
        <v>0</v>
      </c>
      <c r="P723" s="359">
        <f>0+táj.2!P723</f>
        <v>0</v>
      </c>
      <c r="Q723" s="342">
        <f>SUM(G723:P723)</f>
        <v>7000</v>
      </c>
    </row>
    <row r="724" spans="1:17" ht="14.1" customHeight="1" x14ac:dyDescent="0.2">
      <c r="A724" s="354"/>
      <c r="B724" s="354"/>
      <c r="C724" s="364"/>
      <c r="D724" s="288" t="s">
        <v>968</v>
      </c>
      <c r="E724" s="198"/>
      <c r="F724" s="148"/>
      <c r="G724" s="359"/>
      <c r="H724" s="359"/>
      <c r="I724" s="359"/>
      <c r="J724" s="359"/>
      <c r="K724" s="359"/>
      <c r="L724" s="359"/>
      <c r="M724" s="359"/>
      <c r="N724" s="359"/>
      <c r="O724" s="359"/>
      <c r="P724" s="359"/>
      <c r="Q724" s="342"/>
    </row>
    <row r="725" spans="1:17" ht="14.1" customHeight="1" x14ac:dyDescent="0.2">
      <c r="A725" s="354"/>
      <c r="B725" s="354"/>
      <c r="C725" s="364"/>
      <c r="D725" s="288" t="s">
        <v>969</v>
      </c>
      <c r="E725" s="198">
        <v>1</v>
      </c>
      <c r="F725" s="148">
        <v>221909</v>
      </c>
      <c r="G725" s="359">
        <f>0+táj.2!G725</f>
        <v>0</v>
      </c>
      <c r="H725" s="359">
        <f>0+táj.2!H725</f>
        <v>0</v>
      </c>
      <c r="I725" s="359">
        <f>0+táj.2!I725</f>
        <v>0</v>
      </c>
      <c r="J725" s="359">
        <f>0+táj.2!J725</f>
        <v>0</v>
      </c>
      <c r="K725" s="359">
        <f>18467+táj.2!K725</f>
        <v>18467</v>
      </c>
      <c r="L725" s="359">
        <f>0+táj.2!L725</f>
        <v>0</v>
      </c>
      <c r="M725" s="359">
        <f>0+táj.2!M725</f>
        <v>0</v>
      </c>
      <c r="N725" s="359">
        <f>0+táj.2!N725</f>
        <v>0</v>
      </c>
      <c r="O725" s="359">
        <f>0+táj.2!O725</f>
        <v>0</v>
      </c>
      <c r="P725" s="359">
        <f>0+táj.2!P725</f>
        <v>0</v>
      </c>
      <c r="Q725" s="342">
        <f>SUM(G725:P725)</f>
        <v>18467</v>
      </c>
    </row>
    <row r="726" spans="1:17" ht="14.1" customHeight="1" x14ac:dyDescent="0.2">
      <c r="A726" s="354"/>
      <c r="B726" s="354"/>
      <c r="C726" s="355"/>
      <c r="D726" s="288" t="s">
        <v>970</v>
      </c>
      <c r="E726" s="198">
        <v>1</v>
      </c>
      <c r="F726" s="148">
        <v>221913</v>
      </c>
      <c r="G726" s="359">
        <f>400+táj.2!G726</f>
        <v>400</v>
      </c>
      <c r="H726" s="359">
        <f>145+táj.2!H726</f>
        <v>145</v>
      </c>
      <c r="I726" s="359">
        <f>17162+táj.2!I726</f>
        <v>17162</v>
      </c>
      <c r="J726" s="359">
        <f>0+táj.2!J726</f>
        <v>0</v>
      </c>
      <c r="K726" s="359">
        <f>0+táj.2!K726</f>
        <v>0</v>
      </c>
      <c r="L726" s="359">
        <f>0+táj.2!L726</f>
        <v>0</v>
      </c>
      <c r="M726" s="359">
        <f>0+táj.2!M726</f>
        <v>0</v>
      </c>
      <c r="N726" s="359">
        <f>0+táj.2!N726</f>
        <v>0</v>
      </c>
      <c r="O726" s="359">
        <f>0+táj.2!O726</f>
        <v>0</v>
      </c>
      <c r="P726" s="359">
        <f>0+táj.2!P726</f>
        <v>0</v>
      </c>
      <c r="Q726" s="342">
        <f>SUM(G726:P726)</f>
        <v>17707</v>
      </c>
    </row>
    <row r="727" spans="1:17" ht="14.1" customHeight="1" x14ac:dyDescent="0.2">
      <c r="A727" s="611"/>
      <c r="B727" s="611"/>
      <c r="C727" s="612"/>
      <c r="D727" s="614" t="s">
        <v>1027</v>
      </c>
      <c r="E727" s="586">
        <v>1</v>
      </c>
      <c r="F727" s="582">
        <v>221962</v>
      </c>
      <c r="G727" s="615">
        <f>0+táj.2!G727</f>
        <v>0</v>
      </c>
      <c r="H727" s="615">
        <f>0+táj.2!H727</f>
        <v>0</v>
      </c>
      <c r="I727" s="615">
        <f>0+táj.2!I727</f>
        <v>0</v>
      </c>
      <c r="J727" s="615">
        <f>0+táj.2!J727</f>
        <v>0</v>
      </c>
      <c r="K727" s="615">
        <f>47379+táj.2!K727</f>
        <v>47379</v>
      </c>
      <c r="L727" s="615">
        <f>0+táj.2!L727</f>
        <v>0</v>
      </c>
      <c r="M727" s="615">
        <f>0+táj.2!M727</f>
        <v>0</v>
      </c>
      <c r="N727" s="615">
        <f>0+táj.2!N727</f>
        <v>0</v>
      </c>
      <c r="O727" s="615">
        <f>0+táj.2!O727</f>
        <v>0</v>
      </c>
      <c r="P727" s="615">
        <f>0+táj.2!P727</f>
        <v>0</v>
      </c>
      <c r="Q727" s="342">
        <f>SUM(G727:P727)</f>
        <v>47379</v>
      </c>
    </row>
    <row r="728" spans="1:17" ht="24.95" customHeight="1" x14ac:dyDescent="0.2">
      <c r="A728" s="354"/>
      <c r="B728" s="354"/>
      <c r="C728" s="355"/>
      <c r="D728" s="149" t="s">
        <v>971</v>
      </c>
      <c r="E728" s="198">
        <v>2</v>
      </c>
      <c r="F728" s="207">
        <v>221955</v>
      </c>
      <c r="G728" s="359">
        <f>0+táj.2!G728</f>
        <v>0</v>
      </c>
      <c r="H728" s="359">
        <f>0+táj.2!H728</f>
        <v>0</v>
      </c>
      <c r="I728" s="359">
        <f>3785+táj.2!I728</f>
        <v>3785</v>
      </c>
      <c r="J728" s="359">
        <f>0+táj.2!J728</f>
        <v>0</v>
      </c>
      <c r="K728" s="359">
        <f>0+táj.2!K728</f>
        <v>0</v>
      </c>
      <c r="L728" s="359">
        <f>0+táj.2!L728</f>
        <v>0</v>
      </c>
      <c r="M728" s="359">
        <f>0+táj.2!M728</f>
        <v>0</v>
      </c>
      <c r="N728" s="359">
        <f>0+táj.2!N728</f>
        <v>0</v>
      </c>
      <c r="O728" s="359">
        <f>0+táj.2!O728</f>
        <v>0</v>
      </c>
      <c r="P728" s="359">
        <f>0+táj.2!P728</f>
        <v>0</v>
      </c>
      <c r="Q728" s="342">
        <f>SUM(G728:P728)</f>
        <v>3785</v>
      </c>
    </row>
    <row r="729" spans="1:17" ht="16.5" customHeight="1" x14ac:dyDescent="0.2">
      <c r="A729" s="354"/>
      <c r="B729" s="354"/>
      <c r="C729" s="355"/>
      <c r="D729" s="277" t="s">
        <v>972</v>
      </c>
      <c r="E729" s="185"/>
      <c r="F729" s="185"/>
      <c r="G729" s="359"/>
      <c r="H729" s="359"/>
      <c r="I729" s="359"/>
      <c r="J729" s="359"/>
      <c r="K729" s="359"/>
      <c r="L729" s="359"/>
      <c r="M729" s="359"/>
      <c r="N729" s="359"/>
      <c r="O729" s="359"/>
      <c r="P729" s="359"/>
      <c r="Q729" s="148"/>
    </row>
    <row r="730" spans="1:17" ht="14.25" customHeight="1" x14ac:dyDescent="0.2">
      <c r="A730" s="354"/>
      <c r="B730" s="354"/>
      <c r="C730" s="355"/>
      <c r="D730" s="277" t="s">
        <v>973</v>
      </c>
      <c r="E730" s="148">
        <v>2</v>
      </c>
      <c r="F730" s="148">
        <v>191151</v>
      </c>
      <c r="G730" s="359">
        <f>0+táj.2!G730</f>
        <v>0</v>
      </c>
      <c r="H730" s="359">
        <f>0+táj.2!H730</f>
        <v>0</v>
      </c>
      <c r="I730" s="359">
        <f>0+táj.2!I730</f>
        <v>0</v>
      </c>
      <c r="J730" s="359">
        <f>0+táj.2!J730</f>
        <v>0</v>
      </c>
      <c r="K730" s="359">
        <f>70000+táj.2!K730</f>
        <v>70000</v>
      </c>
      <c r="L730" s="359">
        <f>0+táj.2!L730</f>
        <v>0</v>
      </c>
      <c r="M730" s="359">
        <f>0+táj.2!M730</f>
        <v>0</v>
      </c>
      <c r="N730" s="359">
        <f>0+táj.2!N730</f>
        <v>0</v>
      </c>
      <c r="O730" s="359">
        <f>0+táj.2!O730</f>
        <v>0</v>
      </c>
      <c r="P730" s="359">
        <f>0+táj.2!P730</f>
        <v>0</v>
      </c>
      <c r="Q730" s="148">
        <f>SUM(G730:P730)</f>
        <v>70000</v>
      </c>
    </row>
    <row r="731" spans="1:17" ht="15.95" customHeight="1" x14ac:dyDescent="0.2">
      <c r="A731" s="354"/>
      <c r="B731" s="354"/>
      <c r="C731" s="355"/>
      <c r="D731" s="277" t="s">
        <v>406</v>
      </c>
      <c r="E731" s="198"/>
      <c r="F731" s="207"/>
      <c r="G731" s="359"/>
      <c r="H731" s="359"/>
      <c r="I731" s="359"/>
      <c r="J731" s="359"/>
      <c r="K731" s="359"/>
      <c r="L731" s="359"/>
      <c r="M731" s="359"/>
      <c r="N731" s="359"/>
      <c r="O731" s="359"/>
      <c r="P731" s="359"/>
      <c r="Q731" s="342"/>
    </row>
    <row r="732" spans="1:17" ht="24" customHeight="1" x14ac:dyDescent="0.2">
      <c r="A732" s="354"/>
      <c r="B732" s="354"/>
      <c r="C732" s="355"/>
      <c r="D732" s="150" t="s">
        <v>998</v>
      </c>
      <c r="E732" s="198">
        <v>2</v>
      </c>
      <c r="F732" s="207">
        <v>221942</v>
      </c>
      <c r="G732" s="359">
        <f>0+táj.2!G732</f>
        <v>0</v>
      </c>
      <c r="H732" s="359">
        <f>0+táj.2!H732</f>
        <v>0</v>
      </c>
      <c r="I732" s="359">
        <f>0+táj.2!I732</f>
        <v>0</v>
      </c>
      <c r="J732" s="359">
        <f>0+táj.2!J732</f>
        <v>0</v>
      </c>
      <c r="K732" s="359">
        <f>0+táj.2!K732</f>
        <v>0</v>
      </c>
      <c r="L732" s="359">
        <f>0+táj.2!L732</f>
        <v>0</v>
      </c>
      <c r="M732" s="359">
        <f>0+táj.2!M732</f>
        <v>0</v>
      </c>
      <c r="N732" s="359">
        <f>0+táj.2!N732</f>
        <v>0</v>
      </c>
      <c r="O732" s="359">
        <f>0+táj.2!O732</f>
        <v>0</v>
      </c>
      <c r="P732" s="359">
        <f>0+táj.2!P732</f>
        <v>0</v>
      </c>
      <c r="Q732" s="342">
        <f t="shared" ref="Q732:Q737" si="56">SUM(G732:P732)</f>
        <v>0</v>
      </c>
    </row>
    <row r="733" spans="1:17" ht="18.75" customHeight="1" x14ac:dyDescent="0.2">
      <c r="A733" s="354"/>
      <c r="B733" s="354"/>
      <c r="C733" s="355"/>
      <c r="D733" s="150" t="s">
        <v>1004</v>
      </c>
      <c r="E733" s="198">
        <v>2</v>
      </c>
      <c r="F733" s="510">
        <v>221961</v>
      </c>
      <c r="G733" s="359">
        <f>0+táj.2!G733</f>
        <v>0</v>
      </c>
      <c r="H733" s="359">
        <f>0+táj.2!H733</f>
        <v>0</v>
      </c>
      <c r="I733" s="359">
        <f>4000+táj.2!I733</f>
        <v>4000</v>
      </c>
      <c r="J733" s="359">
        <f>0+táj.2!J733</f>
        <v>0</v>
      </c>
      <c r="K733" s="359">
        <f>0+táj.2!K733</f>
        <v>0</v>
      </c>
      <c r="L733" s="359">
        <f>0+táj.2!L733</f>
        <v>0</v>
      </c>
      <c r="M733" s="359">
        <f>0+táj.2!M733</f>
        <v>0</v>
      </c>
      <c r="N733" s="359">
        <f>0+táj.2!N733</f>
        <v>0</v>
      </c>
      <c r="O733" s="359">
        <f>0+táj.2!O733</f>
        <v>0</v>
      </c>
      <c r="P733" s="359">
        <f>0+táj.2!P733</f>
        <v>0</v>
      </c>
      <c r="Q733" s="342">
        <f t="shared" si="56"/>
        <v>4000</v>
      </c>
    </row>
    <row r="734" spans="1:17" ht="24" customHeight="1" x14ac:dyDescent="0.2">
      <c r="A734" s="354"/>
      <c r="B734" s="354"/>
      <c r="C734" s="355"/>
      <c r="D734" s="150" t="s">
        <v>974</v>
      </c>
      <c r="E734" s="198">
        <v>2</v>
      </c>
      <c r="F734" s="207">
        <v>221910</v>
      </c>
      <c r="G734" s="359">
        <f>0+táj.2!G734</f>
        <v>0</v>
      </c>
      <c r="H734" s="359">
        <f>0+táj.2!H734</f>
        <v>0</v>
      </c>
      <c r="I734" s="359">
        <f>0+táj.2!I734</f>
        <v>0</v>
      </c>
      <c r="J734" s="359">
        <f>0+táj.2!J734</f>
        <v>0</v>
      </c>
      <c r="K734" s="359">
        <f>0+táj.2!K734</f>
        <v>0</v>
      </c>
      <c r="L734" s="359">
        <f>0+táj.2!L734</f>
        <v>0</v>
      </c>
      <c r="M734" s="359">
        <f>0+táj.2!M734</f>
        <v>0</v>
      </c>
      <c r="N734" s="359">
        <f>0+táj.2!N734</f>
        <v>0</v>
      </c>
      <c r="O734" s="359">
        <f>0+táj.2!O734</f>
        <v>0</v>
      </c>
      <c r="P734" s="359">
        <f>0+táj.2!P734</f>
        <v>0</v>
      </c>
      <c r="Q734" s="342">
        <f t="shared" si="56"/>
        <v>0</v>
      </c>
    </row>
    <row r="735" spans="1:17" ht="15" customHeight="1" x14ac:dyDescent="0.2">
      <c r="A735" s="354"/>
      <c r="B735" s="354"/>
      <c r="C735" s="355"/>
      <c r="D735" s="776" t="s">
        <v>1016</v>
      </c>
      <c r="E735" s="185">
        <v>2</v>
      </c>
      <c r="F735" s="148">
        <v>121518</v>
      </c>
      <c r="G735" s="359">
        <f>0+táj.2!G735</f>
        <v>0</v>
      </c>
      <c r="H735" s="359">
        <f>0+táj.2!H735</f>
        <v>0</v>
      </c>
      <c r="I735" s="359">
        <f>0+táj.2!I735</f>
        <v>0</v>
      </c>
      <c r="J735" s="359">
        <f>0+táj.2!J735</f>
        <v>0</v>
      </c>
      <c r="K735" s="359">
        <f>1500+táj.2!K735</f>
        <v>1500</v>
      </c>
      <c r="L735" s="359">
        <f>0+táj.2!L735</f>
        <v>0</v>
      </c>
      <c r="M735" s="359">
        <f>0+táj.2!M735</f>
        <v>0</v>
      </c>
      <c r="N735" s="359">
        <f>0+táj.2!N735</f>
        <v>0</v>
      </c>
      <c r="O735" s="359">
        <f>0+táj.2!O735</f>
        <v>0</v>
      </c>
      <c r="P735" s="359">
        <f>0+táj.2!P735</f>
        <v>0</v>
      </c>
      <c r="Q735" s="342">
        <f t="shared" si="56"/>
        <v>1500</v>
      </c>
    </row>
    <row r="736" spans="1:17" ht="17.25" customHeight="1" x14ac:dyDescent="0.2">
      <c r="A736" s="354"/>
      <c r="B736" s="354"/>
      <c r="C736" s="355"/>
      <c r="D736" s="763" t="s">
        <v>975</v>
      </c>
      <c r="E736" s="198">
        <v>2</v>
      </c>
      <c r="F736" s="503">
        <v>221931</v>
      </c>
      <c r="G736" s="359">
        <f>0+táj.2!G736</f>
        <v>0</v>
      </c>
      <c r="H736" s="359">
        <f>0+táj.2!H736</f>
        <v>0</v>
      </c>
      <c r="I736" s="359">
        <f>0+táj.2!I736</f>
        <v>0</v>
      </c>
      <c r="J736" s="359">
        <f>0+táj.2!J736</f>
        <v>0</v>
      </c>
      <c r="K736" s="359">
        <f>500+táj.2!K736</f>
        <v>500</v>
      </c>
      <c r="L736" s="359">
        <f>0+táj.2!L736</f>
        <v>0</v>
      </c>
      <c r="M736" s="359">
        <f>0+táj.2!M736</f>
        <v>0</v>
      </c>
      <c r="N736" s="359">
        <f>0+táj.2!N736</f>
        <v>0</v>
      </c>
      <c r="O736" s="359">
        <f>0+táj.2!O736</f>
        <v>0</v>
      </c>
      <c r="P736" s="359">
        <f>0+táj.2!P736</f>
        <v>0</v>
      </c>
      <c r="Q736" s="342">
        <f t="shared" si="56"/>
        <v>500</v>
      </c>
    </row>
    <row r="737" spans="1:17" ht="17.25" customHeight="1" x14ac:dyDescent="0.2">
      <c r="A737" s="851"/>
      <c r="B737" s="851"/>
      <c r="C737" s="852"/>
      <c r="D737" s="855" t="s">
        <v>1323</v>
      </c>
      <c r="E737" s="856">
        <v>2</v>
      </c>
      <c r="F737" s="857">
        <v>221963</v>
      </c>
      <c r="G737" s="359">
        <f>0+táj.2!G737</f>
        <v>0</v>
      </c>
      <c r="H737" s="359">
        <f>0+táj.2!H737</f>
        <v>0</v>
      </c>
      <c r="I737" s="359">
        <f>0+táj.2!I737</f>
        <v>0</v>
      </c>
      <c r="J737" s="359">
        <f>0+táj.2!J737</f>
        <v>0</v>
      </c>
      <c r="K737" s="359">
        <f>2500+táj.2!K737</f>
        <v>2500</v>
      </c>
      <c r="L737" s="359">
        <f>0+táj.2!L737</f>
        <v>0</v>
      </c>
      <c r="M737" s="359">
        <f>0+táj.2!M737</f>
        <v>0</v>
      </c>
      <c r="N737" s="359">
        <f>0+táj.2!N737</f>
        <v>0</v>
      </c>
      <c r="O737" s="359">
        <f>0+táj.2!O737</f>
        <v>0</v>
      </c>
      <c r="P737" s="359">
        <f>0+táj.2!P737</f>
        <v>0</v>
      </c>
      <c r="Q737" s="342">
        <f t="shared" si="56"/>
        <v>2500</v>
      </c>
    </row>
    <row r="738" spans="1:17" ht="14.1" customHeight="1" x14ac:dyDescent="0.2">
      <c r="A738" s="200"/>
      <c r="B738" s="200"/>
      <c r="C738" s="201"/>
      <c r="D738" s="300" t="s">
        <v>976</v>
      </c>
      <c r="E738" s="365"/>
      <c r="F738" s="203"/>
      <c r="G738" s="366">
        <f>SUM(G705:G737)</f>
        <v>14901</v>
      </c>
      <c r="H738" s="366">
        <f t="shared" ref="H738:Q738" si="57">SUM(H705:H737)</f>
        <v>6342</v>
      </c>
      <c r="I738" s="366">
        <f t="shared" si="57"/>
        <v>152260</v>
      </c>
      <c r="J738" s="366">
        <f t="shared" si="57"/>
        <v>0</v>
      </c>
      <c r="K738" s="366">
        <f t="shared" si="57"/>
        <v>312546</v>
      </c>
      <c r="L738" s="366">
        <f t="shared" si="57"/>
        <v>543</v>
      </c>
      <c r="M738" s="366">
        <f t="shared" si="57"/>
        <v>0</v>
      </c>
      <c r="N738" s="366">
        <f t="shared" si="57"/>
        <v>2450</v>
      </c>
      <c r="O738" s="366">
        <f t="shared" si="57"/>
        <v>0</v>
      </c>
      <c r="P738" s="366">
        <f t="shared" si="57"/>
        <v>0</v>
      </c>
      <c r="Q738" s="366">
        <f t="shared" si="57"/>
        <v>489042</v>
      </c>
    </row>
    <row r="739" spans="1:17" ht="14.1" customHeight="1" x14ac:dyDescent="0.2">
      <c r="A739" s="206"/>
      <c r="B739" s="206"/>
      <c r="C739" s="206"/>
      <c r="D739" s="367" t="s">
        <v>977</v>
      </c>
      <c r="E739" s="340"/>
      <c r="F739" s="209"/>
      <c r="G739" s="262"/>
      <c r="H739" s="262"/>
      <c r="I739" s="262"/>
      <c r="J739" s="262"/>
      <c r="K739" s="262"/>
      <c r="L739" s="262"/>
      <c r="M739" s="262"/>
      <c r="N739" s="262"/>
      <c r="O739" s="262"/>
      <c r="P739" s="262"/>
      <c r="Q739" s="262"/>
    </row>
    <row r="740" spans="1:17" ht="18.75" customHeight="1" x14ac:dyDescent="0.2">
      <c r="A740" s="206"/>
      <c r="B740" s="206"/>
      <c r="C740" s="726" t="s">
        <v>100</v>
      </c>
      <c r="D740" s="777" t="s">
        <v>1260</v>
      </c>
      <c r="E740" s="506"/>
      <c r="F740" s="503">
        <v>222925</v>
      </c>
      <c r="G740" s="198">
        <f>0+táj.2!G740</f>
        <v>0</v>
      </c>
      <c r="H740" s="198">
        <f>0+táj.2!H740</f>
        <v>0</v>
      </c>
      <c r="I740" s="198">
        <f>0+táj.2!I740</f>
        <v>0</v>
      </c>
      <c r="J740" s="198">
        <f>0+táj.2!J740</f>
        <v>0</v>
      </c>
      <c r="K740" s="198">
        <f>0+táj.2!K740</f>
        <v>0</v>
      </c>
      <c r="L740" s="198">
        <f>6610+táj.2!L740</f>
        <v>6610</v>
      </c>
      <c r="M740" s="198">
        <f>0+táj.2!M740</f>
        <v>0</v>
      </c>
      <c r="N740" s="198">
        <f>0+táj.2!N740</f>
        <v>0</v>
      </c>
      <c r="O740" s="198">
        <f>0+táj.2!O740</f>
        <v>0</v>
      </c>
      <c r="P740" s="198">
        <f>0+táj.2!P740</f>
        <v>0</v>
      </c>
      <c r="Q740" s="198">
        <f>SUM(I740:P740)</f>
        <v>6610</v>
      </c>
    </row>
    <row r="741" spans="1:17" ht="18.75" customHeight="1" x14ac:dyDescent="0.2">
      <c r="A741" s="206"/>
      <c r="B741" s="206"/>
      <c r="C741" s="726" t="s">
        <v>99</v>
      </c>
      <c r="D741" s="710" t="s">
        <v>1261</v>
      </c>
      <c r="E741" s="506"/>
      <c r="F741" s="503">
        <v>222926</v>
      </c>
      <c r="G741" s="198">
        <f>0+táj.2!G741</f>
        <v>0</v>
      </c>
      <c r="H741" s="198">
        <f>0+táj.2!H741</f>
        <v>0</v>
      </c>
      <c r="I741" s="198">
        <f>0+táj.2!I741</f>
        <v>0</v>
      </c>
      <c r="J741" s="198">
        <f>0+táj.2!J741</f>
        <v>0</v>
      </c>
      <c r="K741" s="198">
        <f>0+táj.2!K741</f>
        <v>0</v>
      </c>
      <c r="L741" s="198">
        <f>228649+táj.2!L741</f>
        <v>228649</v>
      </c>
      <c r="M741" s="198">
        <f>0+táj.2!M741</f>
        <v>0</v>
      </c>
      <c r="N741" s="198">
        <f>0+táj.2!N741</f>
        <v>0</v>
      </c>
      <c r="O741" s="198">
        <f>0+táj.2!O741</f>
        <v>0</v>
      </c>
      <c r="P741" s="198">
        <f>0+táj.2!P741</f>
        <v>0</v>
      </c>
      <c r="Q741" s="198">
        <f>SUM(I741:P741)</f>
        <v>228649</v>
      </c>
    </row>
    <row r="742" spans="1:17" ht="15.75" customHeight="1" x14ac:dyDescent="0.2">
      <c r="A742" s="206"/>
      <c r="B742" s="206"/>
      <c r="C742" s="726" t="s">
        <v>101</v>
      </c>
      <c r="D742" s="710" t="s">
        <v>1262</v>
      </c>
      <c r="E742" s="506"/>
      <c r="F742" s="503">
        <v>222927</v>
      </c>
      <c r="G742" s="198">
        <f>0+táj.2!G742</f>
        <v>0</v>
      </c>
      <c r="H742" s="198">
        <f>0+táj.2!H742</f>
        <v>0</v>
      </c>
      <c r="I742" s="198">
        <f>0+táj.2!I742</f>
        <v>0</v>
      </c>
      <c r="J742" s="198">
        <f>0+táj.2!J742</f>
        <v>0</v>
      </c>
      <c r="K742" s="198">
        <f>0+táj.2!K742</f>
        <v>0</v>
      </c>
      <c r="L742" s="198">
        <f>40000+táj.2!L742</f>
        <v>40000</v>
      </c>
      <c r="M742" s="198">
        <f>0+táj.2!M742</f>
        <v>0</v>
      </c>
      <c r="N742" s="198">
        <f>0+táj.2!N742</f>
        <v>0</v>
      </c>
      <c r="O742" s="198">
        <f>0+táj.2!O742</f>
        <v>0</v>
      </c>
      <c r="P742" s="198">
        <f>0+táj.2!P742</f>
        <v>0</v>
      </c>
      <c r="Q742" s="198">
        <f>SUM(I742:P742)</f>
        <v>40000</v>
      </c>
    </row>
    <row r="743" spans="1:17" ht="15.75" customHeight="1" x14ac:dyDescent="0.2">
      <c r="A743" s="585"/>
      <c r="B743" s="585"/>
      <c r="C743" s="579" t="s">
        <v>102</v>
      </c>
      <c r="D743" s="690" t="s">
        <v>1270</v>
      </c>
      <c r="E743" s="693"/>
      <c r="F743" s="778">
        <v>222919</v>
      </c>
      <c r="G743" s="198">
        <f>0+táj.2!G743</f>
        <v>0</v>
      </c>
      <c r="H743" s="198">
        <f>0+táj.2!H743</f>
        <v>0</v>
      </c>
      <c r="I743" s="198">
        <f>0+táj.2!I743</f>
        <v>0</v>
      </c>
      <c r="J743" s="198">
        <f>0+táj.2!J743</f>
        <v>0</v>
      </c>
      <c r="K743" s="198">
        <f>0+táj.2!K743</f>
        <v>0</v>
      </c>
      <c r="L743" s="198">
        <f>0+táj.2!L743</f>
        <v>0</v>
      </c>
      <c r="M743" s="198">
        <f>0+táj.2!M743</f>
        <v>0</v>
      </c>
      <c r="N743" s="198">
        <f>646+táj.2!N743</f>
        <v>646</v>
      </c>
      <c r="O743" s="198">
        <f>0+táj.2!O743</f>
        <v>0</v>
      </c>
      <c r="P743" s="198">
        <f>0+táj.2!P743</f>
        <v>0</v>
      </c>
      <c r="Q743" s="198">
        <f>SUM(I743:P743)</f>
        <v>646</v>
      </c>
    </row>
    <row r="744" spans="1:17" ht="15.75" customHeight="1" x14ac:dyDescent="0.2">
      <c r="A744" s="863"/>
      <c r="B744" s="863"/>
      <c r="C744" s="879" t="s">
        <v>90</v>
      </c>
      <c r="D744" s="866" t="s">
        <v>1334</v>
      </c>
      <c r="E744" s="880"/>
      <c r="F744" s="864">
        <v>221964</v>
      </c>
      <c r="G744" s="198">
        <f>0+táj.2!G744</f>
        <v>0</v>
      </c>
      <c r="H744" s="198">
        <f>0+táj.2!H744</f>
        <v>0</v>
      </c>
      <c r="I744" s="198">
        <f>7500+táj.2!I744</f>
        <v>1000</v>
      </c>
      <c r="J744" s="198">
        <f>0+táj.2!J744</f>
        <v>0</v>
      </c>
      <c r="K744" s="198">
        <f>0+táj.2!K744</f>
        <v>0</v>
      </c>
      <c r="L744" s="198">
        <f>75000+táj.2!L744</f>
        <v>85500</v>
      </c>
      <c r="M744" s="198">
        <f>0+táj.2!M744</f>
        <v>0</v>
      </c>
      <c r="N744" s="198">
        <f>0+táj.2!N744</f>
        <v>0</v>
      </c>
      <c r="O744" s="198">
        <f>0+táj.2!O744</f>
        <v>0</v>
      </c>
      <c r="P744" s="198">
        <f>0+táj.2!P744</f>
        <v>0</v>
      </c>
      <c r="Q744" s="198">
        <f>SUM(I744:P744)</f>
        <v>86500</v>
      </c>
    </row>
    <row r="745" spans="1:17" ht="18.75" customHeight="1" x14ac:dyDescent="0.2">
      <c r="A745" s="206"/>
      <c r="B745" s="206"/>
      <c r="C745" s="206"/>
      <c r="D745" s="707" t="s">
        <v>1145</v>
      </c>
      <c r="E745" s="772"/>
      <c r="F745" s="708"/>
      <c r="G745" s="198"/>
      <c r="H745" s="198"/>
      <c r="I745" s="198"/>
      <c r="J745" s="198"/>
      <c r="K745" s="198"/>
      <c r="L745" s="198"/>
      <c r="M745" s="198"/>
      <c r="N745" s="198"/>
      <c r="O745" s="198"/>
      <c r="P745" s="198"/>
      <c r="Q745" s="198"/>
    </row>
    <row r="746" spans="1:17" ht="18" customHeight="1" x14ac:dyDescent="0.2">
      <c r="A746" s="206"/>
      <c r="B746" s="206"/>
      <c r="C746" s="317" t="s">
        <v>978</v>
      </c>
      <c r="D746" s="710" t="s">
        <v>1002</v>
      </c>
      <c r="E746" s="506"/>
      <c r="F746" s="503">
        <v>222923</v>
      </c>
      <c r="G746" s="198">
        <f>0+táj.2!G746</f>
        <v>0</v>
      </c>
      <c r="H746" s="198">
        <f>0+táj.2!H746</f>
        <v>0</v>
      </c>
      <c r="I746" s="198">
        <f>3250+táj.2!I746</f>
        <v>3250</v>
      </c>
      <c r="J746" s="198">
        <f>0+táj.2!J746</f>
        <v>0</v>
      </c>
      <c r="K746" s="198">
        <f>0+táj.2!K746</f>
        <v>0</v>
      </c>
      <c r="L746" s="198">
        <f>0+táj.2!L746</f>
        <v>0</v>
      </c>
      <c r="M746" s="198">
        <f>0+táj.2!M746</f>
        <v>0</v>
      </c>
      <c r="N746" s="198">
        <f>0+táj.2!N746</f>
        <v>0</v>
      </c>
      <c r="O746" s="198">
        <f>0+táj.2!O746</f>
        <v>0</v>
      </c>
      <c r="P746" s="198">
        <f>0+táj.2!P746</f>
        <v>0</v>
      </c>
      <c r="Q746" s="198">
        <f t="shared" ref="Q746" si="58">SUM(I746:P746)</f>
        <v>3250</v>
      </c>
    </row>
    <row r="747" spans="1:17" ht="23.25" customHeight="1" x14ac:dyDescent="0.2">
      <c r="A747" s="206"/>
      <c r="B747" s="206"/>
      <c r="C747" s="317" t="s">
        <v>1263</v>
      </c>
      <c r="D747" s="737" t="s">
        <v>979</v>
      </c>
      <c r="E747" s="772"/>
      <c r="F747" s="707">
        <v>222902</v>
      </c>
      <c r="G747" s="198">
        <f>0+táj.2!G747</f>
        <v>0</v>
      </c>
      <c r="H747" s="198">
        <f>0+táj.2!H747</f>
        <v>0</v>
      </c>
      <c r="I747" s="198">
        <f>600+táj.2!I747</f>
        <v>800</v>
      </c>
      <c r="J747" s="198">
        <f>0+táj.2!J747</f>
        <v>0</v>
      </c>
      <c r="K747" s="198">
        <f>0+táj.2!K747</f>
        <v>0</v>
      </c>
      <c r="L747" s="198">
        <f>880+táj.2!L747</f>
        <v>680</v>
      </c>
      <c r="M747" s="198">
        <f>0+táj.2!M747</f>
        <v>0</v>
      </c>
      <c r="N747" s="198">
        <f>0+táj.2!N747</f>
        <v>0</v>
      </c>
      <c r="O747" s="198">
        <f>0+táj.2!O747</f>
        <v>0</v>
      </c>
      <c r="P747" s="198">
        <f>0+táj.2!P747</f>
        <v>0</v>
      </c>
      <c r="Q747" s="198">
        <f>SUM(G747:P747)</f>
        <v>1480</v>
      </c>
    </row>
    <row r="748" spans="1:17" ht="18" customHeight="1" x14ac:dyDescent="0.2">
      <c r="A748" s="200"/>
      <c r="B748" s="200"/>
      <c r="C748" s="201"/>
      <c r="D748" s="159" t="s">
        <v>980</v>
      </c>
      <c r="E748" s="365"/>
      <c r="F748" s="203"/>
      <c r="G748" s="366">
        <f t="shared" ref="G748:Q748" si="59">SUM(G738:G747)</f>
        <v>14901</v>
      </c>
      <c r="H748" s="366">
        <f t="shared" si="59"/>
        <v>6342</v>
      </c>
      <c r="I748" s="366">
        <f t="shared" si="59"/>
        <v>157310</v>
      </c>
      <c r="J748" s="366">
        <f t="shared" si="59"/>
        <v>0</v>
      </c>
      <c r="K748" s="366">
        <f t="shared" si="59"/>
        <v>312546</v>
      </c>
      <c r="L748" s="366">
        <f t="shared" si="59"/>
        <v>361982</v>
      </c>
      <c r="M748" s="366">
        <f t="shared" si="59"/>
        <v>0</v>
      </c>
      <c r="N748" s="366">
        <f t="shared" si="59"/>
        <v>3096</v>
      </c>
      <c r="O748" s="366">
        <f t="shared" si="59"/>
        <v>0</v>
      </c>
      <c r="P748" s="366">
        <f t="shared" si="59"/>
        <v>0</v>
      </c>
      <c r="Q748" s="366">
        <f t="shared" si="59"/>
        <v>856177</v>
      </c>
    </row>
    <row r="749" spans="1:17" ht="18" customHeight="1" x14ac:dyDescent="0.2">
      <c r="A749" s="206">
        <v>1</v>
      </c>
      <c r="B749" s="206">
        <v>30</v>
      </c>
      <c r="C749" s="259"/>
      <c r="D749" s="276" t="s">
        <v>981</v>
      </c>
      <c r="E749" s="207"/>
      <c r="F749" s="207"/>
      <c r="G749" s="148"/>
      <c r="H749" s="179"/>
      <c r="I749" s="179"/>
      <c r="J749" s="179"/>
      <c r="K749" s="179"/>
      <c r="L749" s="179"/>
      <c r="M749" s="148"/>
      <c r="N749" s="148"/>
      <c r="O749" s="148"/>
      <c r="P749" s="148"/>
      <c r="Q749" s="148"/>
    </row>
    <row r="750" spans="1:17" ht="18" customHeight="1" x14ac:dyDescent="0.2">
      <c r="A750" s="206"/>
      <c r="B750" s="206">
        <v>31</v>
      </c>
      <c r="C750" s="259"/>
      <c r="D750" s="276" t="s">
        <v>982</v>
      </c>
      <c r="E750" s="148">
        <v>1</v>
      </c>
      <c r="F750" s="207">
        <v>311901</v>
      </c>
      <c r="G750" s="198">
        <f>0+táj.2!G750</f>
        <v>0</v>
      </c>
      <c r="H750" s="198">
        <f>0+táj.2!H750</f>
        <v>0</v>
      </c>
      <c r="I750" s="198">
        <f>0+táj.2!I750</f>
        <v>0</v>
      </c>
      <c r="J750" s="198">
        <f>0+táj.2!J750</f>
        <v>0</v>
      </c>
      <c r="K750" s="198">
        <f>10000+táj.2!K750</f>
        <v>10000</v>
      </c>
      <c r="L750" s="198">
        <f>0+táj.2!L750</f>
        <v>0</v>
      </c>
      <c r="M750" s="198">
        <f>0+táj.2!M750</f>
        <v>0</v>
      </c>
      <c r="N750" s="198">
        <f>0+táj.2!N750</f>
        <v>0</v>
      </c>
      <c r="O750" s="198">
        <f>0+táj.2!O750</f>
        <v>0</v>
      </c>
      <c r="P750" s="198">
        <f>0+táj.2!P750</f>
        <v>0</v>
      </c>
      <c r="Q750" s="148">
        <f>SUM(K750:P750)</f>
        <v>10000</v>
      </c>
    </row>
    <row r="751" spans="1:17" ht="18" customHeight="1" x14ac:dyDescent="0.2">
      <c r="A751" s="174"/>
      <c r="B751" s="174">
        <v>32</v>
      </c>
      <c r="C751" s="194"/>
      <c r="D751" s="276" t="s">
        <v>983</v>
      </c>
      <c r="E751" s="148"/>
      <c r="F751" s="207"/>
      <c r="G751" s="198"/>
      <c r="H751" s="179"/>
      <c r="I751" s="179"/>
      <c r="J751" s="179"/>
      <c r="K751" s="179"/>
      <c r="L751" s="179"/>
      <c r="M751" s="198"/>
      <c r="N751" s="198"/>
      <c r="O751" s="148"/>
      <c r="P751" s="148"/>
      <c r="Q751" s="148"/>
    </row>
    <row r="752" spans="1:17" ht="18" customHeight="1" x14ac:dyDescent="0.2">
      <c r="A752" s="174"/>
      <c r="B752" s="174"/>
      <c r="C752" s="194"/>
      <c r="D752" s="277" t="s">
        <v>1017</v>
      </c>
      <c r="E752" s="148">
        <v>1</v>
      </c>
      <c r="F752" s="148">
        <v>321907</v>
      </c>
      <c r="G752" s="198">
        <f>0+táj.2!G752</f>
        <v>0</v>
      </c>
      <c r="H752" s="198">
        <f>0+táj.2!H752</f>
        <v>0</v>
      </c>
      <c r="I752" s="198">
        <f>0+táj.2!I752</f>
        <v>0</v>
      </c>
      <c r="J752" s="198">
        <f>0+táj.2!J752</f>
        <v>0</v>
      </c>
      <c r="K752" s="198">
        <f>27300+táj.2!K752</f>
        <v>49</v>
      </c>
      <c r="L752" s="198">
        <f>0+táj.2!L752</f>
        <v>0</v>
      </c>
      <c r="M752" s="198">
        <f>0+táj.2!M752</f>
        <v>0</v>
      </c>
      <c r="N752" s="198">
        <f>0+táj.2!N752</f>
        <v>0</v>
      </c>
      <c r="O752" s="198">
        <f>0+táj.2!O752</f>
        <v>0</v>
      </c>
      <c r="P752" s="198">
        <f>0+táj.2!P752</f>
        <v>0</v>
      </c>
      <c r="Q752" s="148">
        <f t="shared" ref="Q752:Q764" si="60">SUM(K752:P752)</f>
        <v>49</v>
      </c>
    </row>
    <row r="753" spans="1:17" ht="15.75" customHeight="1" x14ac:dyDescent="0.2">
      <c r="A753" s="368"/>
      <c r="B753" s="368"/>
      <c r="C753" s="368"/>
      <c r="D753" s="369" t="s">
        <v>984</v>
      </c>
      <c r="E753" s="370">
        <v>1</v>
      </c>
      <c r="F753" s="371">
        <v>321903</v>
      </c>
      <c r="G753" s="198">
        <f>0+táj.2!G753</f>
        <v>0</v>
      </c>
      <c r="H753" s="198">
        <f>0+táj.2!H753</f>
        <v>0</v>
      </c>
      <c r="I753" s="198">
        <f>0+táj.2!I753</f>
        <v>0</v>
      </c>
      <c r="J753" s="198">
        <f>0+táj.2!J753</f>
        <v>0</v>
      </c>
      <c r="K753" s="198">
        <f>194168+táj.2!K753</f>
        <v>186169</v>
      </c>
      <c r="L753" s="198">
        <f>0+táj.2!L753</f>
        <v>0</v>
      </c>
      <c r="M753" s="198">
        <f>0+táj.2!M753</f>
        <v>0</v>
      </c>
      <c r="N753" s="198">
        <f>0+táj.2!N753</f>
        <v>0</v>
      </c>
      <c r="O753" s="198">
        <f>0+táj.2!O753</f>
        <v>0</v>
      </c>
      <c r="P753" s="198">
        <f>0+táj.2!P753</f>
        <v>0</v>
      </c>
      <c r="Q753" s="148">
        <f t="shared" si="60"/>
        <v>186169</v>
      </c>
    </row>
    <row r="754" spans="1:17" ht="18" customHeight="1" x14ac:dyDescent="0.2">
      <c r="A754" s="174"/>
      <c r="B754" s="174"/>
      <c r="C754" s="194"/>
      <c r="D754" s="277" t="s">
        <v>985</v>
      </c>
      <c r="E754" s="185">
        <v>1</v>
      </c>
      <c r="F754" s="148">
        <v>321908</v>
      </c>
      <c r="G754" s="198">
        <f>0+táj.2!G754</f>
        <v>0</v>
      </c>
      <c r="H754" s="198">
        <f>0+táj.2!H754</f>
        <v>0</v>
      </c>
      <c r="I754" s="198">
        <f>0+táj.2!I754</f>
        <v>0</v>
      </c>
      <c r="J754" s="198">
        <f>0+táj.2!J754</f>
        <v>0</v>
      </c>
      <c r="K754" s="198">
        <f>18881+táj.2!K754</f>
        <v>16099</v>
      </c>
      <c r="L754" s="198">
        <f>0+táj.2!L754</f>
        <v>0</v>
      </c>
      <c r="M754" s="198">
        <f>0+táj.2!M754</f>
        <v>0</v>
      </c>
      <c r="N754" s="198">
        <f>0+táj.2!N754</f>
        <v>0</v>
      </c>
      <c r="O754" s="198">
        <f>0+táj.2!O754</f>
        <v>0</v>
      </c>
      <c r="P754" s="198">
        <f>0+táj.2!P754</f>
        <v>0</v>
      </c>
      <c r="Q754" s="148">
        <f t="shared" si="60"/>
        <v>16099</v>
      </c>
    </row>
    <row r="755" spans="1:17" ht="18" customHeight="1" x14ac:dyDescent="0.2">
      <c r="A755" s="174"/>
      <c r="B755" s="174"/>
      <c r="C755" s="194"/>
      <c r="D755" s="336" t="s">
        <v>986</v>
      </c>
      <c r="E755" s="217">
        <v>1</v>
      </c>
      <c r="F755" s="226">
        <v>321933</v>
      </c>
      <c r="G755" s="198">
        <f>0+táj.2!G755</f>
        <v>0</v>
      </c>
      <c r="H755" s="198">
        <f>0+táj.2!H755</f>
        <v>0</v>
      </c>
      <c r="I755" s="198">
        <f>0+táj.2!I755</f>
        <v>0</v>
      </c>
      <c r="J755" s="198">
        <f>0+táj.2!J755</f>
        <v>0</v>
      </c>
      <c r="K755" s="198">
        <f>276521+táj.2!K755</f>
        <v>330662</v>
      </c>
      <c r="L755" s="198">
        <f>0+táj.2!L755</f>
        <v>0</v>
      </c>
      <c r="M755" s="198">
        <f>0+táj.2!M755</f>
        <v>0</v>
      </c>
      <c r="N755" s="198">
        <f>0+táj.2!N755</f>
        <v>0</v>
      </c>
      <c r="O755" s="198">
        <f>0+táj.2!O755</f>
        <v>0</v>
      </c>
      <c r="P755" s="198">
        <f>0+táj.2!P755</f>
        <v>0</v>
      </c>
      <c r="Q755" s="148">
        <f t="shared" si="60"/>
        <v>330662</v>
      </c>
    </row>
    <row r="756" spans="1:17" ht="18" customHeight="1" x14ac:dyDescent="0.2">
      <c r="A756" s="174"/>
      <c r="B756" s="174"/>
      <c r="C756" s="194"/>
      <c r="D756" s="373" t="s">
        <v>987</v>
      </c>
      <c r="E756" s="217">
        <v>1</v>
      </c>
      <c r="F756" s="226">
        <v>321934</v>
      </c>
      <c r="G756" s="198">
        <f>0+táj.2!G756</f>
        <v>0</v>
      </c>
      <c r="H756" s="198">
        <f>0+táj.2!H756</f>
        <v>0</v>
      </c>
      <c r="I756" s="198">
        <f>0+táj.2!I756</f>
        <v>0</v>
      </c>
      <c r="J756" s="198">
        <f>0+táj.2!J756</f>
        <v>0</v>
      </c>
      <c r="K756" s="198">
        <f>1721+táj.2!K756</f>
        <v>1671</v>
      </c>
      <c r="L756" s="198">
        <f>0+táj.2!L756</f>
        <v>0</v>
      </c>
      <c r="M756" s="198">
        <f>0+táj.2!M756</f>
        <v>0</v>
      </c>
      <c r="N756" s="198">
        <f>0+táj.2!N756</f>
        <v>0</v>
      </c>
      <c r="O756" s="198">
        <f>0+táj.2!O756</f>
        <v>0</v>
      </c>
      <c r="P756" s="198">
        <f>0+táj.2!P756</f>
        <v>0</v>
      </c>
      <c r="Q756" s="148">
        <f t="shared" si="60"/>
        <v>1671</v>
      </c>
    </row>
    <row r="757" spans="1:17" ht="18" customHeight="1" x14ac:dyDescent="0.2">
      <c r="A757" s="174"/>
      <c r="B757" s="174"/>
      <c r="C757" s="194"/>
      <c r="D757" s="149" t="s">
        <v>988</v>
      </c>
      <c r="E757" s="217">
        <v>1</v>
      </c>
      <c r="F757" s="226">
        <v>321911</v>
      </c>
      <c r="G757" s="198">
        <f>0+táj.2!G757</f>
        <v>0</v>
      </c>
      <c r="H757" s="198">
        <f>0+táj.2!H757</f>
        <v>0</v>
      </c>
      <c r="I757" s="198">
        <f>0+táj.2!I757</f>
        <v>0</v>
      </c>
      <c r="J757" s="198">
        <f>0+táj.2!J757</f>
        <v>0</v>
      </c>
      <c r="K757" s="198">
        <f>86514+táj.2!K757</f>
        <v>86514</v>
      </c>
      <c r="L757" s="198">
        <f>0+táj.2!L757</f>
        <v>0</v>
      </c>
      <c r="M757" s="198">
        <f>0+táj.2!M757</f>
        <v>0</v>
      </c>
      <c r="N757" s="198">
        <f>0+táj.2!N757</f>
        <v>0</v>
      </c>
      <c r="O757" s="198">
        <f>0+táj.2!O757</f>
        <v>0</v>
      </c>
      <c r="P757" s="198">
        <f>0+táj.2!P757</f>
        <v>0</v>
      </c>
      <c r="Q757" s="148">
        <f t="shared" si="60"/>
        <v>86514</v>
      </c>
    </row>
    <row r="758" spans="1:17" ht="18" customHeight="1" x14ac:dyDescent="0.2">
      <c r="A758" s="824"/>
      <c r="B758" s="824"/>
      <c r="C758" s="825"/>
      <c r="D758" s="858" t="s">
        <v>1324</v>
      </c>
      <c r="E758" s="859">
        <v>1</v>
      </c>
      <c r="F758" s="860">
        <v>321922</v>
      </c>
      <c r="G758" s="198"/>
      <c r="H758" s="862"/>
      <c r="I758" s="862"/>
      <c r="J758" s="862"/>
      <c r="K758" s="862"/>
      <c r="L758" s="862"/>
      <c r="M758" s="862"/>
      <c r="N758" s="862"/>
      <c r="O758" s="862"/>
      <c r="P758" s="862"/>
      <c r="Q758" s="148"/>
    </row>
    <row r="759" spans="1:17" ht="18" customHeight="1" x14ac:dyDescent="0.2">
      <c r="A759" s="824"/>
      <c r="B759" s="824"/>
      <c r="C759" s="825"/>
      <c r="D759" s="858" t="s">
        <v>1325</v>
      </c>
      <c r="E759" s="859"/>
      <c r="F759" s="860"/>
      <c r="G759" s="198">
        <f>0+táj.2!G759</f>
        <v>0</v>
      </c>
      <c r="H759" s="198">
        <f>0+táj.2!H759</f>
        <v>0</v>
      </c>
      <c r="I759" s="198">
        <f>0+táj.2!I759</f>
        <v>0</v>
      </c>
      <c r="J759" s="198">
        <f>0+táj.2!J759</f>
        <v>0</v>
      </c>
      <c r="K759" s="198">
        <f>44000+táj.2!K759</f>
        <v>44000</v>
      </c>
      <c r="L759" s="198">
        <f>0+táj.2!L759</f>
        <v>0</v>
      </c>
      <c r="M759" s="198">
        <f>0+táj.2!M759</f>
        <v>0</v>
      </c>
      <c r="N759" s="198">
        <f>0+táj.2!N759</f>
        <v>0</v>
      </c>
      <c r="O759" s="198">
        <f>0+táj.2!O759</f>
        <v>0</v>
      </c>
      <c r="P759" s="198">
        <f>0+táj.2!P759</f>
        <v>0</v>
      </c>
      <c r="Q759" s="148">
        <f t="shared" si="60"/>
        <v>44000</v>
      </c>
    </row>
    <row r="760" spans="1:17" ht="18" customHeight="1" x14ac:dyDescent="0.2">
      <c r="A760" s="824"/>
      <c r="B760" s="824"/>
      <c r="C760" s="825"/>
      <c r="D760" s="858" t="s">
        <v>1326</v>
      </c>
      <c r="E760" s="859"/>
      <c r="F760" s="860"/>
      <c r="G760" s="198">
        <f>0+táj.2!G760</f>
        <v>0</v>
      </c>
      <c r="H760" s="198">
        <f>0+táj.2!H760</f>
        <v>0</v>
      </c>
      <c r="I760" s="198">
        <f>0+táj.2!I760</f>
        <v>0</v>
      </c>
      <c r="J760" s="198">
        <f>0+táj.2!J760</f>
        <v>0</v>
      </c>
      <c r="K760" s="198">
        <f>15000+táj.2!K760</f>
        <v>15000</v>
      </c>
      <c r="L760" s="198">
        <f>0+táj.2!L760</f>
        <v>0</v>
      </c>
      <c r="M760" s="198">
        <f>0+táj.2!M760</f>
        <v>0</v>
      </c>
      <c r="N760" s="198">
        <f>0+táj.2!N760</f>
        <v>0</v>
      </c>
      <c r="O760" s="198">
        <f>0+táj.2!O760</f>
        <v>0</v>
      </c>
      <c r="P760" s="198">
        <f>0+táj.2!P760</f>
        <v>0</v>
      </c>
      <c r="Q760" s="148">
        <f t="shared" si="60"/>
        <v>15000</v>
      </c>
    </row>
    <row r="761" spans="1:17" ht="18" customHeight="1" x14ac:dyDescent="0.2">
      <c r="A761" s="824"/>
      <c r="B761" s="824"/>
      <c r="C761" s="825"/>
      <c r="D761" s="858" t="s">
        <v>1327</v>
      </c>
      <c r="E761" s="859"/>
      <c r="F761" s="860"/>
      <c r="G761" s="198">
        <f>0+táj.2!G761</f>
        <v>0</v>
      </c>
      <c r="H761" s="198">
        <f>0+táj.2!H761</f>
        <v>0</v>
      </c>
      <c r="I761" s="198">
        <f>0+táj.2!I761</f>
        <v>0</v>
      </c>
      <c r="J761" s="198">
        <f>0+táj.2!J761</f>
        <v>0</v>
      </c>
      <c r="K761" s="198">
        <f>3000+táj.2!K761</f>
        <v>3000</v>
      </c>
      <c r="L761" s="198">
        <f>0+táj.2!L761</f>
        <v>0</v>
      </c>
      <c r="M761" s="198">
        <f>0+táj.2!M761</f>
        <v>0</v>
      </c>
      <c r="N761" s="198">
        <f>0+táj.2!N761</f>
        <v>0</v>
      </c>
      <c r="O761" s="198">
        <f>0+táj.2!O761</f>
        <v>0</v>
      </c>
      <c r="P761" s="198">
        <f>0+táj.2!P761</f>
        <v>0</v>
      </c>
      <c r="Q761" s="148">
        <f t="shared" si="60"/>
        <v>3000</v>
      </c>
    </row>
    <row r="762" spans="1:17" ht="18" customHeight="1" x14ac:dyDescent="0.2">
      <c r="A762" s="824"/>
      <c r="B762" s="824"/>
      <c r="C762" s="825"/>
      <c r="D762" s="858" t="s">
        <v>1328</v>
      </c>
      <c r="E762" s="859"/>
      <c r="F762" s="860"/>
      <c r="G762" s="198">
        <f>0+táj.2!G762</f>
        <v>0</v>
      </c>
      <c r="H762" s="198">
        <f>0+táj.2!H762</f>
        <v>0</v>
      </c>
      <c r="I762" s="198">
        <f>0+táj.2!I762</f>
        <v>0</v>
      </c>
      <c r="J762" s="198">
        <f>0+táj.2!J762</f>
        <v>0</v>
      </c>
      <c r="K762" s="198">
        <f>10000+táj.2!K762</f>
        <v>10000</v>
      </c>
      <c r="L762" s="198">
        <f>0+táj.2!L762</f>
        <v>0</v>
      </c>
      <c r="M762" s="198">
        <f>0+táj.2!M762</f>
        <v>0</v>
      </c>
      <c r="N762" s="198">
        <f>0+táj.2!N762</f>
        <v>0</v>
      </c>
      <c r="O762" s="198">
        <f>0+táj.2!O762</f>
        <v>0</v>
      </c>
      <c r="P762" s="198">
        <f>0+táj.2!P762</f>
        <v>0</v>
      </c>
      <c r="Q762" s="148">
        <f t="shared" si="60"/>
        <v>10000</v>
      </c>
    </row>
    <row r="763" spans="1:17" ht="18" customHeight="1" x14ac:dyDescent="0.2">
      <c r="A763" s="824"/>
      <c r="B763" s="824"/>
      <c r="C763" s="825"/>
      <c r="D763" s="858" t="s">
        <v>1329</v>
      </c>
      <c r="E763" s="859"/>
      <c r="F763" s="860"/>
      <c r="G763" s="198">
        <f>0+táj.2!G763</f>
        <v>0</v>
      </c>
      <c r="H763" s="198">
        <f>0+táj.2!H763</f>
        <v>0</v>
      </c>
      <c r="I763" s="198">
        <f>0+táj.2!I763</f>
        <v>0</v>
      </c>
      <c r="J763" s="198">
        <f>0+táj.2!J763</f>
        <v>0</v>
      </c>
      <c r="K763" s="198">
        <f>13000+táj.2!K763</f>
        <v>13000</v>
      </c>
      <c r="L763" s="198">
        <f>0+táj.2!L763</f>
        <v>0</v>
      </c>
      <c r="M763" s="198">
        <f>0+táj.2!M763</f>
        <v>0</v>
      </c>
      <c r="N763" s="198">
        <f>0+táj.2!N763</f>
        <v>0</v>
      </c>
      <c r="O763" s="198">
        <f>0+táj.2!O763</f>
        <v>0</v>
      </c>
      <c r="P763" s="198">
        <f>0+táj.2!P763</f>
        <v>0</v>
      </c>
      <c r="Q763" s="148">
        <f t="shared" si="60"/>
        <v>13000</v>
      </c>
    </row>
    <row r="764" spans="1:17" ht="18" customHeight="1" x14ac:dyDescent="0.2">
      <c r="A764" s="174"/>
      <c r="B764" s="174"/>
      <c r="C764" s="194"/>
      <c r="D764" s="150" t="s">
        <v>989</v>
      </c>
      <c r="E764" s="217">
        <v>1</v>
      </c>
      <c r="F764" s="226">
        <v>321909</v>
      </c>
      <c r="G764" s="198">
        <f>0+táj.2!G764</f>
        <v>0</v>
      </c>
      <c r="H764" s="198">
        <f>0+táj.2!H764</f>
        <v>0</v>
      </c>
      <c r="I764" s="198">
        <f>0+táj.2!I764</f>
        <v>0</v>
      </c>
      <c r="J764" s="198">
        <f>0+táj.2!J764</f>
        <v>0</v>
      </c>
      <c r="K764" s="198">
        <f>45000+táj.2!K764</f>
        <v>45000</v>
      </c>
      <c r="L764" s="198">
        <f>0+táj.2!L764</f>
        <v>0</v>
      </c>
      <c r="M764" s="198">
        <f>0+táj.2!M764</f>
        <v>0</v>
      </c>
      <c r="N764" s="198">
        <f>0+táj.2!N764</f>
        <v>0</v>
      </c>
      <c r="O764" s="198">
        <f>0+táj.2!O764</f>
        <v>0</v>
      </c>
      <c r="P764" s="198">
        <f>0+táj.2!P764</f>
        <v>0</v>
      </c>
      <c r="Q764" s="148">
        <f t="shared" si="60"/>
        <v>45000</v>
      </c>
    </row>
    <row r="765" spans="1:17" ht="18" customHeight="1" x14ac:dyDescent="0.2">
      <c r="A765" s="174"/>
      <c r="B765" s="174"/>
      <c r="C765" s="194"/>
      <c r="D765" s="281" t="s">
        <v>990</v>
      </c>
      <c r="E765" s="148"/>
      <c r="F765" s="148"/>
      <c r="G765" s="198"/>
      <c r="H765" s="179"/>
      <c r="I765" s="179"/>
      <c r="J765" s="179"/>
      <c r="K765" s="179"/>
      <c r="L765" s="179"/>
      <c r="M765" s="148"/>
      <c r="N765" s="148"/>
      <c r="O765" s="148"/>
      <c r="P765" s="148"/>
      <c r="Q765" s="148"/>
    </row>
    <row r="766" spans="1:17" ht="18" customHeight="1" x14ac:dyDescent="0.2">
      <c r="A766" s="174"/>
      <c r="B766" s="174"/>
      <c r="C766" s="194" t="s">
        <v>100</v>
      </c>
      <c r="D766" s="374" t="s">
        <v>991</v>
      </c>
      <c r="E766" s="148">
        <v>1</v>
      </c>
      <c r="F766" s="148">
        <v>324902</v>
      </c>
      <c r="G766" s="198">
        <f>0+táj.2!G766</f>
        <v>0</v>
      </c>
      <c r="H766" s="198">
        <f>0+táj.2!H766</f>
        <v>0</v>
      </c>
      <c r="I766" s="198">
        <f>0+táj.2!I766</f>
        <v>0</v>
      </c>
      <c r="J766" s="198">
        <f>0+táj.2!J766</f>
        <v>0</v>
      </c>
      <c r="K766" s="198">
        <f>0+táj.2!K766</f>
        <v>0</v>
      </c>
      <c r="L766" s="198">
        <f>0+táj.2!L766</f>
        <v>0</v>
      </c>
      <c r="M766" s="198">
        <f>15678+táj.2!M766</f>
        <v>8731</v>
      </c>
      <c r="N766" s="198">
        <f>0+táj.2!N766</f>
        <v>0</v>
      </c>
      <c r="O766" s="198">
        <f>0+táj.2!O766</f>
        <v>0</v>
      </c>
      <c r="P766" s="198">
        <f>0+táj.2!P766</f>
        <v>0</v>
      </c>
      <c r="Q766" s="148">
        <f>SUM(K766:P766)</f>
        <v>8731</v>
      </c>
    </row>
    <row r="767" spans="1:17" ht="24" customHeight="1" x14ac:dyDescent="0.2">
      <c r="A767" s="174"/>
      <c r="B767" s="174"/>
      <c r="C767" s="194" t="s">
        <v>99</v>
      </c>
      <c r="D767" s="375" t="s">
        <v>1404</v>
      </c>
      <c r="E767" s="148">
        <v>1</v>
      </c>
      <c r="F767" s="207">
        <v>322906</v>
      </c>
      <c r="G767" s="198">
        <f>0+táj.2!G767</f>
        <v>0</v>
      </c>
      <c r="H767" s="198">
        <f>0+táj.2!H767</f>
        <v>0</v>
      </c>
      <c r="I767" s="198">
        <f>0+táj.2!I767</f>
        <v>0</v>
      </c>
      <c r="J767" s="198">
        <f>0+táj.2!J767</f>
        <v>0</v>
      </c>
      <c r="K767" s="198">
        <f>0+táj.2!K767</f>
        <v>0</v>
      </c>
      <c r="L767" s="198">
        <f>10000+táj.2!L767</f>
        <v>21285</v>
      </c>
      <c r="M767" s="198">
        <f>0+táj.2!M767</f>
        <v>0</v>
      </c>
      <c r="N767" s="198">
        <f>0+táj.2!N767</f>
        <v>0</v>
      </c>
      <c r="O767" s="198">
        <f>0+táj.2!O767</f>
        <v>0</v>
      </c>
      <c r="P767" s="198">
        <f>0+táj.2!P767</f>
        <v>0</v>
      </c>
      <c r="Q767" s="148">
        <f>SUM(K767:P767)</f>
        <v>21285</v>
      </c>
    </row>
    <row r="768" spans="1:17" ht="15.95" customHeight="1" x14ac:dyDescent="0.2">
      <c r="A768" s="200"/>
      <c r="B768" s="200"/>
      <c r="C768" s="201"/>
      <c r="D768" s="159" t="s">
        <v>992</v>
      </c>
      <c r="E768" s="203"/>
      <c r="F768" s="376"/>
      <c r="G768" s="377">
        <f t="shared" ref="G768:Q768" si="61">SUM(G750:G767)</f>
        <v>0</v>
      </c>
      <c r="H768" s="377">
        <f t="shared" si="61"/>
        <v>0</v>
      </c>
      <c r="I768" s="377">
        <f t="shared" si="61"/>
        <v>0</v>
      </c>
      <c r="J768" s="377">
        <f t="shared" si="61"/>
        <v>0</v>
      </c>
      <c r="K768" s="377">
        <f t="shared" si="61"/>
        <v>761164</v>
      </c>
      <c r="L768" s="377">
        <f t="shared" si="61"/>
        <v>21285</v>
      </c>
      <c r="M768" s="377">
        <f t="shared" si="61"/>
        <v>8731</v>
      </c>
      <c r="N768" s="377">
        <f t="shared" si="61"/>
        <v>0</v>
      </c>
      <c r="O768" s="377">
        <f t="shared" si="61"/>
        <v>0</v>
      </c>
      <c r="P768" s="377">
        <f t="shared" si="61"/>
        <v>0</v>
      </c>
      <c r="Q768" s="377">
        <f t="shared" si="61"/>
        <v>791180</v>
      </c>
    </row>
    <row r="769" spans="1:17" ht="21.75" customHeight="1" x14ac:dyDescent="0.2">
      <c r="A769" s="200"/>
      <c r="B769" s="200"/>
      <c r="C769" s="201"/>
      <c r="D769" s="160" t="s">
        <v>993</v>
      </c>
      <c r="E769" s="378"/>
      <c r="F769" s="379"/>
      <c r="G769" s="380">
        <f>SUM(G46+G217+G229+G479+G623+G646+G668+G702+G748+G768)</f>
        <v>222085</v>
      </c>
      <c r="H769" s="380">
        <f t="shared" ref="H769:Q769" si="62">SUM(H46+H217+H229+H479+H623+H646+H668+H702+H748+H768)</f>
        <v>46460</v>
      </c>
      <c r="I769" s="380">
        <f t="shared" si="62"/>
        <v>8579832</v>
      </c>
      <c r="J769" s="380">
        <f t="shared" si="62"/>
        <v>94920</v>
      </c>
      <c r="K769" s="380">
        <f t="shared" si="62"/>
        <v>4194519</v>
      </c>
      <c r="L769" s="380">
        <f t="shared" si="62"/>
        <v>34191724</v>
      </c>
      <c r="M769" s="380">
        <f t="shared" si="62"/>
        <v>6453163</v>
      </c>
      <c r="N769" s="380">
        <f t="shared" si="62"/>
        <v>136953</v>
      </c>
      <c r="O769" s="380">
        <f t="shared" si="62"/>
        <v>111534</v>
      </c>
      <c r="P769" s="380">
        <f t="shared" si="62"/>
        <v>12019029</v>
      </c>
      <c r="Q769" s="380">
        <f t="shared" si="62"/>
        <v>66050219</v>
      </c>
    </row>
    <row r="770" spans="1:17" ht="15.95" customHeight="1" x14ac:dyDescent="0.2">
      <c r="A770" s="174"/>
      <c r="B770" s="174"/>
      <c r="C770" s="174"/>
      <c r="D770" s="381" t="s">
        <v>196</v>
      </c>
      <c r="E770" s="207"/>
      <c r="F770" s="382"/>
      <c r="G770" s="383">
        <f>'10'!E21</f>
        <v>4863065</v>
      </c>
      <c r="H770" s="383">
        <f>'10'!F21</f>
        <v>836033</v>
      </c>
      <c r="I770" s="383">
        <f>'10'!G21</f>
        <v>2728937</v>
      </c>
      <c r="J770" s="383">
        <f>'10'!H21</f>
        <v>4092</v>
      </c>
      <c r="K770" s="383">
        <f>'10'!I21</f>
        <v>169316</v>
      </c>
      <c r="L770" s="383">
        <f>'10'!J21</f>
        <v>301343</v>
      </c>
      <c r="M770" s="383">
        <f>'10'!K21</f>
        <v>38745</v>
      </c>
      <c r="N770" s="383">
        <f>'10'!L21</f>
        <v>300</v>
      </c>
      <c r="O770" s="383"/>
      <c r="P770" s="383"/>
      <c r="Q770" s="383">
        <f>SUM(G770:P770)</f>
        <v>8941831</v>
      </c>
    </row>
    <row r="771" spans="1:17" ht="15.95" customHeight="1" x14ac:dyDescent="0.2">
      <c r="A771" s="200"/>
      <c r="B771" s="200"/>
      <c r="C771" s="201"/>
      <c r="D771" s="159" t="s">
        <v>186</v>
      </c>
      <c r="E771" s="321"/>
      <c r="F771" s="384"/>
      <c r="G771" s="44">
        <f t="shared" ref="G771:Q771" si="63">SUM(G769:G770)</f>
        <v>5085150</v>
      </c>
      <c r="H771" s="44">
        <f t="shared" si="63"/>
        <v>882493</v>
      </c>
      <c r="I771" s="44">
        <f t="shared" si="63"/>
        <v>11308769</v>
      </c>
      <c r="J771" s="44">
        <f t="shared" si="63"/>
        <v>99012</v>
      </c>
      <c r="K771" s="44">
        <f t="shared" si="63"/>
        <v>4363835</v>
      </c>
      <c r="L771" s="44">
        <f t="shared" si="63"/>
        <v>34493067</v>
      </c>
      <c r="M771" s="44">
        <f t="shared" si="63"/>
        <v>6491908</v>
      </c>
      <c r="N771" s="44">
        <f t="shared" si="63"/>
        <v>137253</v>
      </c>
      <c r="O771" s="44">
        <f t="shared" si="63"/>
        <v>111534</v>
      </c>
      <c r="P771" s="44">
        <f t="shared" si="63"/>
        <v>12019029</v>
      </c>
      <c r="Q771" s="44">
        <f t="shared" si="63"/>
        <v>74992050</v>
      </c>
    </row>
    <row r="773" spans="1:17" ht="12.75" customHeight="1" x14ac:dyDescent="0.2">
      <c r="N773" s="965"/>
      <c r="O773" s="965"/>
      <c r="P773" s="965"/>
      <c r="Q773" s="386"/>
    </row>
  </sheetData>
  <sheetProtection selectLockedCells="1" selectUnlockedCells="1"/>
  <mergeCells count="10">
    <mergeCell ref="G1:N1"/>
    <mergeCell ref="O1:P1"/>
    <mergeCell ref="Q1:Q2"/>
    <mergeCell ref="N773:P773"/>
    <mergeCell ref="A1:A2"/>
    <mergeCell ref="B1:B2"/>
    <mergeCell ref="C1:C2"/>
    <mergeCell ref="D1:D2"/>
    <mergeCell ref="E1:E2"/>
    <mergeCell ref="F1:F2"/>
  </mergeCells>
  <phoneticPr fontId="96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2021. 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29"/>
  <sheetViews>
    <sheetView workbookViewId="0">
      <pane ySplit="2" topLeftCell="A3" activePane="bottomLeft" state="frozen"/>
      <selection activeCell="H32" sqref="H32"/>
      <selection pane="bottomLeft" activeCell="C25" sqref="C25"/>
    </sheetView>
  </sheetViews>
  <sheetFormatPr defaultRowHeight="12.75" x14ac:dyDescent="0.2"/>
  <cols>
    <col min="1" max="1" width="3.33203125" style="102" customWidth="1"/>
    <col min="2" max="2" width="39.6640625" style="102" customWidth="1"/>
    <col min="3" max="3" width="11.6640625" style="102" customWidth="1"/>
    <col min="4" max="4" width="12" style="102" customWidth="1"/>
    <col min="5" max="6" width="12.33203125" style="102" customWidth="1"/>
    <col min="7" max="7" width="7.6640625" style="102" customWidth="1"/>
    <col min="8" max="8" width="10.33203125" style="102" customWidth="1"/>
    <col min="9" max="9" width="12" style="102" customWidth="1"/>
    <col min="10" max="11" width="12.33203125" style="102" customWidth="1"/>
    <col min="12" max="12" width="12.83203125" style="102" customWidth="1"/>
    <col min="13" max="13" width="14.83203125" style="102" customWidth="1"/>
    <col min="14" max="14" width="12" style="102" customWidth="1"/>
    <col min="15" max="15" width="11.5" style="102" customWidth="1"/>
    <col min="16" max="16384" width="9.33203125" style="102"/>
  </cols>
  <sheetData>
    <row r="1" spans="1:15" ht="12.75" customHeight="1" x14ac:dyDescent="0.2">
      <c r="A1" s="949" t="s">
        <v>97</v>
      </c>
      <c r="B1" s="950" t="s">
        <v>137</v>
      </c>
      <c r="C1" s="977" t="s">
        <v>1038</v>
      </c>
      <c r="D1" s="977" t="s">
        <v>1010</v>
      </c>
      <c r="E1" s="976" t="s">
        <v>144</v>
      </c>
      <c r="F1" s="976"/>
      <c r="G1" s="976"/>
      <c r="H1" s="976"/>
      <c r="I1" s="976"/>
      <c r="J1" s="976"/>
      <c r="K1" s="976"/>
      <c r="L1" s="976" t="s">
        <v>211</v>
      </c>
      <c r="M1" s="976"/>
      <c r="N1" s="976"/>
      <c r="O1" s="974" t="s">
        <v>213</v>
      </c>
    </row>
    <row r="2" spans="1:15" s="103" customFormat="1" ht="78" customHeight="1" x14ac:dyDescent="0.2">
      <c r="A2" s="949"/>
      <c r="B2" s="950"/>
      <c r="C2" s="978"/>
      <c r="D2" s="978"/>
      <c r="E2" s="109" t="s">
        <v>15</v>
      </c>
      <c r="F2" s="109" t="s">
        <v>16</v>
      </c>
      <c r="G2" s="90" t="s">
        <v>17</v>
      </c>
      <c r="H2" s="109" t="s">
        <v>207</v>
      </c>
      <c r="I2" s="90" t="s">
        <v>208</v>
      </c>
      <c r="J2" s="90" t="s">
        <v>209</v>
      </c>
      <c r="K2" s="90" t="s">
        <v>210</v>
      </c>
      <c r="L2" s="90" t="s">
        <v>146</v>
      </c>
      <c r="M2" s="90" t="s">
        <v>103</v>
      </c>
      <c r="N2" s="90" t="s">
        <v>148</v>
      </c>
      <c r="O2" s="975"/>
    </row>
    <row r="3" spans="1:15" ht="17.100000000000001" customHeight="1" x14ac:dyDescent="0.2">
      <c r="A3" s="110" t="s">
        <v>99</v>
      </c>
      <c r="B3" s="111" t="s">
        <v>139</v>
      </c>
      <c r="C3" s="539">
        <v>1814430</v>
      </c>
      <c r="D3" s="539">
        <f>17337+táj.3!M3</f>
        <v>17468</v>
      </c>
      <c r="E3" s="112">
        <f>2911+táj.3!C3</f>
        <v>2911</v>
      </c>
      <c r="F3" s="112">
        <f>0+táj.3!D3</f>
        <v>0</v>
      </c>
      <c r="G3" s="112">
        <f>0+táj.3!E3</f>
        <v>0</v>
      </c>
      <c r="H3" s="112">
        <f>19049+táj.3!F3</f>
        <v>19180</v>
      </c>
      <c r="I3" s="112">
        <f>0+táj.3!G3</f>
        <v>0</v>
      </c>
      <c r="J3" s="112">
        <f>0+táj.3!H3</f>
        <v>0</v>
      </c>
      <c r="K3" s="112">
        <f>0+táj.3!I3</f>
        <v>0</v>
      </c>
      <c r="L3" s="112">
        <f>241063+táj.3!J3</f>
        <v>241063</v>
      </c>
      <c r="M3" s="112">
        <f>1568744+táj.3!K3</f>
        <v>1568744</v>
      </c>
      <c r="N3" s="112">
        <f>0+táj.3!L3</f>
        <v>0</v>
      </c>
      <c r="O3" s="112">
        <f t="shared" ref="O3:O20" si="0">SUM(E3:N3)</f>
        <v>1831898</v>
      </c>
    </row>
    <row r="4" spans="1:15" ht="17.100000000000001" customHeight="1" x14ac:dyDescent="0.2">
      <c r="A4" s="110" t="s">
        <v>101</v>
      </c>
      <c r="B4" s="111" t="s">
        <v>133</v>
      </c>
      <c r="C4" s="539">
        <v>1058472</v>
      </c>
      <c r="D4" s="539">
        <f>-41570+táj.3!M4</f>
        <v>-155919</v>
      </c>
      <c r="E4" s="112">
        <f>0+táj.3!C4</f>
        <v>300</v>
      </c>
      <c r="F4" s="112">
        <f>0+táj.3!D4</f>
        <v>300</v>
      </c>
      <c r="G4" s="112">
        <f>0+táj.3!E4</f>
        <v>0</v>
      </c>
      <c r="H4" s="112">
        <f>491450+táj.3!F4</f>
        <v>373450</v>
      </c>
      <c r="I4" s="112">
        <f>0+táj.3!G4</f>
        <v>0</v>
      </c>
      <c r="J4" s="112">
        <f>0+táj.3!H4</f>
        <v>0</v>
      </c>
      <c r="K4" s="112">
        <f>0+táj.3!I4</f>
        <v>0</v>
      </c>
      <c r="L4" s="112">
        <f>35172+táj.3!J4</f>
        <v>35172</v>
      </c>
      <c r="M4" s="112">
        <f>490280+táj.3!K4</f>
        <v>493331</v>
      </c>
      <c r="N4" s="112">
        <f>0+táj.3!L4</f>
        <v>0</v>
      </c>
      <c r="O4" s="112">
        <f t="shared" si="0"/>
        <v>902553</v>
      </c>
    </row>
    <row r="5" spans="1:15" ht="17.100000000000001" customHeight="1" x14ac:dyDescent="0.2">
      <c r="A5" s="110" t="s">
        <v>102</v>
      </c>
      <c r="B5" s="111" t="s">
        <v>164</v>
      </c>
      <c r="C5" s="539">
        <v>676340</v>
      </c>
      <c r="D5" s="539">
        <f>23880+táj.3!M5</f>
        <v>45311</v>
      </c>
      <c r="E5" s="112">
        <f>7190+táj.3!C5</f>
        <v>300</v>
      </c>
      <c r="F5" s="112">
        <f>7800+táj.3!D5</f>
        <v>7800</v>
      </c>
      <c r="G5" s="112">
        <f>0+táj.3!E5</f>
        <v>0</v>
      </c>
      <c r="H5" s="112">
        <f>59126+táj.3!F5</f>
        <v>67226</v>
      </c>
      <c r="I5" s="112">
        <f>0+táj.3!G5</f>
        <v>0</v>
      </c>
      <c r="J5" s="112">
        <f>0+táj.3!H5</f>
        <v>0</v>
      </c>
      <c r="K5" s="112">
        <f>0+táj.3!I5</f>
        <v>0</v>
      </c>
      <c r="L5" s="112">
        <f>29582+táj.3!J5</f>
        <v>29582</v>
      </c>
      <c r="M5" s="112">
        <f>596522+táj.3!K5</f>
        <v>616743</v>
      </c>
      <c r="N5" s="112">
        <f>0+táj.3!L5</f>
        <v>0</v>
      </c>
      <c r="O5" s="112">
        <f t="shared" si="0"/>
        <v>721651</v>
      </c>
    </row>
    <row r="6" spans="1:15" ht="24" customHeight="1" x14ac:dyDescent="0.2">
      <c r="A6" s="110" t="s">
        <v>90</v>
      </c>
      <c r="B6" s="113" t="s">
        <v>198</v>
      </c>
      <c r="C6" s="540">
        <v>576794</v>
      </c>
      <c r="D6" s="539">
        <f>136984+táj.3!M6</f>
        <v>137634</v>
      </c>
      <c r="E6" s="112">
        <f>512872+táj.3!C6</f>
        <v>512872</v>
      </c>
      <c r="F6" s="112">
        <f>0+táj.3!D6</f>
        <v>0</v>
      </c>
      <c r="G6" s="112">
        <f>0+táj.3!E6</f>
        <v>0</v>
      </c>
      <c r="H6" s="112">
        <f>1000+táj.3!F6</f>
        <v>1600</v>
      </c>
      <c r="I6" s="112">
        <f>0+táj.3!G6</f>
        <v>0</v>
      </c>
      <c r="J6" s="112">
        <f>0+táj.3!H6</f>
        <v>0</v>
      </c>
      <c r="K6" s="112">
        <f>0+táj.3!I6</f>
        <v>0</v>
      </c>
      <c r="L6" s="112">
        <f>89601+táj.3!J6</f>
        <v>89601</v>
      </c>
      <c r="M6" s="112">
        <f>110305+táj.3!K6</f>
        <v>110355</v>
      </c>
      <c r="N6" s="112">
        <f>0+táj.3!L6</f>
        <v>0</v>
      </c>
      <c r="O6" s="112">
        <f t="shared" si="0"/>
        <v>714428</v>
      </c>
    </row>
    <row r="7" spans="1:15" ht="24" customHeight="1" x14ac:dyDescent="0.2">
      <c r="A7" s="110" t="s">
        <v>89</v>
      </c>
      <c r="B7" s="113" t="s">
        <v>199</v>
      </c>
      <c r="C7" s="540">
        <v>224231</v>
      </c>
      <c r="D7" s="539">
        <f>43262+táj.3!M7</f>
        <v>61780</v>
      </c>
      <c r="E7" s="112">
        <f>0+táj.3!C7</f>
        <v>0</v>
      </c>
      <c r="F7" s="112">
        <f>0+táj.3!D7</f>
        <v>0</v>
      </c>
      <c r="G7" s="112">
        <f>0+táj.3!E7</f>
        <v>0</v>
      </c>
      <c r="H7" s="112">
        <f>1000+táj.3!F7</f>
        <v>1460</v>
      </c>
      <c r="I7" s="112">
        <f>0+táj.3!G7</f>
        <v>0</v>
      </c>
      <c r="J7" s="112">
        <f>0+táj.3!H7</f>
        <v>0</v>
      </c>
      <c r="K7" s="112">
        <f>0+táj.3!I7</f>
        <v>0</v>
      </c>
      <c r="L7" s="112">
        <f>32843+táj.3!J7</f>
        <v>32843</v>
      </c>
      <c r="M7" s="112">
        <f>233650+táj.3!K7</f>
        <v>251708</v>
      </c>
      <c r="N7" s="112">
        <f>0+táj.3!L7</f>
        <v>0</v>
      </c>
      <c r="O7" s="112">
        <f t="shared" si="0"/>
        <v>286011</v>
      </c>
    </row>
    <row r="8" spans="1:15" ht="17.100000000000001" customHeight="1" x14ac:dyDescent="0.2">
      <c r="A8" s="110" t="s">
        <v>91</v>
      </c>
      <c r="B8" s="114" t="s">
        <v>165</v>
      </c>
      <c r="C8" s="541">
        <v>377246</v>
      </c>
      <c r="D8" s="539">
        <f>16612+táj.3!M8</f>
        <v>17584</v>
      </c>
      <c r="E8" s="112">
        <f>7839+táj.3!C8</f>
        <v>0</v>
      </c>
      <c r="F8" s="112">
        <f>1600+táj.3!D8</f>
        <v>1600</v>
      </c>
      <c r="G8" s="112">
        <f>0+táj.3!E8</f>
        <v>0</v>
      </c>
      <c r="H8" s="112">
        <f>12103+táj.3!F8</f>
        <v>13053</v>
      </c>
      <c r="I8" s="112">
        <f>0+táj.3!G8</f>
        <v>0</v>
      </c>
      <c r="J8" s="112">
        <f>0+táj.3!H8</f>
        <v>0</v>
      </c>
      <c r="K8" s="112">
        <f>0+táj.3!I8</f>
        <v>0</v>
      </c>
      <c r="L8" s="112">
        <f>18283+táj.3!J8</f>
        <v>18283</v>
      </c>
      <c r="M8" s="112">
        <f>354033+táj.3!K8</f>
        <v>361894</v>
      </c>
      <c r="N8" s="112">
        <f>0+táj.3!L8</f>
        <v>0</v>
      </c>
      <c r="O8" s="112">
        <f t="shared" si="0"/>
        <v>394830</v>
      </c>
    </row>
    <row r="9" spans="1:15" ht="17.100000000000001" customHeight="1" x14ac:dyDescent="0.2">
      <c r="A9" s="110" t="s">
        <v>92</v>
      </c>
      <c r="B9" s="114" t="s">
        <v>166</v>
      </c>
      <c r="C9" s="541">
        <v>327099</v>
      </c>
      <c r="D9" s="539">
        <f>17792+táj.3!M9</f>
        <v>19835</v>
      </c>
      <c r="E9" s="112">
        <f>3958+táj.3!C9</f>
        <v>0</v>
      </c>
      <c r="F9" s="112">
        <f>0+táj.3!D9</f>
        <v>0</v>
      </c>
      <c r="G9" s="112">
        <f>0+táj.3!E9</f>
        <v>0</v>
      </c>
      <c r="H9" s="112">
        <f>15210+táj.3!F9</f>
        <v>17210</v>
      </c>
      <c r="I9" s="112">
        <f>0+táj.3!G9</f>
        <v>0</v>
      </c>
      <c r="J9" s="112">
        <f>0+táj.3!H9</f>
        <v>0</v>
      </c>
      <c r="K9" s="112">
        <f>0+táj.3!I9</f>
        <v>0</v>
      </c>
      <c r="L9" s="112">
        <f>26808+táj.3!J9</f>
        <v>26808</v>
      </c>
      <c r="M9" s="112">
        <f>298915+táj.3!K9</f>
        <v>302916</v>
      </c>
      <c r="N9" s="112">
        <f>0+táj.3!L9</f>
        <v>0</v>
      </c>
      <c r="O9" s="112">
        <f t="shared" si="0"/>
        <v>346934</v>
      </c>
    </row>
    <row r="10" spans="1:15" ht="17.100000000000001" customHeight="1" x14ac:dyDescent="0.2">
      <c r="A10" s="110" t="s">
        <v>93</v>
      </c>
      <c r="B10" s="114" t="s">
        <v>167</v>
      </c>
      <c r="C10" s="541">
        <v>374926</v>
      </c>
      <c r="D10" s="539">
        <f>25974+táj.3!M10</f>
        <v>27348</v>
      </c>
      <c r="E10" s="112">
        <f>4261+táj.3!C10</f>
        <v>0</v>
      </c>
      <c r="F10" s="112">
        <f>990+táj.3!D10</f>
        <v>2020</v>
      </c>
      <c r="G10" s="112">
        <f>0+táj.3!E10</f>
        <v>0</v>
      </c>
      <c r="H10" s="112">
        <f>20200+táj.3!F10</f>
        <v>20200</v>
      </c>
      <c r="I10" s="112">
        <f>0+táj.3!G10</f>
        <v>0</v>
      </c>
      <c r="J10" s="112">
        <f>0+táj.3!H10</f>
        <v>0</v>
      </c>
      <c r="K10" s="112">
        <f>0+táj.3!I10</f>
        <v>0</v>
      </c>
      <c r="L10" s="112">
        <f>38757+táj.3!J10</f>
        <v>38757</v>
      </c>
      <c r="M10" s="112">
        <f>336692+táj.3!K10</f>
        <v>341297</v>
      </c>
      <c r="N10" s="112">
        <f>0+táj.3!L10</f>
        <v>0</v>
      </c>
      <c r="O10" s="112">
        <f t="shared" si="0"/>
        <v>402274</v>
      </c>
    </row>
    <row r="11" spans="1:15" ht="17.100000000000001" customHeight="1" x14ac:dyDescent="0.2">
      <c r="A11" s="110" t="s">
        <v>25</v>
      </c>
      <c r="B11" s="114" t="s">
        <v>168</v>
      </c>
      <c r="C11" s="541">
        <v>343570</v>
      </c>
      <c r="D11" s="539">
        <f>15347+táj.3!M11</f>
        <v>15347</v>
      </c>
      <c r="E11" s="112">
        <f>6853+táj.3!C11</f>
        <v>0</v>
      </c>
      <c r="F11" s="112">
        <f>1950+táj.3!D11</f>
        <v>1950</v>
      </c>
      <c r="G11" s="112">
        <f>0+táj.3!E11</f>
        <v>0</v>
      </c>
      <c r="H11" s="112">
        <f>12762+táj.3!F11</f>
        <v>12762</v>
      </c>
      <c r="I11" s="112">
        <f>0+táj.3!G11</f>
        <v>0</v>
      </c>
      <c r="J11" s="112">
        <f>0+táj.3!H11</f>
        <v>0</v>
      </c>
      <c r="K11" s="112">
        <f>0+táj.3!I11</f>
        <v>0</v>
      </c>
      <c r="L11" s="112">
        <f>17226+táj.3!J11</f>
        <v>17226</v>
      </c>
      <c r="M11" s="112">
        <f>320126+táj.3!K11</f>
        <v>326979</v>
      </c>
      <c r="N11" s="112">
        <f>0+táj.3!L11</f>
        <v>0</v>
      </c>
      <c r="O11" s="112">
        <f t="shared" si="0"/>
        <v>358917</v>
      </c>
    </row>
    <row r="12" spans="1:15" ht="18" customHeight="1" x14ac:dyDescent="0.2">
      <c r="A12" s="110" t="s">
        <v>26</v>
      </c>
      <c r="B12" s="115" t="s">
        <v>200</v>
      </c>
      <c r="C12" s="383">
        <v>53686</v>
      </c>
      <c r="D12" s="539">
        <f>1725+táj.3!M12</f>
        <v>2695</v>
      </c>
      <c r="E12" s="112">
        <f>13035+táj.3!C12</f>
        <v>12763</v>
      </c>
      <c r="F12" s="112">
        <f>0+táj.3!D12</f>
        <v>0</v>
      </c>
      <c r="G12" s="112">
        <f>0+táj.3!E12</f>
        <v>0</v>
      </c>
      <c r="H12" s="112">
        <f>1+táj.3!F12</f>
        <v>1</v>
      </c>
      <c r="I12" s="112">
        <f>0+táj.3!G12</f>
        <v>0</v>
      </c>
      <c r="J12" s="112">
        <f>0+táj.3!H12</f>
        <v>0</v>
      </c>
      <c r="K12" s="112">
        <f>0+táj.3!I12</f>
        <v>0</v>
      </c>
      <c r="L12" s="112">
        <f>575+táj.3!J12</f>
        <v>575</v>
      </c>
      <c r="M12" s="112">
        <f>41800+táj.3!K12</f>
        <v>43042</v>
      </c>
      <c r="N12" s="112">
        <f>0+táj.3!L12</f>
        <v>0</v>
      </c>
      <c r="O12" s="112">
        <f t="shared" si="0"/>
        <v>56381</v>
      </c>
    </row>
    <row r="13" spans="1:15" ht="17.100000000000001" customHeight="1" x14ac:dyDescent="0.2">
      <c r="A13" s="110" t="s">
        <v>27</v>
      </c>
      <c r="B13" s="116" t="s">
        <v>161</v>
      </c>
      <c r="C13" s="542">
        <v>492898</v>
      </c>
      <c r="D13" s="539">
        <f>32923+táj.3!M13</f>
        <v>45424</v>
      </c>
      <c r="E13" s="112">
        <f>27450+táj.3!C13</f>
        <v>32550</v>
      </c>
      <c r="F13" s="112">
        <f>31+táj.3!D13</f>
        <v>3831</v>
      </c>
      <c r="G13" s="112">
        <f>0+táj.3!E13</f>
        <v>0</v>
      </c>
      <c r="H13" s="112">
        <f>80000+táj.3!F13</f>
        <v>80000</v>
      </c>
      <c r="I13" s="112">
        <f>0+táj.3!G13</f>
        <v>0</v>
      </c>
      <c r="J13" s="112">
        <f>2498+táj.3!H13</f>
        <v>2498</v>
      </c>
      <c r="K13" s="112">
        <f>0+táj.3!I13</f>
        <v>0</v>
      </c>
      <c r="L13" s="112">
        <f>141345+táj.3!J13</f>
        <v>141345</v>
      </c>
      <c r="M13" s="112">
        <f>274497+táj.3!K13</f>
        <v>278098</v>
      </c>
      <c r="N13" s="112">
        <f>0+táj.3!L13</f>
        <v>0</v>
      </c>
      <c r="O13" s="112">
        <f t="shared" si="0"/>
        <v>538322</v>
      </c>
    </row>
    <row r="14" spans="1:15" ht="27" customHeight="1" x14ac:dyDescent="0.2">
      <c r="A14" s="110" t="s">
        <v>28</v>
      </c>
      <c r="B14" s="113" t="s">
        <v>169</v>
      </c>
      <c r="C14" s="540">
        <v>20645</v>
      </c>
      <c r="D14" s="539">
        <f>5086+táj.3!M14</f>
        <v>5422</v>
      </c>
      <c r="E14" s="112">
        <f>3000+táj.3!C14</f>
        <v>3000</v>
      </c>
      <c r="F14" s="112">
        <f>0+táj.3!D14</f>
        <v>0</v>
      </c>
      <c r="G14" s="112">
        <f>0+táj.3!E14</f>
        <v>0</v>
      </c>
      <c r="H14" s="112">
        <f>1200+táj.3!F14</f>
        <v>1200</v>
      </c>
      <c r="I14" s="112">
        <f>0+táj.3!G14</f>
        <v>0</v>
      </c>
      <c r="J14" s="112">
        <f>0+táj.3!H14</f>
        <v>0</v>
      </c>
      <c r="K14" s="112">
        <f>0+táj.3!I14</f>
        <v>0</v>
      </c>
      <c r="L14" s="112">
        <f>1698+táj.3!J14</f>
        <v>1698</v>
      </c>
      <c r="M14" s="112">
        <f>19833+táj.3!K14</f>
        <v>20169</v>
      </c>
      <c r="N14" s="112">
        <f>0+táj.3!L14</f>
        <v>0</v>
      </c>
      <c r="O14" s="112">
        <f t="shared" si="0"/>
        <v>26067</v>
      </c>
    </row>
    <row r="15" spans="1:15" ht="17.100000000000001" customHeight="1" x14ac:dyDescent="0.2">
      <c r="A15" s="110" t="s">
        <v>29</v>
      </c>
      <c r="B15" s="114" t="s">
        <v>162</v>
      </c>
      <c r="C15" s="541">
        <v>456340</v>
      </c>
      <c r="D15" s="539">
        <f>4523+táj.3!M15</f>
        <v>27226</v>
      </c>
      <c r="E15" s="112">
        <f>7773+táj.3!C15</f>
        <v>25297</v>
      </c>
      <c r="F15" s="112">
        <f>0+táj.3!D15</f>
        <v>841</v>
      </c>
      <c r="G15" s="112">
        <f>0+táj.3!E15</f>
        <v>0</v>
      </c>
      <c r="H15" s="112">
        <f>32190+táj.3!F15</f>
        <v>32190</v>
      </c>
      <c r="I15" s="112">
        <f>0+táj.3!G15</f>
        <v>0</v>
      </c>
      <c r="J15" s="112">
        <f>0+táj.3!H15</f>
        <v>0</v>
      </c>
      <c r="K15" s="112">
        <f>0+táj.3!I15</f>
        <v>0</v>
      </c>
      <c r="L15" s="112">
        <f>685+táj.3!J15</f>
        <v>685</v>
      </c>
      <c r="M15" s="112">
        <f>420215+táj.3!K15</f>
        <v>424553</v>
      </c>
      <c r="N15" s="112">
        <f>0+táj.3!L15</f>
        <v>0</v>
      </c>
      <c r="O15" s="112">
        <f t="shared" si="0"/>
        <v>483566</v>
      </c>
    </row>
    <row r="16" spans="1:15" ht="17.100000000000001" customHeight="1" x14ac:dyDescent="0.2">
      <c r="A16" s="110" t="s">
        <v>30</v>
      </c>
      <c r="B16" s="114" t="s">
        <v>163</v>
      </c>
      <c r="C16" s="541">
        <v>517804</v>
      </c>
      <c r="D16" s="539">
        <f>73640+táj.3!M16</f>
        <v>106572</v>
      </c>
      <c r="E16" s="112">
        <f>20564+táj.3!C16</f>
        <v>32708</v>
      </c>
      <c r="F16" s="112">
        <f>835+táj.3!D16</f>
        <v>1949</v>
      </c>
      <c r="G16" s="112">
        <f>0+táj.3!E16</f>
        <v>0</v>
      </c>
      <c r="H16" s="112">
        <f>265948+táj.3!F16</f>
        <v>284599</v>
      </c>
      <c r="I16" s="112">
        <f>0+táj.3!G16</f>
        <v>0</v>
      </c>
      <c r="J16" s="112">
        <f>2500+táj.3!H16</f>
        <v>2500</v>
      </c>
      <c r="K16" s="112">
        <f>0+táj.3!I16</f>
        <v>250</v>
      </c>
      <c r="L16" s="112">
        <f>78508+táj.3!J16</f>
        <v>78508</v>
      </c>
      <c r="M16" s="112">
        <f>223089+táj.3!K16</f>
        <v>223862</v>
      </c>
      <c r="N16" s="112">
        <f>0+táj.3!L16</f>
        <v>0</v>
      </c>
      <c r="O16" s="112">
        <f t="shared" si="0"/>
        <v>624376</v>
      </c>
    </row>
    <row r="17" spans="1:15" ht="17.100000000000001" customHeight="1" x14ac:dyDescent="0.2">
      <c r="A17" s="110" t="s">
        <v>94</v>
      </c>
      <c r="B17" s="114" t="s">
        <v>170</v>
      </c>
      <c r="C17" s="541">
        <v>749650</v>
      </c>
      <c r="D17" s="539">
        <f>59791+táj.3!M17</f>
        <v>74791</v>
      </c>
      <c r="E17" s="112">
        <f>364204+táj.3!C17</f>
        <v>379204</v>
      </c>
      <c r="F17" s="112">
        <f>31319+táj.3!D17</f>
        <v>31319</v>
      </c>
      <c r="G17" s="112">
        <f>0+táj.3!E17</f>
        <v>0</v>
      </c>
      <c r="H17" s="112">
        <f>137192+táj.3!F17</f>
        <v>137192</v>
      </c>
      <c r="I17" s="112">
        <f>0+táj.3!G17</f>
        <v>0</v>
      </c>
      <c r="J17" s="112">
        <f>0+táj.3!H17</f>
        <v>0</v>
      </c>
      <c r="K17" s="112">
        <f>0+táj.3!I17</f>
        <v>0</v>
      </c>
      <c r="L17" s="112">
        <f>34908+táj.3!J17</f>
        <v>34908</v>
      </c>
      <c r="M17" s="112">
        <f>241818+táj.3!K17</f>
        <v>241818</v>
      </c>
      <c r="N17" s="112">
        <f>0+táj.3!L17</f>
        <v>0</v>
      </c>
      <c r="O17" s="112">
        <f t="shared" si="0"/>
        <v>824441</v>
      </c>
    </row>
    <row r="18" spans="1:15" ht="17.100000000000001" customHeight="1" x14ac:dyDescent="0.2">
      <c r="A18" s="110" t="s">
        <v>31</v>
      </c>
      <c r="B18" s="114" t="s">
        <v>171</v>
      </c>
      <c r="C18" s="541">
        <v>144959</v>
      </c>
      <c r="D18" s="539">
        <f>15857+táj.3!M18</f>
        <v>18857</v>
      </c>
      <c r="E18" s="112">
        <f>71600+táj.3!C18</f>
        <v>71600</v>
      </c>
      <c r="F18" s="112">
        <f>13640+táj.3!D18</f>
        <v>13640</v>
      </c>
      <c r="G18" s="112">
        <f>0+táj.3!E18</f>
        <v>0</v>
      </c>
      <c r="H18" s="112">
        <f>17664+táj.3!F18</f>
        <v>17664</v>
      </c>
      <c r="I18" s="112">
        <f>0+táj.3!G18</f>
        <v>0</v>
      </c>
      <c r="J18" s="112">
        <f>0+táj.3!H18</f>
        <v>0</v>
      </c>
      <c r="K18" s="112">
        <f>0+táj.3!I18</f>
        <v>0</v>
      </c>
      <c r="L18" s="112">
        <f>13327+táj.3!J18</f>
        <v>13327</v>
      </c>
      <c r="M18" s="112">
        <f>44585+táj.3!K18</f>
        <v>47585</v>
      </c>
      <c r="N18" s="112">
        <f>0+táj.3!L18</f>
        <v>0</v>
      </c>
      <c r="O18" s="112">
        <f t="shared" si="0"/>
        <v>163816</v>
      </c>
    </row>
    <row r="19" spans="1:15" ht="17.100000000000001" customHeight="1" x14ac:dyDescent="0.2">
      <c r="A19" s="110" t="s">
        <v>32</v>
      </c>
      <c r="B19" s="114" t="s">
        <v>202</v>
      </c>
      <c r="C19" s="541">
        <v>138125</v>
      </c>
      <c r="D19" s="539">
        <f>18989+táj.3!M19</f>
        <v>24956</v>
      </c>
      <c r="E19" s="112">
        <f>0+táj.3!C19</f>
        <v>4524</v>
      </c>
      <c r="F19" s="112">
        <f>0+táj.3!D19</f>
        <v>0</v>
      </c>
      <c r="G19" s="112">
        <f>0+táj.3!E19</f>
        <v>0</v>
      </c>
      <c r="H19" s="112">
        <f>54214+táj.3!F19</f>
        <v>54214</v>
      </c>
      <c r="I19" s="112">
        <f>0+táj.3!G19</f>
        <v>0</v>
      </c>
      <c r="J19" s="112">
        <f>0+táj.3!H19</f>
        <v>0</v>
      </c>
      <c r="K19" s="112">
        <f>0+táj.3!I19</f>
        <v>0</v>
      </c>
      <c r="L19" s="112">
        <f>17828+táj.3!J19</f>
        <v>17828</v>
      </c>
      <c r="M19" s="112">
        <f>85072+táj.3!K19</f>
        <v>86515</v>
      </c>
      <c r="N19" s="112">
        <f>0+táj.3!L19</f>
        <v>0</v>
      </c>
      <c r="O19" s="112">
        <f t="shared" si="0"/>
        <v>163081</v>
      </c>
    </row>
    <row r="20" spans="1:15" ht="17.100000000000001" customHeight="1" x14ac:dyDescent="0.2">
      <c r="A20" s="110" t="s">
        <v>201</v>
      </c>
      <c r="B20" s="114" t="s">
        <v>205</v>
      </c>
      <c r="C20" s="541">
        <v>102247</v>
      </c>
      <c r="D20" s="539">
        <f>38+táj.3!M20</f>
        <v>38</v>
      </c>
      <c r="E20" s="112">
        <f>630+táj.3!C20</f>
        <v>630</v>
      </c>
      <c r="F20" s="112">
        <f>0+táj.3!D20</f>
        <v>0</v>
      </c>
      <c r="G20" s="112">
        <f>0+táj.3!E20</f>
        <v>0</v>
      </c>
      <c r="H20" s="112">
        <f>97419+táj.3!F20</f>
        <v>97419</v>
      </c>
      <c r="I20" s="112">
        <f>0+táj.3!G20</f>
        <v>0</v>
      </c>
      <c r="J20" s="112">
        <f>0+táj.3!H20</f>
        <v>0</v>
      </c>
      <c r="K20" s="112">
        <f>0+táj.3!I20</f>
        <v>0</v>
      </c>
      <c r="L20" s="112">
        <f>4236+táj.3!J20</f>
        <v>4236</v>
      </c>
      <c r="M20" s="112">
        <f>0+táj.3!K20</f>
        <v>0</v>
      </c>
      <c r="N20" s="112">
        <f>0+táj.3!L20</f>
        <v>0</v>
      </c>
      <c r="O20" s="112">
        <f t="shared" si="0"/>
        <v>102285</v>
      </c>
    </row>
    <row r="21" spans="1:15" ht="14.25" customHeight="1" x14ac:dyDescent="0.2">
      <c r="A21" s="117"/>
      <c r="B21" s="118" t="s">
        <v>14</v>
      </c>
      <c r="C21" s="543">
        <f>SUM(C3:C20)</f>
        <v>8449462</v>
      </c>
      <c r="D21" s="543">
        <f>SUM(D3:D20)</f>
        <v>492369</v>
      </c>
      <c r="E21" s="119">
        <f t="shared" ref="E21:O21" si="1">SUM(E3:E20)</f>
        <v>1078659</v>
      </c>
      <c r="F21" s="119">
        <f t="shared" si="1"/>
        <v>65250</v>
      </c>
      <c r="G21" s="119">
        <f t="shared" si="1"/>
        <v>0</v>
      </c>
      <c r="H21" s="119">
        <f t="shared" si="1"/>
        <v>1230620</v>
      </c>
      <c r="I21" s="119">
        <f t="shared" si="1"/>
        <v>0</v>
      </c>
      <c r="J21" s="119">
        <f t="shared" si="1"/>
        <v>4998</v>
      </c>
      <c r="K21" s="119">
        <f t="shared" si="1"/>
        <v>250</v>
      </c>
      <c r="L21" s="119">
        <f t="shared" si="1"/>
        <v>822445</v>
      </c>
      <c r="M21" s="119">
        <f t="shared" si="1"/>
        <v>5739609</v>
      </c>
      <c r="N21" s="119">
        <f t="shared" si="1"/>
        <v>0</v>
      </c>
      <c r="O21" s="119">
        <f t="shared" si="1"/>
        <v>8941831</v>
      </c>
    </row>
    <row r="22" spans="1:15" ht="14.1" customHeight="1" x14ac:dyDescent="0.2">
      <c r="E22" s="104"/>
      <c r="F22" s="104"/>
      <c r="G22" s="104"/>
      <c r="H22" s="104"/>
      <c r="I22" s="104"/>
      <c r="J22" s="104"/>
      <c r="K22" s="104"/>
      <c r="L22" s="104"/>
      <c r="M22" s="104"/>
    </row>
    <row r="23" spans="1:15" ht="14.1" customHeight="1" x14ac:dyDescent="0.2">
      <c r="E23" s="104"/>
      <c r="F23" s="104"/>
      <c r="G23" s="104"/>
      <c r="H23" s="104"/>
      <c r="I23" s="104"/>
      <c r="J23" s="104"/>
      <c r="K23" s="104"/>
      <c r="L23" s="104"/>
      <c r="M23" s="104"/>
    </row>
    <row r="24" spans="1:15" ht="14.1" customHeight="1" x14ac:dyDescent="0.2">
      <c r="E24" s="104"/>
      <c r="F24" s="104"/>
      <c r="G24" s="104"/>
      <c r="H24" s="104"/>
      <c r="I24" s="104"/>
      <c r="J24" s="104"/>
      <c r="K24" s="104"/>
      <c r="L24" s="104"/>
      <c r="M24" s="120"/>
    </row>
    <row r="25" spans="1:15" ht="14.1" customHeight="1" x14ac:dyDescent="0.2">
      <c r="E25" s="104"/>
      <c r="F25" s="104"/>
      <c r="G25" s="104"/>
      <c r="H25" s="104"/>
      <c r="I25" s="104"/>
      <c r="J25" s="104"/>
      <c r="K25" s="104"/>
      <c r="L25" s="104"/>
      <c r="M25" s="120"/>
    </row>
    <row r="26" spans="1:15" ht="14.1" customHeight="1" x14ac:dyDescent="0.2">
      <c r="E26" s="104"/>
      <c r="F26" s="104"/>
      <c r="G26" s="104"/>
      <c r="H26" s="104"/>
      <c r="I26" s="104"/>
      <c r="J26" s="104"/>
      <c r="K26" s="104"/>
      <c r="L26" s="104"/>
      <c r="M26" s="104"/>
    </row>
    <row r="27" spans="1:15" ht="14.1" customHeight="1" x14ac:dyDescent="0.2"/>
    <row r="28" spans="1:15" ht="14.1" customHeight="1" x14ac:dyDescent="0.2"/>
    <row r="29" spans="1:15" ht="14.1" customHeight="1" x14ac:dyDescent="0.2"/>
  </sheetData>
  <mergeCells count="7">
    <mergeCell ref="O1:O2"/>
    <mergeCell ref="A1:A2"/>
    <mergeCell ref="B1:B2"/>
    <mergeCell ref="E1:K1"/>
    <mergeCell ref="L1:N1"/>
    <mergeCell ref="C1:C2"/>
    <mergeCell ref="D1:D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81" orientation="landscape" r:id="rId1"/>
  <headerFooter alignWithMargins="0">
    <oddHeader>&amp;C&amp;"Times New Roman,Félkövér dőlt"ZALAEGERSZEG  MEGYEI JOGÚ VÁROS ÖNKORMÁNYZATA ÁLTAL IRÁNYÍTOTT KÖLTSÉGVETÉSI SZERVEK
  2021.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26"/>
  <sheetViews>
    <sheetView zoomScale="112" zoomScaleNormal="112" workbookViewId="0">
      <pane ySplit="2" topLeftCell="A3" activePane="bottomLeft" state="frozen"/>
      <selection activeCell="H32" sqref="H32"/>
      <selection pane="bottomLeft" activeCell="N20" sqref="N20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.33203125" style="19" customWidth="1"/>
    <col min="4" max="4" width="11.6640625" style="19" customWidth="1"/>
    <col min="5" max="5" width="10" style="19" customWidth="1"/>
    <col min="6" max="6" width="11.83203125" style="19" customWidth="1"/>
    <col min="7" max="7" width="9.83203125" style="19" customWidth="1"/>
    <col min="8" max="9" width="10.5" style="19" customWidth="1"/>
    <col min="10" max="10" width="11.1640625" style="19" customWidth="1"/>
    <col min="11" max="11" width="11.83203125" style="19" customWidth="1"/>
    <col min="12" max="12" width="9.5" style="19" customWidth="1"/>
    <col min="13" max="13" width="8.1640625" style="19" customWidth="1"/>
    <col min="14" max="14" width="10.83203125" style="31" customWidth="1"/>
    <col min="15" max="16384" width="9.33203125" style="19"/>
  </cols>
  <sheetData>
    <row r="1" spans="1:14" ht="12.75" customHeight="1" x14ac:dyDescent="0.2">
      <c r="A1" s="958" t="s">
        <v>97</v>
      </c>
      <c r="B1" s="958" t="s">
        <v>137</v>
      </c>
      <c r="C1" s="977" t="s">
        <v>1038</v>
      </c>
      <c r="D1" s="977" t="s">
        <v>1010</v>
      </c>
      <c r="E1" s="957" t="s">
        <v>143</v>
      </c>
      <c r="F1" s="957"/>
      <c r="G1" s="957"/>
      <c r="H1" s="957"/>
      <c r="I1" s="957"/>
      <c r="J1" s="957"/>
      <c r="K1" s="957"/>
      <c r="L1" s="957"/>
      <c r="M1" s="958" t="s">
        <v>142</v>
      </c>
      <c r="N1" s="958" t="s">
        <v>194</v>
      </c>
    </row>
    <row r="2" spans="1:14" s="28" customFormat="1" ht="60" customHeight="1" x14ac:dyDescent="0.2">
      <c r="A2" s="958"/>
      <c r="B2" s="958"/>
      <c r="C2" s="978"/>
      <c r="D2" s="978"/>
      <c r="E2" s="89" t="s">
        <v>121</v>
      </c>
      <c r="F2" s="89" t="s">
        <v>212</v>
      </c>
      <c r="G2" s="89" t="s">
        <v>206</v>
      </c>
      <c r="H2" s="89" t="s">
        <v>18</v>
      </c>
      <c r="I2" s="89" t="s">
        <v>33</v>
      </c>
      <c r="J2" s="89" t="s">
        <v>24</v>
      </c>
      <c r="K2" s="89" t="s">
        <v>23</v>
      </c>
      <c r="L2" s="89" t="s">
        <v>19</v>
      </c>
      <c r="M2" s="979"/>
      <c r="N2" s="958"/>
    </row>
    <row r="3" spans="1:14" s="28" customFormat="1" ht="15" customHeight="1" x14ac:dyDescent="0.2">
      <c r="A3" s="121" t="s">
        <v>99</v>
      </c>
      <c r="B3" s="122" t="s">
        <v>139</v>
      </c>
      <c r="C3" s="539">
        <v>1814430</v>
      </c>
      <c r="D3" s="545">
        <f>17337+táj.4!L3</f>
        <v>17468</v>
      </c>
      <c r="E3" s="123">
        <f>1241933+táj.4!C3</f>
        <v>1241933</v>
      </c>
      <c r="F3" s="123">
        <f>221002+táj.4!D3</f>
        <v>221002</v>
      </c>
      <c r="G3" s="123">
        <f>229351+táj.4!E3</f>
        <v>227379</v>
      </c>
      <c r="H3" s="123">
        <f>0+táj.4!F3</f>
        <v>0</v>
      </c>
      <c r="I3" s="123">
        <f>45720+táj.4!G3</f>
        <v>45720</v>
      </c>
      <c r="J3" s="123">
        <f>82261+táj.4!H3</f>
        <v>84364</v>
      </c>
      <c r="K3" s="123">
        <f>11500+táj.4!I3</f>
        <v>11500</v>
      </c>
      <c r="L3" s="123">
        <f>0+táj.4!J3</f>
        <v>0</v>
      </c>
      <c r="M3" s="123">
        <f>0+táj.4!K3</f>
        <v>0</v>
      </c>
      <c r="N3" s="123">
        <f t="shared" ref="N3:N20" si="0">SUM(E3:M3)</f>
        <v>1831898</v>
      </c>
    </row>
    <row r="4" spans="1:14" s="28" customFormat="1" ht="15" customHeight="1" x14ac:dyDescent="0.2">
      <c r="A4" s="121" t="s">
        <v>101</v>
      </c>
      <c r="B4" s="122" t="s">
        <v>133</v>
      </c>
      <c r="C4" s="539">
        <v>1058472</v>
      </c>
      <c r="D4" s="545">
        <f>-41570+táj.4!L4</f>
        <v>-155919</v>
      </c>
      <c r="E4" s="123">
        <f>139823+táj.4!C4</f>
        <v>142681</v>
      </c>
      <c r="F4" s="123">
        <f>24840+táj.4!D4</f>
        <v>25283</v>
      </c>
      <c r="G4" s="123">
        <f>819438+táj.4!E4</f>
        <v>701488</v>
      </c>
      <c r="H4" s="123">
        <f>0+táj.4!F4</f>
        <v>0</v>
      </c>
      <c r="I4" s="123">
        <f>32301+táj.4!G4</f>
        <v>32301</v>
      </c>
      <c r="J4" s="123">
        <f>500+táj.4!H4</f>
        <v>800</v>
      </c>
      <c r="K4" s="123">
        <f>0+táj.4!I4</f>
        <v>0</v>
      </c>
      <c r="L4" s="123">
        <f>0+táj.4!J4</f>
        <v>0</v>
      </c>
      <c r="M4" s="123">
        <f>0+táj.4!K4</f>
        <v>0</v>
      </c>
      <c r="N4" s="123">
        <f t="shared" si="0"/>
        <v>902553</v>
      </c>
    </row>
    <row r="5" spans="1:14" s="28" customFormat="1" ht="15" customHeight="1" x14ac:dyDescent="0.2">
      <c r="A5" s="121" t="s">
        <v>102</v>
      </c>
      <c r="B5" s="122" t="s">
        <v>164</v>
      </c>
      <c r="C5" s="539">
        <v>676340</v>
      </c>
      <c r="D5" s="545">
        <f>23880+táj.4!L5</f>
        <v>45311</v>
      </c>
      <c r="E5" s="123">
        <f>475000+táj.4!C5</f>
        <v>489816</v>
      </c>
      <c r="F5" s="123">
        <f>81742+táj.4!D5</f>
        <v>83559</v>
      </c>
      <c r="G5" s="123">
        <f>131093+táj.4!E5</f>
        <v>132176</v>
      </c>
      <c r="H5" s="123">
        <f>0+táj.4!F5</f>
        <v>0</v>
      </c>
      <c r="I5" s="123">
        <f>3128+táj.4!G5</f>
        <v>3128</v>
      </c>
      <c r="J5" s="123">
        <f>1457+táj.4!H5</f>
        <v>5872</v>
      </c>
      <c r="K5" s="123">
        <f>7800+táj.4!I5</f>
        <v>6800</v>
      </c>
      <c r="L5" s="123">
        <f>0+táj.4!J5</f>
        <v>300</v>
      </c>
      <c r="M5" s="123">
        <f>0+táj.4!K5</f>
        <v>0</v>
      </c>
      <c r="N5" s="123">
        <f t="shared" si="0"/>
        <v>721651</v>
      </c>
    </row>
    <row r="6" spans="1:14" s="28" customFormat="1" ht="23.25" customHeight="1" x14ac:dyDescent="0.2">
      <c r="A6" s="121" t="s">
        <v>90</v>
      </c>
      <c r="B6" s="113" t="s">
        <v>198</v>
      </c>
      <c r="C6" s="540">
        <v>576794</v>
      </c>
      <c r="D6" s="545">
        <f>136984+táj.4!L6</f>
        <v>137634</v>
      </c>
      <c r="E6" s="123">
        <f>407570+táj.4!C6</f>
        <v>407613</v>
      </c>
      <c r="F6" s="123">
        <f>73589+táj.4!D6</f>
        <v>73596</v>
      </c>
      <c r="G6" s="123">
        <f>221922+táj.4!E6</f>
        <v>222522</v>
      </c>
      <c r="H6" s="123">
        <f>0+táj.4!F6</f>
        <v>0</v>
      </c>
      <c r="I6" s="123">
        <f>0+táj.4!G6</f>
        <v>0</v>
      </c>
      <c r="J6" s="123">
        <f>10697+táj.4!H6</f>
        <v>10697</v>
      </c>
      <c r="K6" s="123">
        <f>0+táj.4!I6</f>
        <v>0</v>
      </c>
      <c r="L6" s="123">
        <f>0+táj.4!J6</f>
        <v>0</v>
      </c>
      <c r="M6" s="123">
        <f>0+táj.4!K6</f>
        <v>0</v>
      </c>
      <c r="N6" s="123">
        <f t="shared" si="0"/>
        <v>714428</v>
      </c>
    </row>
    <row r="7" spans="1:14" s="28" customFormat="1" ht="26.25" customHeight="1" x14ac:dyDescent="0.2">
      <c r="A7" s="121" t="s">
        <v>89</v>
      </c>
      <c r="B7" s="113" t="s">
        <v>199</v>
      </c>
      <c r="C7" s="540">
        <v>224231</v>
      </c>
      <c r="D7" s="545">
        <f>43262+táj.4!L7</f>
        <v>61780</v>
      </c>
      <c r="E7" s="123">
        <f>199459+táj.4!C7</f>
        <v>215094</v>
      </c>
      <c r="F7" s="123">
        <f>35608+táj.4!D7</f>
        <v>38031</v>
      </c>
      <c r="G7" s="123">
        <f>24884+táj.4!E7</f>
        <v>25344</v>
      </c>
      <c r="H7" s="123">
        <f>4092+táj.4!F7</f>
        <v>4092</v>
      </c>
      <c r="I7" s="123">
        <f>300+táj.4!G7</f>
        <v>300</v>
      </c>
      <c r="J7" s="123">
        <f>3150+táj.4!H7</f>
        <v>3150</v>
      </c>
      <c r="K7" s="123">
        <f>0+táj.4!I7</f>
        <v>0</v>
      </c>
      <c r="L7" s="123">
        <f>0+táj.4!J7</f>
        <v>0</v>
      </c>
      <c r="M7" s="123">
        <f>0+táj.4!K7</f>
        <v>0</v>
      </c>
      <c r="N7" s="123">
        <f t="shared" si="0"/>
        <v>286011</v>
      </c>
    </row>
    <row r="8" spans="1:14" s="28" customFormat="1" ht="15" customHeight="1" x14ac:dyDescent="0.2">
      <c r="A8" s="121" t="s">
        <v>91</v>
      </c>
      <c r="B8" s="114" t="s">
        <v>165</v>
      </c>
      <c r="C8" s="541">
        <v>377246</v>
      </c>
      <c r="D8" s="545">
        <f>16612+táj.4!L8</f>
        <v>17584</v>
      </c>
      <c r="E8" s="123">
        <f>275071+táj.4!C8</f>
        <v>275090</v>
      </c>
      <c r="F8" s="123">
        <f>47813+táj.4!D8</f>
        <v>47816</v>
      </c>
      <c r="G8" s="123">
        <f>63737+táj.4!E8</f>
        <v>64487</v>
      </c>
      <c r="H8" s="123">
        <f>0+táj.4!F8</f>
        <v>0</v>
      </c>
      <c r="I8" s="123">
        <f>2137+táj.4!G8</f>
        <v>2337</v>
      </c>
      <c r="J8" s="123">
        <f>4000+táj.4!H8</f>
        <v>4000</v>
      </c>
      <c r="K8" s="123">
        <f>1100+táj.4!I8</f>
        <v>1100</v>
      </c>
      <c r="L8" s="123">
        <f>0+táj.4!J8</f>
        <v>0</v>
      </c>
      <c r="M8" s="123">
        <f>0+táj.4!K8</f>
        <v>0</v>
      </c>
      <c r="N8" s="123">
        <f t="shared" si="0"/>
        <v>394830</v>
      </c>
    </row>
    <row r="9" spans="1:14" s="28" customFormat="1" ht="15" customHeight="1" x14ac:dyDescent="0.2">
      <c r="A9" s="121" t="s">
        <v>92</v>
      </c>
      <c r="B9" s="114" t="s">
        <v>166</v>
      </c>
      <c r="C9" s="541">
        <v>327099</v>
      </c>
      <c r="D9" s="545">
        <f>17792+táj.4!L9</f>
        <v>19835</v>
      </c>
      <c r="E9" s="123">
        <f>213058+táj.4!C9</f>
        <v>213095</v>
      </c>
      <c r="F9" s="123">
        <f>36998+táj.4!D9</f>
        <v>37004</v>
      </c>
      <c r="G9" s="123">
        <f>88948+táj.4!E9</f>
        <v>90808</v>
      </c>
      <c r="H9" s="123">
        <f>0+táj.4!F9</f>
        <v>0</v>
      </c>
      <c r="I9" s="123">
        <f>3387+táj.4!G9</f>
        <v>3387</v>
      </c>
      <c r="J9" s="123">
        <f>2500+táj.4!H9</f>
        <v>2500</v>
      </c>
      <c r="K9" s="123">
        <f>0+táj.4!I9</f>
        <v>140</v>
      </c>
      <c r="L9" s="123">
        <f>0+táj.4!J9</f>
        <v>0</v>
      </c>
      <c r="M9" s="123">
        <f>0+táj.4!K9</f>
        <v>0</v>
      </c>
      <c r="N9" s="123">
        <f t="shared" si="0"/>
        <v>346934</v>
      </c>
    </row>
    <row r="10" spans="1:14" s="29" customFormat="1" ht="15" customHeight="1" x14ac:dyDescent="0.2">
      <c r="A10" s="121" t="s">
        <v>93</v>
      </c>
      <c r="B10" s="114" t="s">
        <v>167</v>
      </c>
      <c r="C10" s="541">
        <v>374926</v>
      </c>
      <c r="D10" s="545">
        <f>25974+táj.4!L10</f>
        <v>27348</v>
      </c>
      <c r="E10" s="123">
        <f>242799+táj.4!C10</f>
        <v>243096</v>
      </c>
      <c r="F10" s="123">
        <f>42856+táj.4!D10</f>
        <v>42903</v>
      </c>
      <c r="G10" s="123">
        <f>103901+táj.4!E10</f>
        <v>103901</v>
      </c>
      <c r="H10" s="123">
        <f>0+táj.4!F10</f>
        <v>0</v>
      </c>
      <c r="I10" s="123">
        <f>4854+táj.4!G10</f>
        <v>4854</v>
      </c>
      <c r="J10" s="123">
        <f>6490+táj.4!H10</f>
        <v>7520</v>
      </c>
      <c r="K10" s="123">
        <f>0+táj.4!I10</f>
        <v>0</v>
      </c>
      <c r="L10" s="123">
        <f>0+táj.4!J10</f>
        <v>0</v>
      </c>
      <c r="M10" s="123">
        <f>0+táj.4!K10</f>
        <v>0</v>
      </c>
      <c r="N10" s="123">
        <f t="shared" si="0"/>
        <v>402274</v>
      </c>
    </row>
    <row r="11" spans="1:14" s="29" customFormat="1" ht="17.25" customHeight="1" x14ac:dyDescent="0.2">
      <c r="A11" s="121" t="s">
        <v>25</v>
      </c>
      <c r="B11" s="114" t="s">
        <v>168</v>
      </c>
      <c r="C11" s="541">
        <v>343570</v>
      </c>
      <c r="D11" s="545">
        <f>15347+táj.4!L11</f>
        <v>15347</v>
      </c>
      <c r="E11" s="123">
        <f>238595+táj.4!C11</f>
        <v>238595</v>
      </c>
      <c r="F11" s="123">
        <f>41841+táj.4!D11</f>
        <v>41841</v>
      </c>
      <c r="G11" s="123">
        <f>68881+táj.4!E11</f>
        <v>68881</v>
      </c>
      <c r="H11" s="123">
        <f>0+táj.4!F11</f>
        <v>0</v>
      </c>
      <c r="I11" s="123">
        <f>2150+táj.4!G11</f>
        <v>2150</v>
      </c>
      <c r="J11" s="123">
        <f>6450+táj.4!H11</f>
        <v>6450</v>
      </c>
      <c r="K11" s="123">
        <f>1000+táj.4!I11</f>
        <v>1000</v>
      </c>
      <c r="L11" s="123">
        <f>0+táj.4!J11</f>
        <v>0</v>
      </c>
      <c r="M11" s="123">
        <f>0+táj.4!K11</f>
        <v>0</v>
      </c>
      <c r="N11" s="123">
        <f t="shared" si="0"/>
        <v>358917</v>
      </c>
    </row>
    <row r="12" spans="1:14" s="29" customFormat="1" ht="18.75" customHeight="1" x14ac:dyDescent="0.2">
      <c r="A12" s="121" t="s">
        <v>26</v>
      </c>
      <c r="B12" s="115" t="s">
        <v>200</v>
      </c>
      <c r="C12" s="383">
        <v>53686</v>
      </c>
      <c r="D12" s="545">
        <f>1725+táj.4!L12</f>
        <v>2695</v>
      </c>
      <c r="E12" s="123">
        <f>45336+táj.4!C12</f>
        <v>46175</v>
      </c>
      <c r="F12" s="123">
        <f>7360+táj.4!D12</f>
        <v>7491</v>
      </c>
      <c r="G12" s="123">
        <f>2665+táj.4!E12</f>
        <v>2665</v>
      </c>
      <c r="H12" s="123">
        <f>0+táj.4!F12</f>
        <v>0</v>
      </c>
      <c r="I12" s="123">
        <f>0+táj.4!G12</f>
        <v>0</v>
      </c>
      <c r="J12" s="123">
        <f>50+táj.4!H12</f>
        <v>50</v>
      </c>
      <c r="K12" s="123">
        <f>0+táj.4!I12</f>
        <v>0</v>
      </c>
      <c r="L12" s="123">
        <f>0+táj.4!J12</f>
        <v>0</v>
      </c>
      <c r="M12" s="123">
        <f>0+táj.4!K12</f>
        <v>0</v>
      </c>
      <c r="N12" s="123">
        <f t="shared" si="0"/>
        <v>56381</v>
      </c>
    </row>
    <row r="13" spans="1:14" s="29" customFormat="1" ht="14.1" customHeight="1" x14ac:dyDescent="0.2">
      <c r="A13" s="121" t="s">
        <v>27</v>
      </c>
      <c r="B13" s="116" t="s">
        <v>161</v>
      </c>
      <c r="C13" s="542">
        <v>492898</v>
      </c>
      <c r="D13" s="545">
        <f>32923+táj.4!L13</f>
        <v>45424</v>
      </c>
      <c r="E13" s="123">
        <f>210529+táj.4!C13</f>
        <v>210529</v>
      </c>
      <c r="F13" s="123">
        <f>32309+táj.4!D13</f>
        <v>32309</v>
      </c>
      <c r="G13" s="123">
        <f>267792+táj.4!E13</f>
        <v>276493</v>
      </c>
      <c r="H13" s="123">
        <f>0+táj.4!F13</f>
        <v>0</v>
      </c>
      <c r="I13" s="123">
        <f>0+táj.4!G13</f>
        <v>0</v>
      </c>
      <c r="J13" s="123">
        <f>10191+táj.4!H13</f>
        <v>10991</v>
      </c>
      <c r="K13" s="123">
        <f>5000+táj.4!I13</f>
        <v>8000</v>
      </c>
      <c r="L13" s="123">
        <f>0+táj.4!J13</f>
        <v>0</v>
      </c>
      <c r="M13" s="123">
        <f>0+táj.4!K13</f>
        <v>0</v>
      </c>
      <c r="N13" s="123">
        <f t="shared" si="0"/>
        <v>538322</v>
      </c>
    </row>
    <row r="14" spans="1:14" s="29" customFormat="1" ht="24.75" customHeight="1" x14ac:dyDescent="0.2">
      <c r="A14" s="121" t="s">
        <v>28</v>
      </c>
      <c r="B14" s="113" t="s">
        <v>169</v>
      </c>
      <c r="C14" s="540">
        <v>20645</v>
      </c>
      <c r="D14" s="545">
        <f>5086+táj.4!L14</f>
        <v>5422</v>
      </c>
      <c r="E14" s="123">
        <f>16462+táj.4!C14</f>
        <v>16753</v>
      </c>
      <c r="F14" s="123">
        <f>2771+táj.4!D14</f>
        <v>2816</v>
      </c>
      <c r="G14" s="123">
        <f>5932+táj.4!E14</f>
        <v>5932</v>
      </c>
      <c r="H14" s="123">
        <f>0+táj.4!F14</f>
        <v>0</v>
      </c>
      <c r="I14" s="123">
        <f>0+táj.4!G14</f>
        <v>0</v>
      </c>
      <c r="J14" s="123">
        <f>566+táj.4!H14</f>
        <v>566</v>
      </c>
      <c r="K14" s="123">
        <f>0+táj.4!I14</f>
        <v>0</v>
      </c>
      <c r="L14" s="123">
        <f>0+táj.4!J14</f>
        <v>0</v>
      </c>
      <c r="M14" s="123">
        <f>0+táj.4!K14</f>
        <v>0</v>
      </c>
      <c r="N14" s="123">
        <f t="shared" si="0"/>
        <v>26067</v>
      </c>
    </row>
    <row r="15" spans="1:14" s="29" customFormat="1" ht="14.1" customHeight="1" x14ac:dyDescent="0.2">
      <c r="A15" s="121" t="s">
        <v>29</v>
      </c>
      <c r="B15" s="114" t="s">
        <v>162</v>
      </c>
      <c r="C15" s="541">
        <v>456340</v>
      </c>
      <c r="D15" s="545">
        <f>4523+táj.4!L15</f>
        <v>27226</v>
      </c>
      <c r="E15" s="123">
        <f>213678+táj.4!C15</f>
        <v>213874</v>
      </c>
      <c r="F15" s="123">
        <f>32713+táj.4!D15</f>
        <v>32743</v>
      </c>
      <c r="G15" s="123">
        <f>142472+táj.4!E15</f>
        <v>164108</v>
      </c>
      <c r="H15" s="123">
        <f>0+táj.4!F15</f>
        <v>0</v>
      </c>
      <c r="I15" s="123">
        <f>27000+táj.4!G15</f>
        <v>27000</v>
      </c>
      <c r="J15" s="123">
        <f>45000+táj.4!H15</f>
        <v>45841</v>
      </c>
      <c r="K15" s="123">
        <f>0+táj.4!I15</f>
        <v>0</v>
      </c>
      <c r="L15" s="123">
        <f>0+táj.4!J15</f>
        <v>0</v>
      </c>
      <c r="M15" s="123">
        <f>0+táj.4!K15</f>
        <v>0</v>
      </c>
      <c r="N15" s="123">
        <f t="shared" si="0"/>
        <v>483566</v>
      </c>
    </row>
    <row r="16" spans="1:14" s="29" customFormat="1" ht="14.1" customHeight="1" x14ac:dyDescent="0.2">
      <c r="A16" s="121" t="s">
        <v>30</v>
      </c>
      <c r="B16" s="114" t="s">
        <v>163</v>
      </c>
      <c r="C16" s="541">
        <v>517804</v>
      </c>
      <c r="D16" s="545">
        <f>73640+táj.4!L16</f>
        <v>106572</v>
      </c>
      <c r="E16" s="123">
        <f>209465+táj.4!C16</f>
        <v>214814</v>
      </c>
      <c r="F16" s="123">
        <f>36698+táj.4!D16</f>
        <v>38006</v>
      </c>
      <c r="G16" s="123">
        <f>261008+táj.4!E16</f>
        <v>264323</v>
      </c>
      <c r="H16" s="123">
        <f>0+táj.4!F16</f>
        <v>0</v>
      </c>
      <c r="I16" s="123">
        <f>42043+táj.4!G16</f>
        <v>48139</v>
      </c>
      <c r="J16" s="123">
        <f>35914+táj.4!H16</f>
        <v>49778</v>
      </c>
      <c r="K16" s="123">
        <f>6316+táj.4!I16</f>
        <v>9316</v>
      </c>
      <c r="L16" s="123">
        <f>0+táj.4!J16</f>
        <v>0</v>
      </c>
      <c r="M16" s="123">
        <f>0+táj.4!K16</f>
        <v>0</v>
      </c>
      <c r="N16" s="123">
        <f t="shared" si="0"/>
        <v>624376</v>
      </c>
    </row>
    <row r="17" spans="1:14" s="29" customFormat="1" ht="12.95" customHeight="1" x14ac:dyDescent="0.2">
      <c r="A17" s="121" t="s">
        <v>94</v>
      </c>
      <c r="B17" s="114" t="s">
        <v>170</v>
      </c>
      <c r="C17" s="541">
        <v>749650</v>
      </c>
      <c r="D17" s="545">
        <f>59791+táj.4!L17</f>
        <v>74791</v>
      </c>
      <c r="E17" s="123">
        <f>487951+táj.4!C17</f>
        <v>500931</v>
      </c>
      <c r="F17" s="123">
        <f>79591+táj.4!D17</f>
        <v>81611</v>
      </c>
      <c r="G17" s="123">
        <f>199707+táj.4!E17</f>
        <v>199707</v>
      </c>
      <c r="H17" s="123">
        <f>0+táj.4!F17</f>
        <v>0</v>
      </c>
      <c r="I17" s="123">
        <f>0+táj.4!G17</f>
        <v>0</v>
      </c>
      <c r="J17" s="123">
        <f>42192+táj.4!H17</f>
        <v>42192</v>
      </c>
      <c r="K17" s="123">
        <f>0+táj.4!I17</f>
        <v>0</v>
      </c>
      <c r="L17" s="123">
        <f>0+táj.4!J17</f>
        <v>0</v>
      </c>
      <c r="M17" s="123">
        <f>0+táj.4!K17</f>
        <v>0</v>
      </c>
      <c r="N17" s="123">
        <f t="shared" si="0"/>
        <v>824441</v>
      </c>
    </row>
    <row r="18" spans="1:14" s="29" customFormat="1" ht="12.95" customHeight="1" x14ac:dyDescent="0.2">
      <c r="A18" s="121" t="s">
        <v>31</v>
      </c>
      <c r="B18" s="114" t="s">
        <v>171</v>
      </c>
      <c r="C18" s="541">
        <v>144959</v>
      </c>
      <c r="D18" s="545">
        <f>15857+táj.4!L18</f>
        <v>18857</v>
      </c>
      <c r="E18" s="123">
        <f>75707+táj.4!C18</f>
        <v>75707</v>
      </c>
      <c r="F18" s="123">
        <f>11502+táj.4!D18</f>
        <v>11502</v>
      </c>
      <c r="G18" s="123">
        <f>53176+táj.4!E18</f>
        <v>53176</v>
      </c>
      <c r="H18" s="123">
        <f>0+táj.4!F18</f>
        <v>0</v>
      </c>
      <c r="I18" s="123">
        <f>0+táj.4!G18</f>
        <v>0</v>
      </c>
      <c r="J18" s="123">
        <f>20431+táj.4!H18</f>
        <v>23431</v>
      </c>
      <c r="K18" s="123">
        <f>0+táj.4!I18</f>
        <v>0</v>
      </c>
      <c r="L18" s="123">
        <f>0+táj.4!J18</f>
        <v>0</v>
      </c>
      <c r="M18" s="123">
        <f>0+táj.4!K18</f>
        <v>0</v>
      </c>
      <c r="N18" s="123">
        <f t="shared" si="0"/>
        <v>163816</v>
      </c>
    </row>
    <row r="19" spans="1:14" s="29" customFormat="1" ht="15.75" customHeight="1" x14ac:dyDescent="0.2">
      <c r="A19" s="121" t="s">
        <v>32</v>
      </c>
      <c r="B19" s="114" t="s">
        <v>202</v>
      </c>
      <c r="C19" s="541">
        <v>138125</v>
      </c>
      <c r="D19" s="545">
        <f>18989+táj.4!L19</f>
        <v>24956</v>
      </c>
      <c r="E19" s="123">
        <f>69731+táj.4!C19</f>
        <v>74897</v>
      </c>
      <c r="F19" s="123">
        <f>11016+táj.4!D19</f>
        <v>11817</v>
      </c>
      <c r="G19" s="123">
        <f>75367+táj.4!E19</f>
        <v>75367</v>
      </c>
      <c r="H19" s="123">
        <f>0+táj.4!F19</f>
        <v>0</v>
      </c>
      <c r="I19" s="123">
        <f>0+táj.4!G19</f>
        <v>0</v>
      </c>
      <c r="J19" s="123">
        <f>1000+táj.4!H19</f>
        <v>1000</v>
      </c>
      <c r="K19" s="123">
        <f>0+táj.4!I19</f>
        <v>0</v>
      </c>
      <c r="L19" s="123">
        <f>0+táj.4!J19</f>
        <v>0</v>
      </c>
      <c r="M19" s="123">
        <f>0+táj.4!K19</f>
        <v>0</v>
      </c>
      <c r="N19" s="123">
        <f t="shared" si="0"/>
        <v>163081</v>
      </c>
    </row>
    <row r="20" spans="1:14" s="1" customFormat="1" x14ac:dyDescent="0.2">
      <c r="A20" s="121" t="s">
        <v>201</v>
      </c>
      <c r="B20" s="114" t="s">
        <v>205</v>
      </c>
      <c r="C20" s="541">
        <v>102247</v>
      </c>
      <c r="D20" s="545">
        <f>38+táj.4!L20</f>
        <v>38</v>
      </c>
      <c r="E20" s="123">
        <f>42372+táj.4!C20</f>
        <v>42372</v>
      </c>
      <c r="F20" s="123">
        <f>6703+táj.4!D20</f>
        <v>6703</v>
      </c>
      <c r="G20" s="123">
        <f>50180+táj.4!E20</f>
        <v>50180</v>
      </c>
      <c r="H20" s="123">
        <f>0+táj.4!F20</f>
        <v>0</v>
      </c>
      <c r="I20" s="123">
        <f>0+táj.4!G20</f>
        <v>0</v>
      </c>
      <c r="J20" s="123">
        <f>2141+táj.4!H20</f>
        <v>2141</v>
      </c>
      <c r="K20" s="123">
        <f>889+táj.4!I20</f>
        <v>889</v>
      </c>
      <c r="L20" s="123">
        <f>0+táj.4!J20</f>
        <v>0</v>
      </c>
      <c r="M20" s="123">
        <f>0+táj.4!K20</f>
        <v>0</v>
      </c>
      <c r="N20" s="123">
        <f t="shared" si="0"/>
        <v>102285</v>
      </c>
    </row>
    <row r="21" spans="1:14" s="1" customFormat="1" x14ac:dyDescent="0.2">
      <c r="A21" s="124"/>
      <c r="B21" s="125" t="s">
        <v>14</v>
      </c>
      <c r="C21" s="544">
        <f>SUM(C3:C20)</f>
        <v>8449462</v>
      </c>
      <c r="D21" s="546">
        <f>SUM(D3:D20)</f>
        <v>492369</v>
      </c>
      <c r="E21" s="84">
        <f t="shared" ref="E21:N21" si="1">SUM(E3:E20)</f>
        <v>4863065</v>
      </c>
      <c r="F21" s="84">
        <f t="shared" si="1"/>
        <v>836033</v>
      </c>
      <c r="G21" s="84">
        <f t="shared" si="1"/>
        <v>2728937</v>
      </c>
      <c r="H21" s="84">
        <f t="shared" si="1"/>
        <v>4092</v>
      </c>
      <c r="I21" s="84">
        <f t="shared" si="1"/>
        <v>169316</v>
      </c>
      <c r="J21" s="84">
        <f t="shared" si="1"/>
        <v>301343</v>
      </c>
      <c r="K21" s="84">
        <f t="shared" si="1"/>
        <v>38745</v>
      </c>
      <c r="L21" s="84">
        <f t="shared" si="1"/>
        <v>300</v>
      </c>
      <c r="M21" s="84">
        <f t="shared" si="1"/>
        <v>0</v>
      </c>
      <c r="N21" s="84">
        <f t="shared" si="1"/>
        <v>8941831</v>
      </c>
    </row>
    <row r="22" spans="1:14" s="1" customFormat="1" x14ac:dyDescent="0.2">
      <c r="N22" s="20"/>
    </row>
    <row r="23" spans="1:14" s="1" customFormat="1" x14ac:dyDescent="0.2">
      <c r="B23" s="15"/>
      <c r="C23" s="15"/>
      <c r="D23" s="15"/>
      <c r="N23" s="20"/>
    </row>
    <row r="24" spans="1:14" s="1" customFormat="1" x14ac:dyDescent="0.2">
      <c r="N24" s="20"/>
    </row>
    <row r="25" spans="1:14" s="1" customFormat="1" x14ac:dyDescent="0.2">
      <c r="N25" s="20"/>
    </row>
    <row r="26" spans="1:14" s="1" customFormat="1" x14ac:dyDescent="0.2">
      <c r="E26" s="15"/>
      <c r="N26" s="20"/>
    </row>
  </sheetData>
  <dataConsolidate/>
  <mergeCells count="7">
    <mergeCell ref="N1:N2"/>
    <mergeCell ref="A1:A2"/>
    <mergeCell ref="B1:B2"/>
    <mergeCell ref="E1:L1"/>
    <mergeCell ref="M1:M2"/>
    <mergeCell ref="C1:C2"/>
    <mergeCell ref="D1:D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4" orientation="landscape" r:id="rId1"/>
  <headerFooter alignWithMargins="0">
    <oddHeader>&amp;C&amp;"Times New Roman CE,Félkövér dőlt"ZALAEGERSZEG MEGYEI JOGÚ VÁROS ÖNKORMÁNYZATA ÁLTAL IRÁNYÍTOTT KÖLTSÉGVETÉSI SZERVEK 
2021.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196"/>
  <sheetViews>
    <sheetView zoomScale="96" zoomScaleNormal="96" workbookViewId="0">
      <pane ySplit="2" topLeftCell="A163" activePane="bottomLeft" state="frozen"/>
      <selection activeCell="H32" sqref="H32"/>
      <selection pane="bottomLeft" activeCell="D111" sqref="D111"/>
    </sheetView>
  </sheetViews>
  <sheetFormatPr defaultRowHeight="12.75" x14ac:dyDescent="0.2"/>
  <cols>
    <col min="1" max="1" width="5.33203125" style="132" customWidth="1"/>
    <col min="2" max="2" width="5.5" style="132" customWidth="1"/>
    <col min="3" max="3" width="40.83203125" style="132" customWidth="1"/>
    <col min="4" max="4" width="9.83203125" style="533" customWidth="1"/>
    <col min="5" max="5" width="13" style="132" customWidth="1"/>
    <col min="6" max="6" width="13.1640625" style="132" customWidth="1"/>
    <col min="7" max="7" width="12.33203125" style="132" customWidth="1"/>
    <col min="8" max="8" width="11.33203125" style="132" customWidth="1"/>
    <col min="9" max="9" width="11.83203125" style="132" customWidth="1"/>
    <col min="10" max="10" width="10.83203125" style="132" customWidth="1"/>
    <col min="11" max="11" width="13.1640625" style="132" customWidth="1"/>
    <col min="12" max="12" width="11.5" style="132" customWidth="1"/>
    <col min="13" max="14" width="12.33203125" style="132" customWidth="1"/>
    <col min="15" max="15" width="13.1640625" style="132" customWidth="1"/>
    <col min="16" max="16" width="7.33203125" style="132" customWidth="1"/>
    <col min="17" max="255" width="9.33203125" style="132"/>
    <col min="256" max="256" width="5.33203125" style="132" customWidth="1"/>
    <col min="257" max="257" width="5.5" style="132" customWidth="1"/>
    <col min="258" max="258" width="40.83203125" style="132" customWidth="1"/>
    <col min="259" max="259" width="9.83203125" style="132" customWidth="1"/>
    <col min="260" max="260" width="13" style="132" customWidth="1"/>
    <col min="261" max="261" width="13.1640625" style="132" customWidth="1"/>
    <col min="262" max="262" width="12.33203125" style="132" customWidth="1"/>
    <col min="263" max="263" width="11.33203125" style="132" customWidth="1"/>
    <col min="264" max="264" width="11.83203125" style="132" customWidth="1"/>
    <col min="265" max="265" width="10.83203125" style="132" customWidth="1"/>
    <col min="266" max="266" width="13.1640625" style="132" customWidth="1"/>
    <col min="267" max="267" width="11.5" style="132" customWidth="1"/>
    <col min="268" max="269" width="12.33203125" style="132" customWidth="1"/>
    <col min="270" max="270" width="13.1640625" style="132" customWidth="1"/>
    <col min="271" max="271" width="18.5" style="132" customWidth="1"/>
    <col min="272" max="272" width="7.33203125" style="132" customWidth="1"/>
    <col min="273" max="511" width="9.33203125" style="132"/>
    <col min="512" max="512" width="5.33203125" style="132" customWidth="1"/>
    <col min="513" max="513" width="5.5" style="132" customWidth="1"/>
    <col min="514" max="514" width="40.83203125" style="132" customWidth="1"/>
    <col min="515" max="515" width="9.83203125" style="132" customWidth="1"/>
    <col min="516" max="516" width="13" style="132" customWidth="1"/>
    <col min="517" max="517" width="13.1640625" style="132" customWidth="1"/>
    <col min="518" max="518" width="12.33203125" style="132" customWidth="1"/>
    <col min="519" max="519" width="11.33203125" style="132" customWidth="1"/>
    <col min="520" max="520" width="11.83203125" style="132" customWidth="1"/>
    <col min="521" max="521" width="10.83203125" style="132" customWidth="1"/>
    <col min="522" max="522" width="13.1640625" style="132" customWidth="1"/>
    <col min="523" max="523" width="11.5" style="132" customWidth="1"/>
    <col min="524" max="525" width="12.33203125" style="132" customWidth="1"/>
    <col min="526" max="526" width="13.1640625" style="132" customWidth="1"/>
    <col min="527" max="527" width="18.5" style="132" customWidth="1"/>
    <col min="528" max="528" width="7.33203125" style="132" customWidth="1"/>
    <col min="529" max="767" width="9.33203125" style="132"/>
    <col min="768" max="768" width="5.33203125" style="132" customWidth="1"/>
    <col min="769" max="769" width="5.5" style="132" customWidth="1"/>
    <col min="770" max="770" width="40.83203125" style="132" customWidth="1"/>
    <col min="771" max="771" width="9.83203125" style="132" customWidth="1"/>
    <col min="772" max="772" width="13" style="132" customWidth="1"/>
    <col min="773" max="773" width="13.1640625" style="132" customWidth="1"/>
    <col min="774" max="774" width="12.33203125" style="132" customWidth="1"/>
    <col min="775" max="775" width="11.33203125" style="132" customWidth="1"/>
    <col min="776" max="776" width="11.83203125" style="132" customWidth="1"/>
    <col min="777" max="777" width="10.83203125" style="132" customWidth="1"/>
    <col min="778" max="778" width="13.1640625" style="132" customWidth="1"/>
    <col min="779" max="779" width="11.5" style="132" customWidth="1"/>
    <col min="780" max="781" width="12.33203125" style="132" customWidth="1"/>
    <col min="782" max="782" width="13.1640625" style="132" customWidth="1"/>
    <col min="783" max="783" width="18.5" style="132" customWidth="1"/>
    <col min="784" max="784" width="7.33203125" style="132" customWidth="1"/>
    <col min="785" max="1023" width="9.33203125" style="132"/>
    <col min="1024" max="1024" width="5.33203125" style="132" customWidth="1"/>
    <col min="1025" max="1025" width="5.5" style="132" customWidth="1"/>
    <col min="1026" max="1026" width="40.83203125" style="132" customWidth="1"/>
    <col min="1027" max="1027" width="9.83203125" style="132" customWidth="1"/>
    <col min="1028" max="1028" width="13" style="132" customWidth="1"/>
    <col min="1029" max="1029" width="13.1640625" style="132" customWidth="1"/>
    <col min="1030" max="1030" width="12.33203125" style="132" customWidth="1"/>
    <col min="1031" max="1031" width="11.33203125" style="132" customWidth="1"/>
    <col min="1032" max="1032" width="11.83203125" style="132" customWidth="1"/>
    <col min="1033" max="1033" width="10.83203125" style="132" customWidth="1"/>
    <col min="1034" max="1034" width="13.1640625" style="132" customWidth="1"/>
    <col min="1035" max="1035" width="11.5" style="132" customWidth="1"/>
    <col min="1036" max="1037" width="12.33203125" style="132" customWidth="1"/>
    <col min="1038" max="1038" width="13.1640625" style="132" customWidth="1"/>
    <col min="1039" max="1039" width="18.5" style="132" customWidth="1"/>
    <col min="1040" max="1040" width="7.33203125" style="132" customWidth="1"/>
    <col min="1041" max="1279" width="9.33203125" style="132"/>
    <col min="1280" max="1280" width="5.33203125" style="132" customWidth="1"/>
    <col min="1281" max="1281" width="5.5" style="132" customWidth="1"/>
    <col min="1282" max="1282" width="40.83203125" style="132" customWidth="1"/>
    <col min="1283" max="1283" width="9.83203125" style="132" customWidth="1"/>
    <col min="1284" max="1284" width="13" style="132" customWidth="1"/>
    <col min="1285" max="1285" width="13.1640625" style="132" customWidth="1"/>
    <col min="1286" max="1286" width="12.33203125" style="132" customWidth="1"/>
    <col min="1287" max="1287" width="11.33203125" style="132" customWidth="1"/>
    <col min="1288" max="1288" width="11.83203125" style="132" customWidth="1"/>
    <col min="1289" max="1289" width="10.83203125" style="132" customWidth="1"/>
    <col min="1290" max="1290" width="13.1640625" style="132" customWidth="1"/>
    <col min="1291" max="1291" width="11.5" style="132" customWidth="1"/>
    <col min="1292" max="1293" width="12.33203125" style="132" customWidth="1"/>
    <col min="1294" max="1294" width="13.1640625" style="132" customWidth="1"/>
    <col min="1295" max="1295" width="18.5" style="132" customWidth="1"/>
    <col min="1296" max="1296" width="7.33203125" style="132" customWidth="1"/>
    <col min="1297" max="1535" width="9.33203125" style="132"/>
    <col min="1536" max="1536" width="5.33203125" style="132" customWidth="1"/>
    <col min="1537" max="1537" width="5.5" style="132" customWidth="1"/>
    <col min="1538" max="1538" width="40.83203125" style="132" customWidth="1"/>
    <col min="1539" max="1539" width="9.83203125" style="132" customWidth="1"/>
    <col min="1540" max="1540" width="13" style="132" customWidth="1"/>
    <col min="1541" max="1541" width="13.1640625" style="132" customWidth="1"/>
    <col min="1542" max="1542" width="12.33203125" style="132" customWidth="1"/>
    <col min="1543" max="1543" width="11.33203125" style="132" customWidth="1"/>
    <col min="1544" max="1544" width="11.83203125" style="132" customWidth="1"/>
    <col min="1545" max="1545" width="10.83203125" style="132" customWidth="1"/>
    <col min="1546" max="1546" width="13.1640625" style="132" customWidth="1"/>
    <col min="1547" max="1547" width="11.5" style="132" customWidth="1"/>
    <col min="1548" max="1549" width="12.33203125" style="132" customWidth="1"/>
    <col min="1550" max="1550" width="13.1640625" style="132" customWidth="1"/>
    <col min="1551" max="1551" width="18.5" style="132" customWidth="1"/>
    <col min="1552" max="1552" width="7.33203125" style="132" customWidth="1"/>
    <col min="1553" max="1791" width="9.33203125" style="132"/>
    <col min="1792" max="1792" width="5.33203125" style="132" customWidth="1"/>
    <col min="1793" max="1793" width="5.5" style="132" customWidth="1"/>
    <col min="1794" max="1794" width="40.83203125" style="132" customWidth="1"/>
    <col min="1795" max="1795" width="9.83203125" style="132" customWidth="1"/>
    <col min="1796" max="1796" width="13" style="132" customWidth="1"/>
    <col min="1797" max="1797" width="13.1640625" style="132" customWidth="1"/>
    <col min="1798" max="1798" width="12.33203125" style="132" customWidth="1"/>
    <col min="1799" max="1799" width="11.33203125" style="132" customWidth="1"/>
    <col min="1800" max="1800" width="11.83203125" style="132" customWidth="1"/>
    <col min="1801" max="1801" width="10.83203125" style="132" customWidth="1"/>
    <col min="1802" max="1802" width="13.1640625" style="132" customWidth="1"/>
    <col min="1803" max="1803" width="11.5" style="132" customWidth="1"/>
    <col min="1804" max="1805" width="12.33203125" style="132" customWidth="1"/>
    <col min="1806" max="1806" width="13.1640625" style="132" customWidth="1"/>
    <col min="1807" max="1807" width="18.5" style="132" customWidth="1"/>
    <col min="1808" max="1808" width="7.33203125" style="132" customWidth="1"/>
    <col min="1809" max="2047" width="9.33203125" style="132"/>
    <col min="2048" max="2048" width="5.33203125" style="132" customWidth="1"/>
    <col min="2049" max="2049" width="5.5" style="132" customWidth="1"/>
    <col min="2050" max="2050" width="40.83203125" style="132" customWidth="1"/>
    <col min="2051" max="2051" width="9.83203125" style="132" customWidth="1"/>
    <col min="2052" max="2052" width="13" style="132" customWidth="1"/>
    <col min="2053" max="2053" width="13.1640625" style="132" customWidth="1"/>
    <col min="2054" max="2054" width="12.33203125" style="132" customWidth="1"/>
    <col min="2055" max="2055" width="11.33203125" style="132" customWidth="1"/>
    <col min="2056" max="2056" width="11.83203125" style="132" customWidth="1"/>
    <col min="2057" max="2057" width="10.83203125" style="132" customWidth="1"/>
    <col min="2058" max="2058" width="13.1640625" style="132" customWidth="1"/>
    <col min="2059" max="2059" width="11.5" style="132" customWidth="1"/>
    <col min="2060" max="2061" width="12.33203125" style="132" customWidth="1"/>
    <col min="2062" max="2062" width="13.1640625" style="132" customWidth="1"/>
    <col min="2063" max="2063" width="18.5" style="132" customWidth="1"/>
    <col min="2064" max="2064" width="7.33203125" style="132" customWidth="1"/>
    <col min="2065" max="2303" width="9.33203125" style="132"/>
    <col min="2304" max="2304" width="5.33203125" style="132" customWidth="1"/>
    <col min="2305" max="2305" width="5.5" style="132" customWidth="1"/>
    <col min="2306" max="2306" width="40.83203125" style="132" customWidth="1"/>
    <col min="2307" max="2307" width="9.83203125" style="132" customWidth="1"/>
    <col min="2308" max="2308" width="13" style="132" customWidth="1"/>
    <col min="2309" max="2309" width="13.1640625" style="132" customWidth="1"/>
    <col min="2310" max="2310" width="12.33203125" style="132" customWidth="1"/>
    <col min="2311" max="2311" width="11.33203125" style="132" customWidth="1"/>
    <col min="2312" max="2312" width="11.83203125" style="132" customWidth="1"/>
    <col min="2313" max="2313" width="10.83203125" style="132" customWidth="1"/>
    <col min="2314" max="2314" width="13.1640625" style="132" customWidth="1"/>
    <col min="2315" max="2315" width="11.5" style="132" customWidth="1"/>
    <col min="2316" max="2317" width="12.33203125" style="132" customWidth="1"/>
    <col min="2318" max="2318" width="13.1640625" style="132" customWidth="1"/>
    <col min="2319" max="2319" width="18.5" style="132" customWidth="1"/>
    <col min="2320" max="2320" width="7.33203125" style="132" customWidth="1"/>
    <col min="2321" max="2559" width="9.33203125" style="132"/>
    <col min="2560" max="2560" width="5.33203125" style="132" customWidth="1"/>
    <col min="2561" max="2561" width="5.5" style="132" customWidth="1"/>
    <col min="2562" max="2562" width="40.83203125" style="132" customWidth="1"/>
    <col min="2563" max="2563" width="9.83203125" style="132" customWidth="1"/>
    <col min="2564" max="2564" width="13" style="132" customWidth="1"/>
    <col min="2565" max="2565" width="13.1640625" style="132" customWidth="1"/>
    <col min="2566" max="2566" width="12.33203125" style="132" customWidth="1"/>
    <col min="2567" max="2567" width="11.33203125" style="132" customWidth="1"/>
    <col min="2568" max="2568" width="11.83203125" style="132" customWidth="1"/>
    <col min="2569" max="2569" width="10.83203125" style="132" customWidth="1"/>
    <col min="2570" max="2570" width="13.1640625" style="132" customWidth="1"/>
    <col min="2571" max="2571" width="11.5" style="132" customWidth="1"/>
    <col min="2572" max="2573" width="12.33203125" style="132" customWidth="1"/>
    <col min="2574" max="2574" width="13.1640625" style="132" customWidth="1"/>
    <col min="2575" max="2575" width="18.5" style="132" customWidth="1"/>
    <col min="2576" max="2576" width="7.33203125" style="132" customWidth="1"/>
    <col min="2577" max="2815" width="9.33203125" style="132"/>
    <col min="2816" max="2816" width="5.33203125" style="132" customWidth="1"/>
    <col min="2817" max="2817" width="5.5" style="132" customWidth="1"/>
    <col min="2818" max="2818" width="40.83203125" style="132" customWidth="1"/>
    <col min="2819" max="2819" width="9.83203125" style="132" customWidth="1"/>
    <col min="2820" max="2820" width="13" style="132" customWidth="1"/>
    <col min="2821" max="2821" width="13.1640625" style="132" customWidth="1"/>
    <col min="2822" max="2822" width="12.33203125" style="132" customWidth="1"/>
    <col min="2823" max="2823" width="11.33203125" style="132" customWidth="1"/>
    <col min="2824" max="2824" width="11.83203125" style="132" customWidth="1"/>
    <col min="2825" max="2825" width="10.83203125" style="132" customWidth="1"/>
    <col min="2826" max="2826" width="13.1640625" style="132" customWidth="1"/>
    <col min="2827" max="2827" width="11.5" style="132" customWidth="1"/>
    <col min="2828" max="2829" width="12.33203125" style="132" customWidth="1"/>
    <col min="2830" max="2830" width="13.1640625" style="132" customWidth="1"/>
    <col min="2831" max="2831" width="18.5" style="132" customWidth="1"/>
    <col min="2832" max="2832" width="7.33203125" style="132" customWidth="1"/>
    <col min="2833" max="3071" width="9.33203125" style="132"/>
    <col min="3072" max="3072" width="5.33203125" style="132" customWidth="1"/>
    <col min="3073" max="3073" width="5.5" style="132" customWidth="1"/>
    <col min="3074" max="3074" width="40.83203125" style="132" customWidth="1"/>
    <col min="3075" max="3075" width="9.83203125" style="132" customWidth="1"/>
    <col min="3076" max="3076" width="13" style="132" customWidth="1"/>
    <col min="3077" max="3077" width="13.1640625" style="132" customWidth="1"/>
    <col min="3078" max="3078" width="12.33203125" style="132" customWidth="1"/>
    <col min="3079" max="3079" width="11.33203125" style="132" customWidth="1"/>
    <col min="3080" max="3080" width="11.83203125" style="132" customWidth="1"/>
    <col min="3081" max="3081" width="10.83203125" style="132" customWidth="1"/>
    <col min="3082" max="3082" width="13.1640625" style="132" customWidth="1"/>
    <col min="3083" max="3083" width="11.5" style="132" customWidth="1"/>
    <col min="3084" max="3085" width="12.33203125" style="132" customWidth="1"/>
    <col min="3086" max="3086" width="13.1640625" style="132" customWidth="1"/>
    <col min="3087" max="3087" width="18.5" style="132" customWidth="1"/>
    <col min="3088" max="3088" width="7.33203125" style="132" customWidth="1"/>
    <col min="3089" max="3327" width="9.33203125" style="132"/>
    <col min="3328" max="3328" width="5.33203125" style="132" customWidth="1"/>
    <col min="3329" max="3329" width="5.5" style="132" customWidth="1"/>
    <col min="3330" max="3330" width="40.83203125" style="132" customWidth="1"/>
    <col min="3331" max="3331" width="9.83203125" style="132" customWidth="1"/>
    <col min="3332" max="3332" width="13" style="132" customWidth="1"/>
    <col min="3333" max="3333" width="13.1640625" style="132" customWidth="1"/>
    <col min="3334" max="3334" width="12.33203125" style="132" customWidth="1"/>
    <col min="3335" max="3335" width="11.33203125" style="132" customWidth="1"/>
    <col min="3336" max="3336" width="11.83203125" style="132" customWidth="1"/>
    <col min="3337" max="3337" width="10.83203125" style="132" customWidth="1"/>
    <col min="3338" max="3338" width="13.1640625" style="132" customWidth="1"/>
    <col min="3339" max="3339" width="11.5" style="132" customWidth="1"/>
    <col min="3340" max="3341" width="12.33203125" style="132" customWidth="1"/>
    <col min="3342" max="3342" width="13.1640625" style="132" customWidth="1"/>
    <col min="3343" max="3343" width="18.5" style="132" customWidth="1"/>
    <col min="3344" max="3344" width="7.33203125" style="132" customWidth="1"/>
    <col min="3345" max="3583" width="9.33203125" style="132"/>
    <col min="3584" max="3584" width="5.33203125" style="132" customWidth="1"/>
    <col min="3585" max="3585" width="5.5" style="132" customWidth="1"/>
    <col min="3586" max="3586" width="40.83203125" style="132" customWidth="1"/>
    <col min="3587" max="3587" width="9.83203125" style="132" customWidth="1"/>
    <col min="3588" max="3588" width="13" style="132" customWidth="1"/>
    <col min="3589" max="3589" width="13.1640625" style="132" customWidth="1"/>
    <col min="3590" max="3590" width="12.33203125" style="132" customWidth="1"/>
    <col min="3591" max="3591" width="11.33203125" style="132" customWidth="1"/>
    <col min="3592" max="3592" width="11.83203125" style="132" customWidth="1"/>
    <col min="3593" max="3593" width="10.83203125" style="132" customWidth="1"/>
    <col min="3594" max="3594" width="13.1640625" style="132" customWidth="1"/>
    <col min="3595" max="3595" width="11.5" style="132" customWidth="1"/>
    <col min="3596" max="3597" width="12.33203125" style="132" customWidth="1"/>
    <col min="3598" max="3598" width="13.1640625" style="132" customWidth="1"/>
    <col min="3599" max="3599" width="18.5" style="132" customWidth="1"/>
    <col min="3600" max="3600" width="7.33203125" style="132" customWidth="1"/>
    <col min="3601" max="3839" width="9.33203125" style="132"/>
    <col min="3840" max="3840" width="5.33203125" style="132" customWidth="1"/>
    <col min="3841" max="3841" width="5.5" style="132" customWidth="1"/>
    <col min="3842" max="3842" width="40.83203125" style="132" customWidth="1"/>
    <col min="3843" max="3843" width="9.83203125" style="132" customWidth="1"/>
    <col min="3844" max="3844" width="13" style="132" customWidth="1"/>
    <col min="3845" max="3845" width="13.1640625" style="132" customWidth="1"/>
    <col min="3846" max="3846" width="12.33203125" style="132" customWidth="1"/>
    <col min="3847" max="3847" width="11.33203125" style="132" customWidth="1"/>
    <col min="3848" max="3848" width="11.83203125" style="132" customWidth="1"/>
    <col min="3849" max="3849" width="10.83203125" style="132" customWidth="1"/>
    <col min="3850" max="3850" width="13.1640625" style="132" customWidth="1"/>
    <col min="3851" max="3851" width="11.5" style="132" customWidth="1"/>
    <col min="3852" max="3853" width="12.33203125" style="132" customWidth="1"/>
    <col min="3854" max="3854" width="13.1640625" style="132" customWidth="1"/>
    <col min="3855" max="3855" width="18.5" style="132" customWidth="1"/>
    <col min="3856" max="3856" width="7.33203125" style="132" customWidth="1"/>
    <col min="3857" max="4095" width="9.33203125" style="132"/>
    <col min="4096" max="4096" width="5.33203125" style="132" customWidth="1"/>
    <col min="4097" max="4097" width="5.5" style="132" customWidth="1"/>
    <col min="4098" max="4098" width="40.83203125" style="132" customWidth="1"/>
    <col min="4099" max="4099" width="9.83203125" style="132" customWidth="1"/>
    <col min="4100" max="4100" width="13" style="132" customWidth="1"/>
    <col min="4101" max="4101" width="13.1640625" style="132" customWidth="1"/>
    <col min="4102" max="4102" width="12.33203125" style="132" customWidth="1"/>
    <col min="4103" max="4103" width="11.33203125" style="132" customWidth="1"/>
    <col min="4104" max="4104" width="11.83203125" style="132" customWidth="1"/>
    <col min="4105" max="4105" width="10.83203125" style="132" customWidth="1"/>
    <col min="4106" max="4106" width="13.1640625" style="132" customWidth="1"/>
    <col min="4107" max="4107" width="11.5" style="132" customWidth="1"/>
    <col min="4108" max="4109" width="12.33203125" style="132" customWidth="1"/>
    <col min="4110" max="4110" width="13.1640625" style="132" customWidth="1"/>
    <col min="4111" max="4111" width="18.5" style="132" customWidth="1"/>
    <col min="4112" max="4112" width="7.33203125" style="132" customWidth="1"/>
    <col min="4113" max="4351" width="9.33203125" style="132"/>
    <col min="4352" max="4352" width="5.33203125" style="132" customWidth="1"/>
    <col min="4353" max="4353" width="5.5" style="132" customWidth="1"/>
    <col min="4354" max="4354" width="40.83203125" style="132" customWidth="1"/>
    <col min="4355" max="4355" width="9.83203125" style="132" customWidth="1"/>
    <col min="4356" max="4356" width="13" style="132" customWidth="1"/>
    <col min="4357" max="4357" width="13.1640625" style="132" customWidth="1"/>
    <col min="4358" max="4358" width="12.33203125" style="132" customWidth="1"/>
    <col min="4359" max="4359" width="11.33203125" style="132" customWidth="1"/>
    <col min="4360" max="4360" width="11.83203125" style="132" customWidth="1"/>
    <col min="4361" max="4361" width="10.83203125" style="132" customWidth="1"/>
    <col min="4362" max="4362" width="13.1640625" style="132" customWidth="1"/>
    <col min="4363" max="4363" width="11.5" style="132" customWidth="1"/>
    <col min="4364" max="4365" width="12.33203125" style="132" customWidth="1"/>
    <col min="4366" max="4366" width="13.1640625" style="132" customWidth="1"/>
    <col min="4367" max="4367" width="18.5" style="132" customWidth="1"/>
    <col min="4368" max="4368" width="7.33203125" style="132" customWidth="1"/>
    <col min="4369" max="4607" width="9.33203125" style="132"/>
    <col min="4608" max="4608" width="5.33203125" style="132" customWidth="1"/>
    <col min="4609" max="4609" width="5.5" style="132" customWidth="1"/>
    <col min="4610" max="4610" width="40.83203125" style="132" customWidth="1"/>
    <col min="4611" max="4611" width="9.83203125" style="132" customWidth="1"/>
    <col min="4612" max="4612" width="13" style="132" customWidth="1"/>
    <col min="4613" max="4613" width="13.1640625" style="132" customWidth="1"/>
    <col min="4614" max="4614" width="12.33203125" style="132" customWidth="1"/>
    <col min="4615" max="4615" width="11.33203125" style="132" customWidth="1"/>
    <col min="4616" max="4616" width="11.83203125" style="132" customWidth="1"/>
    <col min="4617" max="4617" width="10.83203125" style="132" customWidth="1"/>
    <col min="4618" max="4618" width="13.1640625" style="132" customWidth="1"/>
    <col min="4619" max="4619" width="11.5" style="132" customWidth="1"/>
    <col min="4620" max="4621" width="12.33203125" style="132" customWidth="1"/>
    <col min="4622" max="4622" width="13.1640625" style="132" customWidth="1"/>
    <col min="4623" max="4623" width="18.5" style="132" customWidth="1"/>
    <col min="4624" max="4624" width="7.33203125" style="132" customWidth="1"/>
    <col min="4625" max="4863" width="9.33203125" style="132"/>
    <col min="4864" max="4864" width="5.33203125" style="132" customWidth="1"/>
    <col min="4865" max="4865" width="5.5" style="132" customWidth="1"/>
    <col min="4866" max="4866" width="40.83203125" style="132" customWidth="1"/>
    <col min="4867" max="4867" width="9.83203125" style="132" customWidth="1"/>
    <col min="4868" max="4868" width="13" style="132" customWidth="1"/>
    <col min="4869" max="4869" width="13.1640625" style="132" customWidth="1"/>
    <col min="4870" max="4870" width="12.33203125" style="132" customWidth="1"/>
    <col min="4871" max="4871" width="11.33203125" style="132" customWidth="1"/>
    <col min="4872" max="4872" width="11.83203125" style="132" customWidth="1"/>
    <col min="4873" max="4873" width="10.83203125" style="132" customWidth="1"/>
    <col min="4874" max="4874" width="13.1640625" style="132" customWidth="1"/>
    <col min="4875" max="4875" width="11.5" style="132" customWidth="1"/>
    <col min="4876" max="4877" width="12.33203125" style="132" customWidth="1"/>
    <col min="4878" max="4878" width="13.1640625" style="132" customWidth="1"/>
    <col min="4879" max="4879" width="18.5" style="132" customWidth="1"/>
    <col min="4880" max="4880" width="7.33203125" style="132" customWidth="1"/>
    <col min="4881" max="5119" width="9.33203125" style="132"/>
    <col min="5120" max="5120" width="5.33203125" style="132" customWidth="1"/>
    <col min="5121" max="5121" width="5.5" style="132" customWidth="1"/>
    <col min="5122" max="5122" width="40.83203125" style="132" customWidth="1"/>
    <col min="5123" max="5123" width="9.83203125" style="132" customWidth="1"/>
    <col min="5124" max="5124" width="13" style="132" customWidth="1"/>
    <col min="5125" max="5125" width="13.1640625" style="132" customWidth="1"/>
    <col min="5126" max="5126" width="12.33203125" style="132" customWidth="1"/>
    <col min="5127" max="5127" width="11.33203125" style="132" customWidth="1"/>
    <col min="5128" max="5128" width="11.83203125" style="132" customWidth="1"/>
    <col min="5129" max="5129" width="10.83203125" style="132" customWidth="1"/>
    <col min="5130" max="5130" width="13.1640625" style="132" customWidth="1"/>
    <col min="5131" max="5131" width="11.5" style="132" customWidth="1"/>
    <col min="5132" max="5133" width="12.33203125" style="132" customWidth="1"/>
    <col min="5134" max="5134" width="13.1640625" style="132" customWidth="1"/>
    <col min="5135" max="5135" width="18.5" style="132" customWidth="1"/>
    <col min="5136" max="5136" width="7.33203125" style="132" customWidth="1"/>
    <col min="5137" max="5375" width="9.33203125" style="132"/>
    <col min="5376" max="5376" width="5.33203125" style="132" customWidth="1"/>
    <col min="5377" max="5377" width="5.5" style="132" customWidth="1"/>
    <col min="5378" max="5378" width="40.83203125" style="132" customWidth="1"/>
    <col min="5379" max="5379" width="9.83203125" style="132" customWidth="1"/>
    <col min="5380" max="5380" width="13" style="132" customWidth="1"/>
    <col min="5381" max="5381" width="13.1640625" style="132" customWidth="1"/>
    <col min="5382" max="5382" width="12.33203125" style="132" customWidth="1"/>
    <col min="5383" max="5383" width="11.33203125" style="132" customWidth="1"/>
    <col min="5384" max="5384" width="11.83203125" style="132" customWidth="1"/>
    <col min="5385" max="5385" width="10.83203125" style="132" customWidth="1"/>
    <col min="5386" max="5386" width="13.1640625" style="132" customWidth="1"/>
    <col min="5387" max="5387" width="11.5" style="132" customWidth="1"/>
    <col min="5388" max="5389" width="12.33203125" style="132" customWidth="1"/>
    <col min="5390" max="5390" width="13.1640625" style="132" customWidth="1"/>
    <col min="5391" max="5391" width="18.5" style="132" customWidth="1"/>
    <col min="5392" max="5392" width="7.33203125" style="132" customWidth="1"/>
    <col min="5393" max="5631" width="9.33203125" style="132"/>
    <col min="5632" max="5632" width="5.33203125" style="132" customWidth="1"/>
    <col min="5633" max="5633" width="5.5" style="132" customWidth="1"/>
    <col min="5634" max="5634" width="40.83203125" style="132" customWidth="1"/>
    <col min="5635" max="5635" width="9.83203125" style="132" customWidth="1"/>
    <col min="5636" max="5636" width="13" style="132" customWidth="1"/>
    <col min="5637" max="5637" width="13.1640625" style="132" customWidth="1"/>
    <col min="5638" max="5638" width="12.33203125" style="132" customWidth="1"/>
    <col min="5639" max="5639" width="11.33203125" style="132" customWidth="1"/>
    <col min="5640" max="5640" width="11.83203125" style="132" customWidth="1"/>
    <col min="5641" max="5641" width="10.83203125" style="132" customWidth="1"/>
    <col min="5642" max="5642" width="13.1640625" style="132" customWidth="1"/>
    <col min="5643" max="5643" width="11.5" style="132" customWidth="1"/>
    <col min="5644" max="5645" width="12.33203125" style="132" customWidth="1"/>
    <col min="5646" max="5646" width="13.1640625" style="132" customWidth="1"/>
    <col min="5647" max="5647" width="18.5" style="132" customWidth="1"/>
    <col min="5648" max="5648" width="7.33203125" style="132" customWidth="1"/>
    <col min="5649" max="5887" width="9.33203125" style="132"/>
    <col min="5888" max="5888" width="5.33203125" style="132" customWidth="1"/>
    <col min="5889" max="5889" width="5.5" style="132" customWidth="1"/>
    <col min="5890" max="5890" width="40.83203125" style="132" customWidth="1"/>
    <col min="5891" max="5891" width="9.83203125" style="132" customWidth="1"/>
    <col min="5892" max="5892" width="13" style="132" customWidth="1"/>
    <col min="5893" max="5893" width="13.1640625" style="132" customWidth="1"/>
    <col min="5894" max="5894" width="12.33203125" style="132" customWidth="1"/>
    <col min="5895" max="5895" width="11.33203125" style="132" customWidth="1"/>
    <col min="5896" max="5896" width="11.83203125" style="132" customWidth="1"/>
    <col min="5897" max="5897" width="10.83203125" style="132" customWidth="1"/>
    <col min="5898" max="5898" width="13.1640625" style="132" customWidth="1"/>
    <col min="5899" max="5899" width="11.5" style="132" customWidth="1"/>
    <col min="5900" max="5901" width="12.33203125" style="132" customWidth="1"/>
    <col min="5902" max="5902" width="13.1640625" style="132" customWidth="1"/>
    <col min="5903" max="5903" width="18.5" style="132" customWidth="1"/>
    <col min="5904" max="5904" width="7.33203125" style="132" customWidth="1"/>
    <col min="5905" max="6143" width="9.33203125" style="132"/>
    <col min="6144" max="6144" width="5.33203125" style="132" customWidth="1"/>
    <col min="6145" max="6145" width="5.5" style="132" customWidth="1"/>
    <col min="6146" max="6146" width="40.83203125" style="132" customWidth="1"/>
    <col min="6147" max="6147" width="9.83203125" style="132" customWidth="1"/>
    <col min="6148" max="6148" width="13" style="132" customWidth="1"/>
    <col min="6149" max="6149" width="13.1640625" style="132" customWidth="1"/>
    <col min="6150" max="6150" width="12.33203125" style="132" customWidth="1"/>
    <col min="6151" max="6151" width="11.33203125" style="132" customWidth="1"/>
    <col min="6152" max="6152" width="11.83203125" style="132" customWidth="1"/>
    <col min="6153" max="6153" width="10.83203125" style="132" customWidth="1"/>
    <col min="6154" max="6154" width="13.1640625" style="132" customWidth="1"/>
    <col min="6155" max="6155" width="11.5" style="132" customWidth="1"/>
    <col min="6156" max="6157" width="12.33203125" style="132" customWidth="1"/>
    <col min="6158" max="6158" width="13.1640625" style="132" customWidth="1"/>
    <col min="6159" max="6159" width="18.5" style="132" customWidth="1"/>
    <col min="6160" max="6160" width="7.33203125" style="132" customWidth="1"/>
    <col min="6161" max="6399" width="9.33203125" style="132"/>
    <col min="6400" max="6400" width="5.33203125" style="132" customWidth="1"/>
    <col min="6401" max="6401" width="5.5" style="132" customWidth="1"/>
    <col min="6402" max="6402" width="40.83203125" style="132" customWidth="1"/>
    <col min="6403" max="6403" width="9.83203125" style="132" customWidth="1"/>
    <col min="6404" max="6404" width="13" style="132" customWidth="1"/>
    <col min="6405" max="6405" width="13.1640625" style="132" customWidth="1"/>
    <col min="6406" max="6406" width="12.33203125" style="132" customWidth="1"/>
    <col min="6407" max="6407" width="11.33203125" style="132" customWidth="1"/>
    <col min="6408" max="6408" width="11.83203125" style="132" customWidth="1"/>
    <col min="6409" max="6409" width="10.83203125" style="132" customWidth="1"/>
    <col min="6410" max="6410" width="13.1640625" style="132" customWidth="1"/>
    <col min="6411" max="6411" width="11.5" style="132" customWidth="1"/>
    <col min="6412" max="6413" width="12.33203125" style="132" customWidth="1"/>
    <col min="6414" max="6414" width="13.1640625" style="132" customWidth="1"/>
    <col min="6415" max="6415" width="18.5" style="132" customWidth="1"/>
    <col min="6416" max="6416" width="7.33203125" style="132" customWidth="1"/>
    <col min="6417" max="6655" width="9.33203125" style="132"/>
    <col min="6656" max="6656" width="5.33203125" style="132" customWidth="1"/>
    <col min="6657" max="6657" width="5.5" style="132" customWidth="1"/>
    <col min="6658" max="6658" width="40.83203125" style="132" customWidth="1"/>
    <col min="6659" max="6659" width="9.83203125" style="132" customWidth="1"/>
    <col min="6660" max="6660" width="13" style="132" customWidth="1"/>
    <col min="6661" max="6661" width="13.1640625" style="132" customWidth="1"/>
    <col min="6662" max="6662" width="12.33203125" style="132" customWidth="1"/>
    <col min="6663" max="6663" width="11.33203125" style="132" customWidth="1"/>
    <col min="6664" max="6664" width="11.83203125" style="132" customWidth="1"/>
    <col min="6665" max="6665" width="10.83203125" style="132" customWidth="1"/>
    <col min="6666" max="6666" width="13.1640625" style="132" customWidth="1"/>
    <col min="6667" max="6667" width="11.5" style="132" customWidth="1"/>
    <col min="6668" max="6669" width="12.33203125" style="132" customWidth="1"/>
    <col min="6670" max="6670" width="13.1640625" style="132" customWidth="1"/>
    <col min="6671" max="6671" width="18.5" style="132" customWidth="1"/>
    <col min="6672" max="6672" width="7.33203125" style="132" customWidth="1"/>
    <col min="6673" max="6911" width="9.33203125" style="132"/>
    <col min="6912" max="6912" width="5.33203125" style="132" customWidth="1"/>
    <col min="6913" max="6913" width="5.5" style="132" customWidth="1"/>
    <col min="6914" max="6914" width="40.83203125" style="132" customWidth="1"/>
    <col min="6915" max="6915" width="9.83203125" style="132" customWidth="1"/>
    <col min="6916" max="6916" width="13" style="132" customWidth="1"/>
    <col min="6917" max="6917" width="13.1640625" style="132" customWidth="1"/>
    <col min="6918" max="6918" width="12.33203125" style="132" customWidth="1"/>
    <col min="6919" max="6919" width="11.33203125" style="132" customWidth="1"/>
    <col min="6920" max="6920" width="11.83203125" style="132" customWidth="1"/>
    <col min="6921" max="6921" width="10.83203125" style="132" customWidth="1"/>
    <col min="6922" max="6922" width="13.1640625" style="132" customWidth="1"/>
    <col min="6923" max="6923" width="11.5" style="132" customWidth="1"/>
    <col min="6924" max="6925" width="12.33203125" style="132" customWidth="1"/>
    <col min="6926" max="6926" width="13.1640625" style="132" customWidth="1"/>
    <col min="6927" max="6927" width="18.5" style="132" customWidth="1"/>
    <col min="6928" max="6928" width="7.33203125" style="132" customWidth="1"/>
    <col min="6929" max="7167" width="9.33203125" style="132"/>
    <col min="7168" max="7168" width="5.33203125" style="132" customWidth="1"/>
    <col min="7169" max="7169" width="5.5" style="132" customWidth="1"/>
    <col min="7170" max="7170" width="40.83203125" style="132" customWidth="1"/>
    <col min="7171" max="7171" width="9.83203125" style="132" customWidth="1"/>
    <col min="7172" max="7172" width="13" style="132" customWidth="1"/>
    <col min="7173" max="7173" width="13.1640625" style="132" customWidth="1"/>
    <col min="7174" max="7174" width="12.33203125" style="132" customWidth="1"/>
    <col min="7175" max="7175" width="11.33203125" style="132" customWidth="1"/>
    <col min="7176" max="7176" width="11.83203125" style="132" customWidth="1"/>
    <col min="7177" max="7177" width="10.83203125" style="132" customWidth="1"/>
    <col min="7178" max="7178" width="13.1640625" style="132" customWidth="1"/>
    <col min="7179" max="7179" width="11.5" style="132" customWidth="1"/>
    <col min="7180" max="7181" width="12.33203125" style="132" customWidth="1"/>
    <col min="7182" max="7182" width="13.1640625" style="132" customWidth="1"/>
    <col min="7183" max="7183" width="18.5" style="132" customWidth="1"/>
    <col min="7184" max="7184" width="7.33203125" style="132" customWidth="1"/>
    <col min="7185" max="7423" width="9.33203125" style="132"/>
    <col min="7424" max="7424" width="5.33203125" style="132" customWidth="1"/>
    <col min="7425" max="7425" width="5.5" style="132" customWidth="1"/>
    <col min="7426" max="7426" width="40.83203125" style="132" customWidth="1"/>
    <col min="7427" max="7427" width="9.83203125" style="132" customWidth="1"/>
    <col min="7428" max="7428" width="13" style="132" customWidth="1"/>
    <col min="7429" max="7429" width="13.1640625" style="132" customWidth="1"/>
    <col min="7430" max="7430" width="12.33203125" style="132" customWidth="1"/>
    <col min="7431" max="7431" width="11.33203125" style="132" customWidth="1"/>
    <col min="7432" max="7432" width="11.83203125" style="132" customWidth="1"/>
    <col min="7433" max="7433" width="10.83203125" style="132" customWidth="1"/>
    <col min="7434" max="7434" width="13.1640625" style="132" customWidth="1"/>
    <col min="7435" max="7435" width="11.5" style="132" customWidth="1"/>
    <col min="7436" max="7437" width="12.33203125" style="132" customWidth="1"/>
    <col min="7438" max="7438" width="13.1640625" style="132" customWidth="1"/>
    <col min="7439" max="7439" width="18.5" style="132" customWidth="1"/>
    <col min="7440" max="7440" width="7.33203125" style="132" customWidth="1"/>
    <col min="7441" max="7679" width="9.33203125" style="132"/>
    <col min="7680" max="7680" width="5.33203125" style="132" customWidth="1"/>
    <col min="7681" max="7681" width="5.5" style="132" customWidth="1"/>
    <col min="7682" max="7682" width="40.83203125" style="132" customWidth="1"/>
    <col min="7683" max="7683" width="9.83203125" style="132" customWidth="1"/>
    <col min="7684" max="7684" width="13" style="132" customWidth="1"/>
    <col min="7685" max="7685" width="13.1640625" style="132" customWidth="1"/>
    <col min="7686" max="7686" width="12.33203125" style="132" customWidth="1"/>
    <col min="7687" max="7687" width="11.33203125" style="132" customWidth="1"/>
    <col min="7688" max="7688" width="11.83203125" style="132" customWidth="1"/>
    <col min="7689" max="7689" width="10.83203125" style="132" customWidth="1"/>
    <col min="7690" max="7690" width="13.1640625" style="132" customWidth="1"/>
    <col min="7691" max="7691" width="11.5" style="132" customWidth="1"/>
    <col min="7692" max="7693" width="12.33203125" style="132" customWidth="1"/>
    <col min="7694" max="7694" width="13.1640625" style="132" customWidth="1"/>
    <col min="7695" max="7695" width="18.5" style="132" customWidth="1"/>
    <col min="7696" max="7696" width="7.33203125" style="132" customWidth="1"/>
    <col min="7697" max="7935" width="9.33203125" style="132"/>
    <col min="7936" max="7936" width="5.33203125" style="132" customWidth="1"/>
    <col min="7937" max="7937" width="5.5" style="132" customWidth="1"/>
    <col min="7938" max="7938" width="40.83203125" style="132" customWidth="1"/>
    <col min="7939" max="7939" width="9.83203125" style="132" customWidth="1"/>
    <col min="7940" max="7940" width="13" style="132" customWidth="1"/>
    <col min="7941" max="7941" width="13.1640625" style="132" customWidth="1"/>
    <col min="7942" max="7942" width="12.33203125" style="132" customWidth="1"/>
    <col min="7943" max="7943" width="11.33203125" style="132" customWidth="1"/>
    <col min="7944" max="7944" width="11.83203125" style="132" customWidth="1"/>
    <col min="7945" max="7945" width="10.83203125" style="132" customWidth="1"/>
    <col min="7946" max="7946" width="13.1640625" style="132" customWidth="1"/>
    <col min="7947" max="7947" width="11.5" style="132" customWidth="1"/>
    <col min="7948" max="7949" width="12.33203125" style="132" customWidth="1"/>
    <col min="7950" max="7950" width="13.1640625" style="132" customWidth="1"/>
    <col min="7951" max="7951" width="18.5" style="132" customWidth="1"/>
    <col min="7952" max="7952" width="7.33203125" style="132" customWidth="1"/>
    <col min="7953" max="8191" width="9.33203125" style="132"/>
    <col min="8192" max="8192" width="5.33203125" style="132" customWidth="1"/>
    <col min="8193" max="8193" width="5.5" style="132" customWidth="1"/>
    <col min="8194" max="8194" width="40.83203125" style="132" customWidth="1"/>
    <col min="8195" max="8195" width="9.83203125" style="132" customWidth="1"/>
    <col min="8196" max="8196" width="13" style="132" customWidth="1"/>
    <col min="8197" max="8197" width="13.1640625" style="132" customWidth="1"/>
    <col min="8198" max="8198" width="12.33203125" style="132" customWidth="1"/>
    <col min="8199" max="8199" width="11.33203125" style="132" customWidth="1"/>
    <col min="8200" max="8200" width="11.83203125" style="132" customWidth="1"/>
    <col min="8201" max="8201" width="10.83203125" style="132" customWidth="1"/>
    <col min="8202" max="8202" width="13.1640625" style="132" customWidth="1"/>
    <col min="8203" max="8203" width="11.5" style="132" customWidth="1"/>
    <col min="8204" max="8205" width="12.33203125" style="132" customWidth="1"/>
    <col min="8206" max="8206" width="13.1640625" style="132" customWidth="1"/>
    <col min="8207" max="8207" width="18.5" style="132" customWidth="1"/>
    <col min="8208" max="8208" width="7.33203125" style="132" customWidth="1"/>
    <col min="8209" max="8447" width="9.33203125" style="132"/>
    <col min="8448" max="8448" width="5.33203125" style="132" customWidth="1"/>
    <col min="8449" max="8449" width="5.5" style="132" customWidth="1"/>
    <col min="8450" max="8450" width="40.83203125" style="132" customWidth="1"/>
    <col min="8451" max="8451" width="9.83203125" style="132" customWidth="1"/>
    <col min="8452" max="8452" width="13" style="132" customWidth="1"/>
    <col min="8453" max="8453" width="13.1640625" style="132" customWidth="1"/>
    <col min="8454" max="8454" width="12.33203125" style="132" customWidth="1"/>
    <col min="8455" max="8455" width="11.33203125" style="132" customWidth="1"/>
    <col min="8456" max="8456" width="11.83203125" style="132" customWidth="1"/>
    <col min="8457" max="8457" width="10.83203125" style="132" customWidth="1"/>
    <col min="8458" max="8458" width="13.1640625" style="132" customWidth="1"/>
    <col min="8459" max="8459" width="11.5" style="132" customWidth="1"/>
    <col min="8460" max="8461" width="12.33203125" style="132" customWidth="1"/>
    <col min="8462" max="8462" width="13.1640625" style="132" customWidth="1"/>
    <col min="8463" max="8463" width="18.5" style="132" customWidth="1"/>
    <col min="8464" max="8464" width="7.33203125" style="132" customWidth="1"/>
    <col min="8465" max="8703" width="9.33203125" style="132"/>
    <col min="8704" max="8704" width="5.33203125" style="132" customWidth="1"/>
    <col min="8705" max="8705" width="5.5" style="132" customWidth="1"/>
    <col min="8706" max="8706" width="40.83203125" style="132" customWidth="1"/>
    <col min="8707" max="8707" width="9.83203125" style="132" customWidth="1"/>
    <col min="8708" max="8708" width="13" style="132" customWidth="1"/>
    <col min="8709" max="8709" width="13.1640625" style="132" customWidth="1"/>
    <col min="8710" max="8710" width="12.33203125" style="132" customWidth="1"/>
    <col min="8711" max="8711" width="11.33203125" style="132" customWidth="1"/>
    <col min="8712" max="8712" width="11.83203125" style="132" customWidth="1"/>
    <col min="8713" max="8713" width="10.83203125" style="132" customWidth="1"/>
    <col min="8714" max="8714" width="13.1640625" style="132" customWidth="1"/>
    <col min="8715" max="8715" width="11.5" style="132" customWidth="1"/>
    <col min="8716" max="8717" width="12.33203125" style="132" customWidth="1"/>
    <col min="8718" max="8718" width="13.1640625" style="132" customWidth="1"/>
    <col min="8719" max="8719" width="18.5" style="132" customWidth="1"/>
    <col min="8720" max="8720" width="7.33203125" style="132" customWidth="1"/>
    <col min="8721" max="8959" width="9.33203125" style="132"/>
    <col min="8960" max="8960" width="5.33203125" style="132" customWidth="1"/>
    <col min="8961" max="8961" width="5.5" style="132" customWidth="1"/>
    <col min="8962" max="8962" width="40.83203125" style="132" customWidth="1"/>
    <col min="8963" max="8963" width="9.83203125" style="132" customWidth="1"/>
    <col min="8964" max="8964" width="13" style="132" customWidth="1"/>
    <col min="8965" max="8965" width="13.1640625" style="132" customWidth="1"/>
    <col min="8966" max="8966" width="12.33203125" style="132" customWidth="1"/>
    <col min="8967" max="8967" width="11.33203125" style="132" customWidth="1"/>
    <col min="8968" max="8968" width="11.83203125" style="132" customWidth="1"/>
    <col min="8969" max="8969" width="10.83203125" style="132" customWidth="1"/>
    <col min="8970" max="8970" width="13.1640625" style="132" customWidth="1"/>
    <col min="8971" max="8971" width="11.5" style="132" customWidth="1"/>
    <col min="8972" max="8973" width="12.33203125" style="132" customWidth="1"/>
    <col min="8974" max="8974" width="13.1640625" style="132" customWidth="1"/>
    <col min="8975" max="8975" width="18.5" style="132" customWidth="1"/>
    <col min="8976" max="8976" width="7.33203125" style="132" customWidth="1"/>
    <col min="8977" max="9215" width="9.33203125" style="132"/>
    <col min="9216" max="9216" width="5.33203125" style="132" customWidth="1"/>
    <col min="9217" max="9217" width="5.5" style="132" customWidth="1"/>
    <col min="9218" max="9218" width="40.83203125" style="132" customWidth="1"/>
    <col min="9219" max="9219" width="9.83203125" style="132" customWidth="1"/>
    <col min="9220" max="9220" width="13" style="132" customWidth="1"/>
    <col min="9221" max="9221" width="13.1640625" style="132" customWidth="1"/>
    <col min="9222" max="9222" width="12.33203125" style="132" customWidth="1"/>
    <col min="9223" max="9223" width="11.33203125" style="132" customWidth="1"/>
    <col min="9224" max="9224" width="11.83203125" style="132" customWidth="1"/>
    <col min="9225" max="9225" width="10.83203125" style="132" customWidth="1"/>
    <col min="9226" max="9226" width="13.1640625" style="132" customWidth="1"/>
    <col min="9227" max="9227" width="11.5" style="132" customWidth="1"/>
    <col min="9228" max="9229" width="12.33203125" style="132" customWidth="1"/>
    <col min="9230" max="9230" width="13.1640625" style="132" customWidth="1"/>
    <col min="9231" max="9231" width="18.5" style="132" customWidth="1"/>
    <col min="9232" max="9232" width="7.33203125" style="132" customWidth="1"/>
    <col min="9233" max="9471" width="9.33203125" style="132"/>
    <col min="9472" max="9472" width="5.33203125" style="132" customWidth="1"/>
    <col min="9473" max="9473" width="5.5" style="132" customWidth="1"/>
    <col min="9474" max="9474" width="40.83203125" style="132" customWidth="1"/>
    <col min="9475" max="9475" width="9.83203125" style="132" customWidth="1"/>
    <col min="9476" max="9476" width="13" style="132" customWidth="1"/>
    <col min="9477" max="9477" width="13.1640625" style="132" customWidth="1"/>
    <col min="9478" max="9478" width="12.33203125" style="132" customWidth="1"/>
    <col min="9479" max="9479" width="11.33203125" style="132" customWidth="1"/>
    <col min="9480" max="9480" width="11.83203125" style="132" customWidth="1"/>
    <col min="9481" max="9481" width="10.83203125" style="132" customWidth="1"/>
    <col min="9482" max="9482" width="13.1640625" style="132" customWidth="1"/>
    <col min="9483" max="9483" width="11.5" style="132" customWidth="1"/>
    <col min="9484" max="9485" width="12.33203125" style="132" customWidth="1"/>
    <col min="9486" max="9486" width="13.1640625" style="132" customWidth="1"/>
    <col min="9487" max="9487" width="18.5" style="132" customWidth="1"/>
    <col min="9488" max="9488" width="7.33203125" style="132" customWidth="1"/>
    <col min="9489" max="9727" width="9.33203125" style="132"/>
    <col min="9728" max="9728" width="5.33203125" style="132" customWidth="1"/>
    <col min="9729" max="9729" width="5.5" style="132" customWidth="1"/>
    <col min="9730" max="9730" width="40.83203125" style="132" customWidth="1"/>
    <col min="9731" max="9731" width="9.83203125" style="132" customWidth="1"/>
    <col min="9732" max="9732" width="13" style="132" customWidth="1"/>
    <col min="9733" max="9733" width="13.1640625" style="132" customWidth="1"/>
    <col min="9734" max="9734" width="12.33203125" style="132" customWidth="1"/>
    <col min="9735" max="9735" width="11.33203125" style="132" customWidth="1"/>
    <col min="9736" max="9736" width="11.83203125" style="132" customWidth="1"/>
    <col min="9737" max="9737" width="10.83203125" style="132" customWidth="1"/>
    <col min="9738" max="9738" width="13.1640625" style="132" customWidth="1"/>
    <col min="9739" max="9739" width="11.5" style="132" customWidth="1"/>
    <col min="9740" max="9741" width="12.33203125" style="132" customWidth="1"/>
    <col min="9742" max="9742" width="13.1640625" style="132" customWidth="1"/>
    <col min="9743" max="9743" width="18.5" style="132" customWidth="1"/>
    <col min="9744" max="9744" width="7.33203125" style="132" customWidth="1"/>
    <col min="9745" max="9983" width="9.33203125" style="132"/>
    <col min="9984" max="9984" width="5.33203125" style="132" customWidth="1"/>
    <col min="9985" max="9985" width="5.5" style="132" customWidth="1"/>
    <col min="9986" max="9986" width="40.83203125" style="132" customWidth="1"/>
    <col min="9987" max="9987" width="9.83203125" style="132" customWidth="1"/>
    <col min="9988" max="9988" width="13" style="132" customWidth="1"/>
    <col min="9989" max="9989" width="13.1640625" style="132" customWidth="1"/>
    <col min="9990" max="9990" width="12.33203125" style="132" customWidth="1"/>
    <col min="9991" max="9991" width="11.33203125" style="132" customWidth="1"/>
    <col min="9992" max="9992" width="11.83203125" style="132" customWidth="1"/>
    <col min="9993" max="9993" width="10.83203125" style="132" customWidth="1"/>
    <col min="9994" max="9994" width="13.1640625" style="132" customWidth="1"/>
    <col min="9995" max="9995" width="11.5" style="132" customWidth="1"/>
    <col min="9996" max="9997" width="12.33203125" style="132" customWidth="1"/>
    <col min="9998" max="9998" width="13.1640625" style="132" customWidth="1"/>
    <col min="9999" max="9999" width="18.5" style="132" customWidth="1"/>
    <col min="10000" max="10000" width="7.33203125" style="132" customWidth="1"/>
    <col min="10001" max="10239" width="9.33203125" style="132"/>
    <col min="10240" max="10240" width="5.33203125" style="132" customWidth="1"/>
    <col min="10241" max="10241" width="5.5" style="132" customWidth="1"/>
    <col min="10242" max="10242" width="40.83203125" style="132" customWidth="1"/>
    <col min="10243" max="10243" width="9.83203125" style="132" customWidth="1"/>
    <col min="10244" max="10244" width="13" style="132" customWidth="1"/>
    <col min="10245" max="10245" width="13.1640625" style="132" customWidth="1"/>
    <col min="10246" max="10246" width="12.33203125" style="132" customWidth="1"/>
    <col min="10247" max="10247" width="11.33203125" style="132" customWidth="1"/>
    <col min="10248" max="10248" width="11.83203125" style="132" customWidth="1"/>
    <col min="10249" max="10249" width="10.83203125" style="132" customWidth="1"/>
    <col min="10250" max="10250" width="13.1640625" style="132" customWidth="1"/>
    <col min="10251" max="10251" width="11.5" style="132" customWidth="1"/>
    <col min="10252" max="10253" width="12.33203125" style="132" customWidth="1"/>
    <col min="10254" max="10254" width="13.1640625" style="132" customWidth="1"/>
    <col min="10255" max="10255" width="18.5" style="132" customWidth="1"/>
    <col min="10256" max="10256" width="7.33203125" style="132" customWidth="1"/>
    <col min="10257" max="10495" width="9.33203125" style="132"/>
    <col min="10496" max="10496" width="5.33203125" style="132" customWidth="1"/>
    <col min="10497" max="10497" width="5.5" style="132" customWidth="1"/>
    <col min="10498" max="10498" width="40.83203125" style="132" customWidth="1"/>
    <col min="10499" max="10499" width="9.83203125" style="132" customWidth="1"/>
    <col min="10500" max="10500" width="13" style="132" customWidth="1"/>
    <col min="10501" max="10501" width="13.1640625" style="132" customWidth="1"/>
    <col min="10502" max="10502" width="12.33203125" style="132" customWidth="1"/>
    <col min="10503" max="10503" width="11.33203125" style="132" customWidth="1"/>
    <col min="10504" max="10504" width="11.83203125" style="132" customWidth="1"/>
    <col min="10505" max="10505" width="10.83203125" style="132" customWidth="1"/>
    <col min="10506" max="10506" width="13.1640625" style="132" customWidth="1"/>
    <col min="10507" max="10507" width="11.5" style="132" customWidth="1"/>
    <col min="10508" max="10509" width="12.33203125" style="132" customWidth="1"/>
    <col min="10510" max="10510" width="13.1640625" style="132" customWidth="1"/>
    <col min="10511" max="10511" width="18.5" style="132" customWidth="1"/>
    <col min="10512" max="10512" width="7.33203125" style="132" customWidth="1"/>
    <col min="10513" max="10751" width="9.33203125" style="132"/>
    <col min="10752" max="10752" width="5.33203125" style="132" customWidth="1"/>
    <col min="10753" max="10753" width="5.5" style="132" customWidth="1"/>
    <col min="10754" max="10754" width="40.83203125" style="132" customWidth="1"/>
    <col min="10755" max="10755" width="9.83203125" style="132" customWidth="1"/>
    <col min="10756" max="10756" width="13" style="132" customWidth="1"/>
    <col min="10757" max="10757" width="13.1640625" style="132" customWidth="1"/>
    <col min="10758" max="10758" width="12.33203125" style="132" customWidth="1"/>
    <col min="10759" max="10759" width="11.33203125" style="132" customWidth="1"/>
    <col min="10760" max="10760" width="11.83203125" style="132" customWidth="1"/>
    <col min="10761" max="10761" width="10.83203125" style="132" customWidth="1"/>
    <col min="10762" max="10762" width="13.1640625" style="132" customWidth="1"/>
    <col min="10763" max="10763" width="11.5" style="132" customWidth="1"/>
    <col min="10764" max="10765" width="12.33203125" style="132" customWidth="1"/>
    <col min="10766" max="10766" width="13.1640625" style="132" customWidth="1"/>
    <col min="10767" max="10767" width="18.5" style="132" customWidth="1"/>
    <col min="10768" max="10768" width="7.33203125" style="132" customWidth="1"/>
    <col min="10769" max="11007" width="9.33203125" style="132"/>
    <col min="11008" max="11008" width="5.33203125" style="132" customWidth="1"/>
    <col min="11009" max="11009" width="5.5" style="132" customWidth="1"/>
    <col min="11010" max="11010" width="40.83203125" style="132" customWidth="1"/>
    <col min="11011" max="11011" width="9.83203125" style="132" customWidth="1"/>
    <col min="11012" max="11012" width="13" style="132" customWidth="1"/>
    <col min="11013" max="11013" width="13.1640625" style="132" customWidth="1"/>
    <col min="11014" max="11014" width="12.33203125" style="132" customWidth="1"/>
    <col min="11015" max="11015" width="11.33203125" style="132" customWidth="1"/>
    <col min="11016" max="11016" width="11.83203125" style="132" customWidth="1"/>
    <col min="11017" max="11017" width="10.83203125" style="132" customWidth="1"/>
    <col min="11018" max="11018" width="13.1640625" style="132" customWidth="1"/>
    <col min="11019" max="11019" width="11.5" style="132" customWidth="1"/>
    <col min="11020" max="11021" width="12.33203125" style="132" customWidth="1"/>
    <col min="11022" max="11022" width="13.1640625" style="132" customWidth="1"/>
    <col min="11023" max="11023" width="18.5" style="132" customWidth="1"/>
    <col min="11024" max="11024" width="7.33203125" style="132" customWidth="1"/>
    <col min="11025" max="11263" width="9.33203125" style="132"/>
    <col min="11264" max="11264" width="5.33203125" style="132" customWidth="1"/>
    <col min="11265" max="11265" width="5.5" style="132" customWidth="1"/>
    <col min="11266" max="11266" width="40.83203125" style="132" customWidth="1"/>
    <col min="11267" max="11267" width="9.83203125" style="132" customWidth="1"/>
    <col min="11268" max="11268" width="13" style="132" customWidth="1"/>
    <col min="11269" max="11269" width="13.1640625" style="132" customWidth="1"/>
    <col min="11270" max="11270" width="12.33203125" style="132" customWidth="1"/>
    <col min="11271" max="11271" width="11.33203125" style="132" customWidth="1"/>
    <col min="11272" max="11272" width="11.83203125" style="132" customWidth="1"/>
    <col min="11273" max="11273" width="10.83203125" style="132" customWidth="1"/>
    <col min="11274" max="11274" width="13.1640625" style="132" customWidth="1"/>
    <col min="11275" max="11275" width="11.5" style="132" customWidth="1"/>
    <col min="11276" max="11277" width="12.33203125" style="132" customWidth="1"/>
    <col min="11278" max="11278" width="13.1640625" style="132" customWidth="1"/>
    <col min="11279" max="11279" width="18.5" style="132" customWidth="1"/>
    <col min="11280" max="11280" width="7.33203125" style="132" customWidth="1"/>
    <col min="11281" max="11519" width="9.33203125" style="132"/>
    <col min="11520" max="11520" width="5.33203125" style="132" customWidth="1"/>
    <col min="11521" max="11521" width="5.5" style="132" customWidth="1"/>
    <col min="11522" max="11522" width="40.83203125" style="132" customWidth="1"/>
    <col min="11523" max="11523" width="9.83203125" style="132" customWidth="1"/>
    <col min="11524" max="11524" width="13" style="132" customWidth="1"/>
    <col min="11525" max="11525" width="13.1640625" style="132" customWidth="1"/>
    <col min="11526" max="11526" width="12.33203125" style="132" customWidth="1"/>
    <col min="11527" max="11527" width="11.33203125" style="132" customWidth="1"/>
    <col min="11528" max="11528" width="11.83203125" style="132" customWidth="1"/>
    <col min="11529" max="11529" width="10.83203125" style="132" customWidth="1"/>
    <col min="11530" max="11530" width="13.1640625" style="132" customWidth="1"/>
    <col min="11531" max="11531" width="11.5" style="132" customWidth="1"/>
    <col min="11532" max="11533" width="12.33203125" style="132" customWidth="1"/>
    <col min="11534" max="11534" width="13.1640625" style="132" customWidth="1"/>
    <col min="11535" max="11535" width="18.5" style="132" customWidth="1"/>
    <col min="11536" max="11536" width="7.33203125" style="132" customWidth="1"/>
    <col min="11537" max="11775" width="9.33203125" style="132"/>
    <col min="11776" max="11776" width="5.33203125" style="132" customWidth="1"/>
    <col min="11777" max="11777" width="5.5" style="132" customWidth="1"/>
    <col min="11778" max="11778" width="40.83203125" style="132" customWidth="1"/>
    <col min="11779" max="11779" width="9.83203125" style="132" customWidth="1"/>
    <col min="11780" max="11780" width="13" style="132" customWidth="1"/>
    <col min="11781" max="11781" width="13.1640625" style="132" customWidth="1"/>
    <col min="11782" max="11782" width="12.33203125" style="132" customWidth="1"/>
    <col min="11783" max="11783" width="11.33203125" style="132" customWidth="1"/>
    <col min="11784" max="11784" width="11.83203125" style="132" customWidth="1"/>
    <col min="11785" max="11785" width="10.83203125" style="132" customWidth="1"/>
    <col min="11786" max="11786" width="13.1640625" style="132" customWidth="1"/>
    <col min="11787" max="11787" width="11.5" style="132" customWidth="1"/>
    <col min="11788" max="11789" width="12.33203125" style="132" customWidth="1"/>
    <col min="11790" max="11790" width="13.1640625" style="132" customWidth="1"/>
    <col min="11791" max="11791" width="18.5" style="132" customWidth="1"/>
    <col min="11792" max="11792" width="7.33203125" style="132" customWidth="1"/>
    <col min="11793" max="12031" width="9.33203125" style="132"/>
    <col min="12032" max="12032" width="5.33203125" style="132" customWidth="1"/>
    <col min="12033" max="12033" width="5.5" style="132" customWidth="1"/>
    <col min="12034" max="12034" width="40.83203125" style="132" customWidth="1"/>
    <col min="12035" max="12035" width="9.83203125" style="132" customWidth="1"/>
    <col min="12036" max="12036" width="13" style="132" customWidth="1"/>
    <col min="12037" max="12037" width="13.1640625" style="132" customWidth="1"/>
    <col min="12038" max="12038" width="12.33203125" style="132" customWidth="1"/>
    <col min="12039" max="12039" width="11.33203125" style="132" customWidth="1"/>
    <col min="12040" max="12040" width="11.83203125" style="132" customWidth="1"/>
    <col min="12041" max="12041" width="10.83203125" style="132" customWidth="1"/>
    <col min="12042" max="12042" width="13.1640625" style="132" customWidth="1"/>
    <col min="12043" max="12043" width="11.5" style="132" customWidth="1"/>
    <col min="12044" max="12045" width="12.33203125" style="132" customWidth="1"/>
    <col min="12046" max="12046" width="13.1640625" style="132" customWidth="1"/>
    <col min="12047" max="12047" width="18.5" style="132" customWidth="1"/>
    <col min="12048" max="12048" width="7.33203125" style="132" customWidth="1"/>
    <col min="12049" max="12287" width="9.33203125" style="132"/>
    <col min="12288" max="12288" width="5.33203125" style="132" customWidth="1"/>
    <col min="12289" max="12289" width="5.5" style="132" customWidth="1"/>
    <col min="12290" max="12290" width="40.83203125" style="132" customWidth="1"/>
    <col min="12291" max="12291" width="9.83203125" style="132" customWidth="1"/>
    <col min="12292" max="12292" width="13" style="132" customWidth="1"/>
    <col min="12293" max="12293" width="13.1640625" style="132" customWidth="1"/>
    <col min="12294" max="12294" width="12.33203125" style="132" customWidth="1"/>
    <col min="12295" max="12295" width="11.33203125" style="132" customWidth="1"/>
    <col min="12296" max="12296" width="11.83203125" style="132" customWidth="1"/>
    <col min="12297" max="12297" width="10.83203125" style="132" customWidth="1"/>
    <col min="12298" max="12298" width="13.1640625" style="132" customWidth="1"/>
    <col min="12299" max="12299" width="11.5" style="132" customWidth="1"/>
    <col min="12300" max="12301" width="12.33203125" style="132" customWidth="1"/>
    <col min="12302" max="12302" width="13.1640625" style="132" customWidth="1"/>
    <col min="12303" max="12303" width="18.5" style="132" customWidth="1"/>
    <col min="12304" max="12304" width="7.33203125" style="132" customWidth="1"/>
    <col min="12305" max="12543" width="9.33203125" style="132"/>
    <col min="12544" max="12544" width="5.33203125" style="132" customWidth="1"/>
    <col min="12545" max="12545" width="5.5" style="132" customWidth="1"/>
    <col min="12546" max="12546" width="40.83203125" style="132" customWidth="1"/>
    <col min="12547" max="12547" width="9.83203125" style="132" customWidth="1"/>
    <col min="12548" max="12548" width="13" style="132" customWidth="1"/>
    <col min="12549" max="12549" width="13.1640625" style="132" customWidth="1"/>
    <col min="12550" max="12550" width="12.33203125" style="132" customWidth="1"/>
    <col min="12551" max="12551" width="11.33203125" style="132" customWidth="1"/>
    <col min="12552" max="12552" width="11.83203125" style="132" customWidth="1"/>
    <col min="12553" max="12553" width="10.83203125" style="132" customWidth="1"/>
    <col min="12554" max="12554" width="13.1640625" style="132" customWidth="1"/>
    <col min="12555" max="12555" width="11.5" style="132" customWidth="1"/>
    <col min="12556" max="12557" width="12.33203125" style="132" customWidth="1"/>
    <col min="12558" max="12558" width="13.1640625" style="132" customWidth="1"/>
    <col min="12559" max="12559" width="18.5" style="132" customWidth="1"/>
    <col min="12560" max="12560" width="7.33203125" style="132" customWidth="1"/>
    <col min="12561" max="12799" width="9.33203125" style="132"/>
    <col min="12800" max="12800" width="5.33203125" style="132" customWidth="1"/>
    <col min="12801" max="12801" width="5.5" style="132" customWidth="1"/>
    <col min="12802" max="12802" width="40.83203125" style="132" customWidth="1"/>
    <col min="12803" max="12803" width="9.83203125" style="132" customWidth="1"/>
    <col min="12804" max="12804" width="13" style="132" customWidth="1"/>
    <col min="12805" max="12805" width="13.1640625" style="132" customWidth="1"/>
    <col min="12806" max="12806" width="12.33203125" style="132" customWidth="1"/>
    <col min="12807" max="12807" width="11.33203125" style="132" customWidth="1"/>
    <col min="12808" max="12808" width="11.83203125" style="132" customWidth="1"/>
    <col min="12809" max="12809" width="10.83203125" style="132" customWidth="1"/>
    <col min="12810" max="12810" width="13.1640625" style="132" customWidth="1"/>
    <col min="12811" max="12811" width="11.5" style="132" customWidth="1"/>
    <col min="12812" max="12813" width="12.33203125" style="132" customWidth="1"/>
    <col min="12814" max="12814" width="13.1640625" style="132" customWidth="1"/>
    <col min="12815" max="12815" width="18.5" style="132" customWidth="1"/>
    <col min="12816" max="12816" width="7.33203125" style="132" customWidth="1"/>
    <col min="12817" max="13055" width="9.33203125" style="132"/>
    <col min="13056" max="13056" width="5.33203125" style="132" customWidth="1"/>
    <col min="13057" max="13057" width="5.5" style="132" customWidth="1"/>
    <col min="13058" max="13058" width="40.83203125" style="132" customWidth="1"/>
    <col min="13059" max="13059" width="9.83203125" style="132" customWidth="1"/>
    <col min="13060" max="13060" width="13" style="132" customWidth="1"/>
    <col min="13061" max="13061" width="13.1640625" style="132" customWidth="1"/>
    <col min="13062" max="13062" width="12.33203125" style="132" customWidth="1"/>
    <col min="13063" max="13063" width="11.33203125" style="132" customWidth="1"/>
    <col min="13064" max="13064" width="11.83203125" style="132" customWidth="1"/>
    <col min="13065" max="13065" width="10.83203125" style="132" customWidth="1"/>
    <col min="13066" max="13066" width="13.1640625" style="132" customWidth="1"/>
    <col min="13067" max="13067" width="11.5" style="132" customWidth="1"/>
    <col min="13068" max="13069" width="12.33203125" style="132" customWidth="1"/>
    <col min="13070" max="13070" width="13.1640625" style="132" customWidth="1"/>
    <col min="13071" max="13071" width="18.5" style="132" customWidth="1"/>
    <col min="13072" max="13072" width="7.33203125" style="132" customWidth="1"/>
    <col min="13073" max="13311" width="9.33203125" style="132"/>
    <col min="13312" max="13312" width="5.33203125" style="132" customWidth="1"/>
    <col min="13313" max="13313" width="5.5" style="132" customWidth="1"/>
    <col min="13314" max="13314" width="40.83203125" style="132" customWidth="1"/>
    <col min="13315" max="13315" width="9.83203125" style="132" customWidth="1"/>
    <col min="13316" max="13316" width="13" style="132" customWidth="1"/>
    <col min="13317" max="13317" width="13.1640625" style="132" customWidth="1"/>
    <col min="13318" max="13318" width="12.33203125" style="132" customWidth="1"/>
    <col min="13319" max="13319" width="11.33203125" style="132" customWidth="1"/>
    <col min="13320" max="13320" width="11.83203125" style="132" customWidth="1"/>
    <col min="13321" max="13321" width="10.83203125" style="132" customWidth="1"/>
    <col min="13322" max="13322" width="13.1640625" style="132" customWidth="1"/>
    <col min="13323" max="13323" width="11.5" style="132" customWidth="1"/>
    <col min="13324" max="13325" width="12.33203125" style="132" customWidth="1"/>
    <col min="13326" max="13326" width="13.1640625" style="132" customWidth="1"/>
    <col min="13327" max="13327" width="18.5" style="132" customWidth="1"/>
    <col min="13328" max="13328" width="7.33203125" style="132" customWidth="1"/>
    <col min="13329" max="13567" width="9.33203125" style="132"/>
    <col min="13568" max="13568" width="5.33203125" style="132" customWidth="1"/>
    <col min="13569" max="13569" width="5.5" style="132" customWidth="1"/>
    <col min="13570" max="13570" width="40.83203125" style="132" customWidth="1"/>
    <col min="13571" max="13571" width="9.83203125" style="132" customWidth="1"/>
    <col min="13572" max="13572" width="13" style="132" customWidth="1"/>
    <col min="13573" max="13573" width="13.1640625" style="132" customWidth="1"/>
    <col min="13574" max="13574" width="12.33203125" style="132" customWidth="1"/>
    <col min="13575" max="13575" width="11.33203125" style="132" customWidth="1"/>
    <col min="13576" max="13576" width="11.83203125" style="132" customWidth="1"/>
    <col min="13577" max="13577" width="10.83203125" style="132" customWidth="1"/>
    <col min="13578" max="13578" width="13.1640625" style="132" customWidth="1"/>
    <col min="13579" max="13579" width="11.5" style="132" customWidth="1"/>
    <col min="13580" max="13581" width="12.33203125" style="132" customWidth="1"/>
    <col min="13582" max="13582" width="13.1640625" style="132" customWidth="1"/>
    <col min="13583" max="13583" width="18.5" style="132" customWidth="1"/>
    <col min="13584" max="13584" width="7.33203125" style="132" customWidth="1"/>
    <col min="13585" max="13823" width="9.33203125" style="132"/>
    <col min="13824" max="13824" width="5.33203125" style="132" customWidth="1"/>
    <col min="13825" max="13825" width="5.5" style="132" customWidth="1"/>
    <col min="13826" max="13826" width="40.83203125" style="132" customWidth="1"/>
    <col min="13827" max="13827" width="9.83203125" style="132" customWidth="1"/>
    <col min="13828" max="13828" width="13" style="132" customWidth="1"/>
    <col min="13829" max="13829" width="13.1640625" style="132" customWidth="1"/>
    <col min="13830" max="13830" width="12.33203125" style="132" customWidth="1"/>
    <col min="13831" max="13831" width="11.33203125" style="132" customWidth="1"/>
    <col min="13832" max="13832" width="11.83203125" style="132" customWidth="1"/>
    <col min="13833" max="13833" width="10.83203125" style="132" customWidth="1"/>
    <col min="13834" max="13834" width="13.1640625" style="132" customWidth="1"/>
    <col min="13835" max="13835" width="11.5" style="132" customWidth="1"/>
    <col min="13836" max="13837" width="12.33203125" style="132" customWidth="1"/>
    <col min="13838" max="13838" width="13.1640625" style="132" customWidth="1"/>
    <col min="13839" max="13839" width="18.5" style="132" customWidth="1"/>
    <col min="13840" max="13840" width="7.33203125" style="132" customWidth="1"/>
    <col min="13841" max="14079" width="9.33203125" style="132"/>
    <col min="14080" max="14080" width="5.33203125" style="132" customWidth="1"/>
    <col min="14081" max="14081" width="5.5" style="132" customWidth="1"/>
    <col min="14082" max="14082" width="40.83203125" style="132" customWidth="1"/>
    <col min="14083" max="14083" width="9.83203125" style="132" customWidth="1"/>
    <col min="14084" max="14084" width="13" style="132" customWidth="1"/>
    <col min="14085" max="14085" width="13.1640625" style="132" customWidth="1"/>
    <col min="14086" max="14086" width="12.33203125" style="132" customWidth="1"/>
    <col min="14087" max="14087" width="11.33203125" style="132" customWidth="1"/>
    <col min="14088" max="14088" width="11.83203125" style="132" customWidth="1"/>
    <col min="14089" max="14089" width="10.83203125" style="132" customWidth="1"/>
    <col min="14090" max="14090" width="13.1640625" style="132" customWidth="1"/>
    <col min="14091" max="14091" width="11.5" style="132" customWidth="1"/>
    <col min="14092" max="14093" width="12.33203125" style="132" customWidth="1"/>
    <col min="14094" max="14094" width="13.1640625" style="132" customWidth="1"/>
    <col min="14095" max="14095" width="18.5" style="132" customWidth="1"/>
    <col min="14096" max="14096" width="7.33203125" style="132" customWidth="1"/>
    <col min="14097" max="14335" width="9.33203125" style="132"/>
    <col min="14336" max="14336" width="5.33203125" style="132" customWidth="1"/>
    <col min="14337" max="14337" width="5.5" style="132" customWidth="1"/>
    <col min="14338" max="14338" width="40.83203125" style="132" customWidth="1"/>
    <col min="14339" max="14339" width="9.83203125" style="132" customWidth="1"/>
    <col min="14340" max="14340" width="13" style="132" customWidth="1"/>
    <col min="14341" max="14341" width="13.1640625" style="132" customWidth="1"/>
    <col min="14342" max="14342" width="12.33203125" style="132" customWidth="1"/>
    <col min="14343" max="14343" width="11.33203125" style="132" customWidth="1"/>
    <col min="14344" max="14344" width="11.83203125" style="132" customWidth="1"/>
    <col min="14345" max="14345" width="10.83203125" style="132" customWidth="1"/>
    <col min="14346" max="14346" width="13.1640625" style="132" customWidth="1"/>
    <col min="14347" max="14347" width="11.5" style="132" customWidth="1"/>
    <col min="14348" max="14349" width="12.33203125" style="132" customWidth="1"/>
    <col min="14350" max="14350" width="13.1640625" style="132" customWidth="1"/>
    <col min="14351" max="14351" width="18.5" style="132" customWidth="1"/>
    <col min="14352" max="14352" width="7.33203125" style="132" customWidth="1"/>
    <col min="14353" max="14591" width="9.33203125" style="132"/>
    <col min="14592" max="14592" width="5.33203125" style="132" customWidth="1"/>
    <col min="14593" max="14593" width="5.5" style="132" customWidth="1"/>
    <col min="14594" max="14594" width="40.83203125" style="132" customWidth="1"/>
    <col min="14595" max="14595" width="9.83203125" style="132" customWidth="1"/>
    <col min="14596" max="14596" width="13" style="132" customWidth="1"/>
    <col min="14597" max="14597" width="13.1640625" style="132" customWidth="1"/>
    <col min="14598" max="14598" width="12.33203125" style="132" customWidth="1"/>
    <col min="14599" max="14599" width="11.33203125" style="132" customWidth="1"/>
    <col min="14600" max="14600" width="11.83203125" style="132" customWidth="1"/>
    <col min="14601" max="14601" width="10.83203125" style="132" customWidth="1"/>
    <col min="14602" max="14602" width="13.1640625" style="132" customWidth="1"/>
    <col min="14603" max="14603" width="11.5" style="132" customWidth="1"/>
    <col min="14604" max="14605" width="12.33203125" style="132" customWidth="1"/>
    <col min="14606" max="14606" width="13.1640625" style="132" customWidth="1"/>
    <col min="14607" max="14607" width="18.5" style="132" customWidth="1"/>
    <col min="14608" max="14608" width="7.33203125" style="132" customWidth="1"/>
    <col min="14609" max="14847" width="9.33203125" style="132"/>
    <col min="14848" max="14848" width="5.33203125" style="132" customWidth="1"/>
    <col min="14849" max="14849" width="5.5" style="132" customWidth="1"/>
    <col min="14850" max="14850" width="40.83203125" style="132" customWidth="1"/>
    <col min="14851" max="14851" width="9.83203125" style="132" customWidth="1"/>
    <col min="14852" max="14852" width="13" style="132" customWidth="1"/>
    <col min="14853" max="14853" width="13.1640625" style="132" customWidth="1"/>
    <col min="14854" max="14854" width="12.33203125" style="132" customWidth="1"/>
    <col min="14855" max="14855" width="11.33203125" style="132" customWidth="1"/>
    <col min="14856" max="14856" width="11.83203125" style="132" customWidth="1"/>
    <col min="14857" max="14857" width="10.83203125" style="132" customWidth="1"/>
    <col min="14858" max="14858" width="13.1640625" style="132" customWidth="1"/>
    <col min="14859" max="14859" width="11.5" style="132" customWidth="1"/>
    <col min="14860" max="14861" width="12.33203125" style="132" customWidth="1"/>
    <col min="14862" max="14862" width="13.1640625" style="132" customWidth="1"/>
    <col min="14863" max="14863" width="18.5" style="132" customWidth="1"/>
    <col min="14864" max="14864" width="7.33203125" style="132" customWidth="1"/>
    <col min="14865" max="15103" width="9.33203125" style="132"/>
    <col min="15104" max="15104" width="5.33203125" style="132" customWidth="1"/>
    <col min="15105" max="15105" width="5.5" style="132" customWidth="1"/>
    <col min="15106" max="15106" width="40.83203125" style="132" customWidth="1"/>
    <col min="15107" max="15107" width="9.83203125" style="132" customWidth="1"/>
    <col min="15108" max="15108" width="13" style="132" customWidth="1"/>
    <col min="15109" max="15109" width="13.1640625" style="132" customWidth="1"/>
    <col min="15110" max="15110" width="12.33203125" style="132" customWidth="1"/>
    <col min="15111" max="15111" width="11.33203125" style="132" customWidth="1"/>
    <col min="15112" max="15112" width="11.83203125" style="132" customWidth="1"/>
    <col min="15113" max="15113" width="10.83203125" style="132" customWidth="1"/>
    <col min="15114" max="15114" width="13.1640625" style="132" customWidth="1"/>
    <col min="15115" max="15115" width="11.5" style="132" customWidth="1"/>
    <col min="15116" max="15117" width="12.33203125" style="132" customWidth="1"/>
    <col min="15118" max="15118" width="13.1640625" style="132" customWidth="1"/>
    <col min="15119" max="15119" width="18.5" style="132" customWidth="1"/>
    <col min="15120" max="15120" width="7.33203125" style="132" customWidth="1"/>
    <col min="15121" max="15359" width="9.33203125" style="132"/>
    <col min="15360" max="15360" width="5.33203125" style="132" customWidth="1"/>
    <col min="15361" max="15361" width="5.5" style="132" customWidth="1"/>
    <col min="15362" max="15362" width="40.83203125" style="132" customWidth="1"/>
    <col min="15363" max="15363" width="9.83203125" style="132" customWidth="1"/>
    <col min="15364" max="15364" width="13" style="132" customWidth="1"/>
    <col min="15365" max="15365" width="13.1640625" style="132" customWidth="1"/>
    <col min="15366" max="15366" width="12.33203125" style="132" customWidth="1"/>
    <col min="15367" max="15367" width="11.33203125" style="132" customWidth="1"/>
    <col min="15368" max="15368" width="11.83203125" style="132" customWidth="1"/>
    <col min="15369" max="15369" width="10.83203125" style="132" customWidth="1"/>
    <col min="15370" max="15370" width="13.1640625" style="132" customWidth="1"/>
    <col min="15371" max="15371" width="11.5" style="132" customWidth="1"/>
    <col min="15372" max="15373" width="12.33203125" style="132" customWidth="1"/>
    <col min="15374" max="15374" width="13.1640625" style="132" customWidth="1"/>
    <col min="15375" max="15375" width="18.5" style="132" customWidth="1"/>
    <col min="15376" max="15376" width="7.33203125" style="132" customWidth="1"/>
    <col min="15377" max="15615" width="9.33203125" style="132"/>
    <col min="15616" max="15616" width="5.33203125" style="132" customWidth="1"/>
    <col min="15617" max="15617" width="5.5" style="132" customWidth="1"/>
    <col min="15618" max="15618" width="40.83203125" style="132" customWidth="1"/>
    <col min="15619" max="15619" width="9.83203125" style="132" customWidth="1"/>
    <col min="15620" max="15620" width="13" style="132" customWidth="1"/>
    <col min="15621" max="15621" width="13.1640625" style="132" customWidth="1"/>
    <col min="15622" max="15622" width="12.33203125" style="132" customWidth="1"/>
    <col min="15623" max="15623" width="11.33203125" style="132" customWidth="1"/>
    <col min="15624" max="15624" width="11.83203125" style="132" customWidth="1"/>
    <col min="15625" max="15625" width="10.83203125" style="132" customWidth="1"/>
    <col min="15626" max="15626" width="13.1640625" style="132" customWidth="1"/>
    <col min="15627" max="15627" width="11.5" style="132" customWidth="1"/>
    <col min="15628" max="15629" width="12.33203125" style="132" customWidth="1"/>
    <col min="15630" max="15630" width="13.1640625" style="132" customWidth="1"/>
    <col min="15631" max="15631" width="18.5" style="132" customWidth="1"/>
    <col min="15632" max="15632" width="7.33203125" style="132" customWidth="1"/>
    <col min="15633" max="15871" width="9.33203125" style="132"/>
    <col min="15872" max="15872" width="5.33203125" style="132" customWidth="1"/>
    <col min="15873" max="15873" width="5.5" style="132" customWidth="1"/>
    <col min="15874" max="15874" width="40.83203125" style="132" customWidth="1"/>
    <col min="15875" max="15875" width="9.83203125" style="132" customWidth="1"/>
    <col min="15876" max="15876" width="13" style="132" customWidth="1"/>
    <col min="15877" max="15877" width="13.1640625" style="132" customWidth="1"/>
    <col min="15878" max="15878" width="12.33203125" style="132" customWidth="1"/>
    <col min="15879" max="15879" width="11.33203125" style="132" customWidth="1"/>
    <col min="15880" max="15880" width="11.83203125" style="132" customWidth="1"/>
    <col min="15881" max="15881" width="10.83203125" style="132" customWidth="1"/>
    <col min="15882" max="15882" width="13.1640625" style="132" customWidth="1"/>
    <col min="15883" max="15883" width="11.5" style="132" customWidth="1"/>
    <col min="15884" max="15885" width="12.33203125" style="132" customWidth="1"/>
    <col min="15886" max="15886" width="13.1640625" style="132" customWidth="1"/>
    <col min="15887" max="15887" width="18.5" style="132" customWidth="1"/>
    <col min="15888" max="15888" width="7.33203125" style="132" customWidth="1"/>
    <col min="15889" max="16127" width="9.33203125" style="132"/>
    <col min="16128" max="16128" width="5.33203125" style="132" customWidth="1"/>
    <col min="16129" max="16129" width="5.5" style="132" customWidth="1"/>
    <col min="16130" max="16130" width="40.83203125" style="132" customWidth="1"/>
    <col min="16131" max="16131" width="9.83203125" style="132" customWidth="1"/>
    <col min="16132" max="16132" width="13" style="132" customWidth="1"/>
    <col min="16133" max="16133" width="13.1640625" style="132" customWidth="1"/>
    <col min="16134" max="16134" width="12.33203125" style="132" customWidth="1"/>
    <col min="16135" max="16135" width="11.33203125" style="132" customWidth="1"/>
    <col min="16136" max="16136" width="11.83203125" style="132" customWidth="1"/>
    <col min="16137" max="16137" width="10.83203125" style="132" customWidth="1"/>
    <col min="16138" max="16138" width="13.1640625" style="132" customWidth="1"/>
    <col min="16139" max="16139" width="11.5" style="132" customWidth="1"/>
    <col min="16140" max="16141" width="12.33203125" style="132" customWidth="1"/>
    <col min="16142" max="16142" width="13.1640625" style="132" customWidth="1"/>
    <col min="16143" max="16143" width="18.5" style="132" customWidth="1"/>
    <col min="16144" max="16144" width="7.33203125" style="132" customWidth="1"/>
    <col min="16145" max="16384" width="9.33203125" style="132"/>
  </cols>
  <sheetData>
    <row r="1" spans="1:15" ht="13.5" x14ac:dyDescent="0.25">
      <c r="A1" s="953" t="s">
        <v>97</v>
      </c>
      <c r="B1" s="953" t="s">
        <v>98</v>
      </c>
      <c r="C1" s="951" t="s">
        <v>137</v>
      </c>
      <c r="D1" s="953" t="s">
        <v>228</v>
      </c>
      <c r="E1" s="955" t="s">
        <v>144</v>
      </c>
      <c r="F1" s="955"/>
      <c r="G1" s="955"/>
      <c r="H1" s="955"/>
      <c r="I1" s="955"/>
      <c r="J1" s="955"/>
      <c r="K1" s="955"/>
      <c r="L1" s="956" t="s">
        <v>211</v>
      </c>
      <c r="M1" s="956"/>
      <c r="N1" s="956"/>
      <c r="O1" s="951" t="s">
        <v>14</v>
      </c>
    </row>
    <row r="2" spans="1:15" s="136" customFormat="1" ht="65.25" customHeight="1" x14ac:dyDescent="0.2">
      <c r="A2" s="953"/>
      <c r="B2" s="953"/>
      <c r="C2" s="951"/>
      <c r="D2" s="954"/>
      <c r="E2" s="133" t="s">
        <v>15</v>
      </c>
      <c r="F2" s="133" t="s">
        <v>16</v>
      </c>
      <c r="G2" s="534" t="s">
        <v>17</v>
      </c>
      <c r="H2" s="135" t="s">
        <v>207</v>
      </c>
      <c r="I2" s="534" t="s">
        <v>208</v>
      </c>
      <c r="J2" s="534" t="s">
        <v>209</v>
      </c>
      <c r="K2" s="534" t="s">
        <v>210</v>
      </c>
      <c r="L2" s="534" t="s">
        <v>145</v>
      </c>
      <c r="M2" s="534" t="s">
        <v>146</v>
      </c>
      <c r="N2" s="534" t="s">
        <v>148</v>
      </c>
      <c r="O2" s="951"/>
    </row>
    <row r="3" spans="1:15" s="136" customFormat="1" ht="12.95" customHeight="1" x14ac:dyDescent="0.2">
      <c r="A3" s="137">
        <v>1</v>
      </c>
      <c r="B3" s="137"/>
      <c r="C3" s="390" t="s">
        <v>195</v>
      </c>
      <c r="D3" s="391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</row>
    <row r="4" spans="1:15" s="136" customFormat="1" ht="12.95" customHeight="1" x14ac:dyDescent="0.2">
      <c r="A4" s="138">
        <v>1</v>
      </c>
      <c r="B4" s="138">
        <v>1</v>
      </c>
      <c r="C4" s="393" t="s">
        <v>6</v>
      </c>
      <c r="D4" s="394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</row>
    <row r="5" spans="1:15" s="141" customFormat="1" ht="13.5" customHeight="1" x14ac:dyDescent="0.2">
      <c r="A5" s="140">
        <v>1</v>
      </c>
      <c r="B5" s="140">
        <v>12</v>
      </c>
      <c r="C5" s="396" t="s">
        <v>108</v>
      </c>
      <c r="D5" s="397"/>
      <c r="E5" s="398"/>
      <c r="F5" s="398"/>
      <c r="G5" s="399"/>
      <c r="H5" s="399"/>
      <c r="I5" s="399"/>
      <c r="J5" s="399"/>
      <c r="K5" s="399"/>
      <c r="L5" s="399"/>
      <c r="M5" s="399"/>
      <c r="N5" s="399"/>
      <c r="O5" s="399"/>
    </row>
    <row r="6" spans="1:15" s="141" customFormat="1" ht="24.95" hidden="1" customHeight="1" x14ac:dyDescent="0.2">
      <c r="A6" s="140"/>
      <c r="B6" s="140"/>
      <c r="C6" s="400" t="s">
        <v>229</v>
      </c>
      <c r="D6" s="401"/>
      <c r="E6" s="398"/>
      <c r="F6" s="398"/>
      <c r="G6" s="399"/>
      <c r="H6" s="399"/>
      <c r="I6" s="399"/>
      <c r="J6" s="399"/>
      <c r="K6" s="399"/>
      <c r="L6" s="399"/>
      <c r="M6" s="399"/>
      <c r="N6" s="399"/>
      <c r="O6" s="399"/>
    </row>
    <row r="7" spans="1:15" s="141" customFormat="1" ht="17.100000000000001" hidden="1" customHeight="1" x14ac:dyDescent="0.2">
      <c r="A7" s="138"/>
      <c r="B7" s="138"/>
      <c r="C7" s="402" t="s">
        <v>230</v>
      </c>
      <c r="D7" s="403" t="s">
        <v>231</v>
      </c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>
        <f>SUM(H7:N7)</f>
        <v>0</v>
      </c>
    </row>
    <row r="8" spans="1:15" s="141" customFormat="1" ht="17.100000000000001" hidden="1" customHeight="1" x14ac:dyDescent="0.2">
      <c r="A8" s="779"/>
      <c r="B8" s="779"/>
      <c r="C8" s="781" t="s">
        <v>375</v>
      </c>
      <c r="D8" s="782"/>
      <c r="E8" s="780"/>
      <c r="F8" s="780"/>
      <c r="G8" s="780"/>
      <c r="H8" s="780"/>
      <c r="I8" s="780"/>
      <c r="J8" s="780"/>
      <c r="K8" s="780"/>
      <c r="L8" s="780"/>
      <c r="M8" s="780"/>
      <c r="N8" s="780"/>
      <c r="O8" s="399"/>
    </row>
    <row r="9" spans="1:15" s="141" customFormat="1" ht="17.100000000000001" hidden="1" customHeight="1" x14ac:dyDescent="0.2">
      <c r="A9" s="779"/>
      <c r="B9" s="779"/>
      <c r="C9" s="783" t="s">
        <v>376</v>
      </c>
      <c r="D9" s="784">
        <v>121517</v>
      </c>
      <c r="E9" s="780"/>
      <c r="F9" s="780"/>
      <c r="G9" s="780"/>
      <c r="H9" s="780"/>
      <c r="I9" s="780"/>
      <c r="J9" s="780"/>
      <c r="K9" s="780"/>
      <c r="L9" s="780"/>
      <c r="M9" s="780"/>
      <c r="N9" s="780"/>
      <c r="O9" s="399">
        <f t="shared" ref="O9" si="0">SUM(H9:N9)</f>
        <v>0</v>
      </c>
    </row>
    <row r="10" spans="1:15" s="141" customFormat="1" ht="13.5" customHeight="1" x14ac:dyDescent="0.2">
      <c r="A10" s="142"/>
      <c r="B10" s="142"/>
      <c r="C10" s="404" t="s">
        <v>232</v>
      </c>
      <c r="D10" s="405"/>
      <c r="E10" s="405">
        <f>SUM(E5:E9)</f>
        <v>0</v>
      </c>
      <c r="F10" s="405">
        <f t="shared" ref="F10:O10" si="1">SUM(F5:F9)</f>
        <v>0</v>
      </c>
      <c r="G10" s="405">
        <f t="shared" si="1"/>
        <v>0</v>
      </c>
      <c r="H10" s="405">
        <f t="shared" si="1"/>
        <v>0</v>
      </c>
      <c r="I10" s="405">
        <f t="shared" si="1"/>
        <v>0</v>
      </c>
      <c r="J10" s="405">
        <f t="shared" si="1"/>
        <v>0</v>
      </c>
      <c r="K10" s="405">
        <f t="shared" si="1"/>
        <v>0</v>
      </c>
      <c r="L10" s="405">
        <f t="shared" si="1"/>
        <v>0</v>
      </c>
      <c r="M10" s="405">
        <f t="shared" si="1"/>
        <v>0</v>
      </c>
      <c r="N10" s="405">
        <f t="shared" si="1"/>
        <v>0</v>
      </c>
      <c r="O10" s="405">
        <f t="shared" si="1"/>
        <v>0</v>
      </c>
    </row>
    <row r="11" spans="1:15" s="141" customFormat="1" ht="13.5" customHeight="1" x14ac:dyDescent="0.2">
      <c r="A11" s="139">
        <v>1</v>
      </c>
      <c r="B11" s="139">
        <v>13</v>
      </c>
      <c r="C11" s="396" t="s">
        <v>109</v>
      </c>
      <c r="D11" s="403"/>
      <c r="E11" s="406"/>
      <c r="F11" s="407"/>
      <c r="G11" s="407"/>
      <c r="H11" s="407"/>
      <c r="I11" s="407"/>
      <c r="J11" s="407"/>
      <c r="K11" s="407"/>
      <c r="L11" s="407"/>
      <c r="M11" s="407"/>
      <c r="N11" s="407"/>
      <c r="O11" s="407"/>
    </row>
    <row r="12" spans="1:15" s="141" customFormat="1" ht="13.5" hidden="1" customHeight="1" x14ac:dyDescent="0.2">
      <c r="A12" s="139"/>
      <c r="B12" s="139"/>
      <c r="C12" s="400" t="s">
        <v>233</v>
      </c>
      <c r="D12" s="403"/>
      <c r="E12" s="399"/>
      <c r="F12" s="399"/>
      <c r="G12" s="399"/>
      <c r="H12" s="399"/>
      <c r="I12" s="399"/>
      <c r="J12" s="399"/>
      <c r="K12" s="399"/>
      <c r="L12" s="399"/>
      <c r="M12" s="399"/>
      <c r="N12" s="399"/>
      <c r="O12" s="399"/>
    </row>
    <row r="13" spans="1:15" s="141" customFormat="1" ht="24.95" hidden="1" customHeight="1" x14ac:dyDescent="0.2">
      <c r="A13" s="139"/>
      <c r="B13" s="139"/>
      <c r="C13" s="400" t="s">
        <v>234</v>
      </c>
      <c r="D13" s="538">
        <v>131705</v>
      </c>
      <c r="E13" s="399"/>
      <c r="F13" s="399"/>
      <c r="G13" s="399"/>
      <c r="H13" s="399"/>
      <c r="I13" s="399"/>
      <c r="J13" s="399"/>
      <c r="K13" s="399"/>
      <c r="L13" s="399"/>
      <c r="M13" s="399"/>
      <c r="N13" s="399"/>
      <c r="O13" s="399">
        <f>SUM(E13:N13)</f>
        <v>0</v>
      </c>
    </row>
    <row r="14" spans="1:15" s="141" customFormat="1" ht="24.95" customHeight="1" x14ac:dyDescent="0.2">
      <c r="A14" s="646"/>
      <c r="B14" s="646"/>
      <c r="C14" s="648" t="s">
        <v>238</v>
      </c>
      <c r="D14" s="649"/>
      <c r="E14" s="647"/>
      <c r="F14" s="647"/>
      <c r="G14" s="647"/>
      <c r="H14" s="647"/>
      <c r="I14" s="647"/>
      <c r="J14" s="647"/>
      <c r="K14" s="647"/>
      <c r="L14" s="647"/>
      <c r="M14" s="647"/>
      <c r="N14" s="647"/>
      <c r="O14" s="399"/>
    </row>
    <row r="15" spans="1:15" s="141" customFormat="1" ht="21" hidden="1" customHeight="1" x14ac:dyDescent="0.2">
      <c r="A15" s="646"/>
      <c r="B15" s="646"/>
      <c r="C15" s="304" t="s">
        <v>1092</v>
      </c>
      <c r="D15" s="649">
        <v>134939</v>
      </c>
      <c r="E15" s="647"/>
      <c r="F15" s="647"/>
      <c r="G15" s="647"/>
      <c r="H15" s="647"/>
      <c r="I15" s="647"/>
      <c r="J15" s="647"/>
      <c r="K15" s="647"/>
      <c r="L15" s="647"/>
      <c r="M15" s="647"/>
      <c r="N15" s="647"/>
      <c r="O15" s="399">
        <f t="shared" ref="O15:O33" si="2">SUM(E15:N15)</f>
        <v>0</v>
      </c>
    </row>
    <row r="16" spans="1:15" s="141" customFormat="1" ht="19.5" customHeight="1" x14ac:dyDescent="0.2">
      <c r="A16" s="874"/>
      <c r="B16" s="874"/>
      <c r="C16" s="347" t="s">
        <v>1349</v>
      </c>
      <c r="D16" s="903">
        <v>132913</v>
      </c>
      <c r="E16" s="873"/>
      <c r="F16" s="873">
        <v>7000</v>
      </c>
      <c r="G16" s="873"/>
      <c r="H16" s="873"/>
      <c r="I16" s="873"/>
      <c r="J16" s="873"/>
      <c r="K16" s="873"/>
      <c r="L16" s="873"/>
      <c r="M16" s="873"/>
      <c r="N16" s="873"/>
      <c r="O16" s="399">
        <f t="shared" si="2"/>
        <v>7000</v>
      </c>
    </row>
    <row r="17" spans="1:15" s="141" customFormat="1" ht="24.95" hidden="1" customHeight="1" x14ac:dyDescent="0.2">
      <c r="A17" s="139"/>
      <c r="B17" s="139"/>
      <c r="C17" s="408" t="s">
        <v>235</v>
      </c>
      <c r="D17" s="403" t="s">
        <v>96</v>
      </c>
      <c r="E17" s="399"/>
      <c r="F17" s="399"/>
      <c r="G17" s="399"/>
      <c r="H17" s="399"/>
      <c r="I17" s="399"/>
      <c r="J17" s="399"/>
      <c r="K17" s="399"/>
      <c r="L17" s="399"/>
      <c r="M17" s="399"/>
      <c r="N17" s="399"/>
      <c r="O17" s="399"/>
    </row>
    <row r="18" spans="1:15" s="141" customFormat="1" ht="24.95" hidden="1" customHeight="1" x14ac:dyDescent="0.2">
      <c r="A18" s="139"/>
      <c r="B18" s="139"/>
      <c r="C18" s="408" t="s">
        <v>236</v>
      </c>
      <c r="D18" s="538">
        <v>131703</v>
      </c>
      <c r="E18" s="399"/>
      <c r="F18" s="399"/>
      <c r="G18" s="399"/>
      <c r="H18" s="399"/>
      <c r="I18" s="399"/>
      <c r="J18" s="399"/>
      <c r="K18" s="399"/>
      <c r="L18" s="399"/>
      <c r="M18" s="399"/>
      <c r="N18" s="399"/>
      <c r="O18" s="399">
        <f t="shared" si="2"/>
        <v>0</v>
      </c>
    </row>
    <row r="19" spans="1:15" s="141" customFormat="1" ht="24.95" hidden="1" customHeight="1" x14ac:dyDescent="0.2">
      <c r="A19" s="789"/>
      <c r="B19" s="789"/>
      <c r="C19" s="798" t="s">
        <v>1271</v>
      </c>
      <c r="D19" s="799">
        <v>121319</v>
      </c>
      <c r="E19" s="780"/>
      <c r="F19" s="780"/>
      <c r="G19" s="780"/>
      <c r="H19" s="780"/>
      <c r="I19" s="780"/>
      <c r="J19" s="780"/>
      <c r="K19" s="780"/>
      <c r="L19" s="780"/>
      <c r="M19" s="780"/>
      <c r="N19" s="780"/>
      <c r="O19" s="399">
        <f t="shared" si="2"/>
        <v>0</v>
      </c>
    </row>
    <row r="20" spans="1:15" s="141" customFormat="1" ht="24.95" hidden="1" customHeight="1" x14ac:dyDescent="0.2">
      <c r="A20" s="646"/>
      <c r="B20" s="646"/>
      <c r="C20" s="650" t="s">
        <v>1093</v>
      </c>
      <c r="D20" s="649"/>
      <c r="E20" s="647"/>
      <c r="F20" s="647"/>
      <c r="G20" s="647"/>
      <c r="H20" s="647"/>
      <c r="I20" s="647"/>
      <c r="J20" s="647"/>
      <c r="K20" s="647"/>
      <c r="L20" s="647"/>
      <c r="M20" s="647"/>
      <c r="N20" s="647"/>
      <c r="O20" s="399"/>
    </row>
    <row r="21" spans="1:15" s="141" customFormat="1" ht="24.95" hidden="1" customHeight="1" x14ac:dyDescent="0.2">
      <c r="A21" s="646"/>
      <c r="B21" s="646"/>
      <c r="C21" s="651" t="s">
        <v>1094</v>
      </c>
      <c r="D21" s="649">
        <v>131508</v>
      </c>
      <c r="E21" s="647"/>
      <c r="F21" s="647"/>
      <c r="G21" s="647"/>
      <c r="H21" s="647"/>
      <c r="I21" s="647"/>
      <c r="J21" s="647"/>
      <c r="K21" s="647"/>
      <c r="L21" s="647"/>
      <c r="M21" s="647"/>
      <c r="N21" s="647"/>
      <c r="O21" s="399">
        <f t="shared" si="2"/>
        <v>0</v>
      </c>
    </row>
    <row r="22" spans="1:15" s="141" customFormat="1" ht="24.95" hidden="1" customHeight="1" x14ac:dyDescent="0.2">
      <c r="A22" s="646"/>
      <c r="B22" s="646"/>
      <c r="C22" s="651" t="s">
        <v>1095</v>
      </c>
      <c r="D22" s="649">
        <v>131509</v>
      </c>
      <c r="E22" s="647"/>
      <c r="F22" s="647"/>
      <c r="G22" s="647"/>
      <c r="H22" s="647"/>
      <c r="I22" s="647"/>
      <c r="J22" s="647"/>
      <c r="K22" s="647"/>
      <c r="L22" s="647"/>
      <c r="M22" s="647"/>
      <c r="N22" s="647"/>
      <c r="O22" s="399">
        <f t="shared" si="2"/>
        <v>0</v>
      </c>
    </row>
    <row r="23" spans="1:15" s="141" customFormat="1" ht="24.95" hidden="1" customHeight="1" x14ac:dyDescent="0.2">
      <c r="A23" s="789"/>
      <c r="B23" s="789"/>
      <c r="C23" s="781" t="s">
        <v>1026</v>
      </c>
      <c r="D23" s="799"/>
      <c r="E23" s="780"/>
      <c r="F23" s="780"/>
      <c r="G23" s="780"/>
      <c r="H23" s="780"/>
      <c r="I23" s="780"/>
      <c r="J23" s="780"/>
      <c r="K23" s="780"/>
      <c r="L23" s="780"/>
      <c r="M23" s="780"/>
      <c r="N23" s="780"/>
      <c r="O23" s="399"/>
    </row>
    <row r="24" spans="1:15" s="141" customFormat="1" ht="14.25" hidden="1" customHeight="1" x14ac:dyDescent="0.2">
      <c r="A24" s="789"/>
      <c r="B24" s="789"/>
      <c r="C24" s="781" t="s">
        <v>1020</v>
      </c>
      <c r="D24" s="799">
        <v>131716</v>
      </c>
      <c r="E24" s="780"/>
      <c r="F24" s="780"/>
      <c r="G24" s="780"/>
      <c r="H24" s="780"/>
      <c r="I24" s="780"/>
      <c r="J24" s="780"/>
      <c r="K24" s="780"/>
      <c r="L24" s="780"/>
      <c r="M24" s="780"/>
      <c r="N24" s="780"/>
      <c r="O24" s="399">
        <f t="shared" si="2"/>
        <v>0</v>
      </c>
    </row>
    <row r="25" spans="1:15" s="141" customFormat="1" ht="24.95" hidden="1" customHeight="1" x14ac:dyDescent="0.2">
      <c r="A25" s="789"/>
      <c r="B25" s="789"/>
      <c r="C25" s="795" t="s">
        <v>365</v>
      </c>
      <c r="D25" s="814"/>
      <c r="E25" s="780"/>
      <c r="F25" s="780"/>
      <c r="G25" s="780"/>
      <c r="H25" s="780"/>
      <c r="I25" s="780"/>
      <c r="J25" s="780"/>
      <c r="K25" s="780"/>
      <c r="L25" s="780"/>
      <c r="M25" s="780"/>
      <c r="N25" s="780"/>
      <c r="O25" s="399"/>
    </row>
    <row r="26" spans="1:15" s="141" customFormat="1" ht="17.25" hidden="1" customHeight="1" x14ac:dyDescent="0.2">
      <c r="A26" s="789"/>
      <c r="B26" s="789"/>
      <c r="C26" s="815" t="s">
        <v>1275</v>
      </c>
      <c r="D26" s="816">
        <v>131845</v>
      </c>
      <c r="E26" s="780"/>
      <c r="F26" s="780"/>
      <c r="G26" s="780"/>
      <c r="H26" s="780"/>
      <c r="I26" s="780"/>
      <c r="J26" s="780"/>
      <c r="K26" s="780"/>
      <c r="L26" s="780"/>
      <c r="M26" s="780"/>
      <c r="N26" s="780"/>
      <c r="O26" s="399">
        <f t="shared" si="2"/>
        <v>0</v>
      </c>
    </row>
    <row r="27" spans="1:15" s="141" customFormat="1" ht="17.25" customHeight="1" x14ac:dyDescent="0.2">
      <c r="A27" s="874"/>
      <c r="B27" s="874"/>
      <c r="C27" s="904" t="s">
        <v>1350</v>
      </c>
      <c r="D27" s="903"/>
      <c r="E27" s="873"/>
      <c r="F27" s="873"/>
      <c r="G27" s="873"/>
      <c r="H27" s="873"/>
      <c r="I27" s="873"/>
      <c r="J27" s="873"/>
      <c r="K27" s="873"/>
      <c r="L27" s="873"/>
      <c r="M27" s="873"/>
      <c r="N27" s="873"/>
      <c r="O27" s="399"/>
    </row>
    <row r="28" spans="1:15" s="141" customFormat="1" ht="17.25" customHeight="1" x14ac:dyDescent="0.2">
      <c r="A28" s="874"/>
      <c r="B28" s="874"/>
      <c r="C28" s="904" t="s">
        <v>1351</v>
      </c>
      <c r="D28" s="903">
        <v>131304</v>
      </c>
      <c r="E28" s="873">
        <v>7500</v>
      </c>
      <c r="F28" s="873"/>
      <c r="G28" s="873"/>
      <c r="H28" s="873"/>
      <c r="I28" s="873"/>
      <c r="J28" s="873"/>
      <c r="K28" s="873"/>
      <c r="L28" s="873"/>
      <c r="M28" s="873"/>
      <c r="N28" s="873"/>
      <c r="O28" s="399">
        <f t="shared" si="2"/>
        <v>7500</v>
      </c>
    </row>
    <row r="29" spans="1:15" s="141" customFormat="1" ht="22.5" customHeight="1" x14ac:dyDescent="0.2">
      <c r="A29" s="874"/>
      <c r="B29" s="874"/>
      <c r="C29" s="904" t="s">
        <v>1352</v>
      </c>
      <c r="D29" s="903"/>
      <c r="E29" s="873"/>
      <c r="F29" s="873"/>
      <c r="G29" s="873"/>
      <c r="H29" s="873"/>
      <c r="I29" s="873"/>
      <c r="J29" s="873"/>
      <c r="K29" s="873"/>
      <c r="L29" s="873"/>
      <c r="M29" s="873"/>
      <c r="N29" s="873"/>
      <c r="O29" s="399"/>
    </row>
    <row r="30" spans="1:15" s="141" customFormat="1" ht="17.25" customHeight="1" x14ac:dyDescent="0.2">
      <c r="A30" s="874"/>
      <c r="B30" s="874"/>
      <c r="C30" s="347" t="s">
        <v>1353</v>
      </c>
      <c r="D30" s="903">
        <v>132917</v>
      </c>
      <c r="E30" s="873"/>
      <c r="F30" s="873">
        <v>2000</v>
      </c>
      <c r="G30" s="873"/>
      <c r="H30" s="873"/>
      <c r="I30" s="873"/>
      <c r="J30" s="873"/>
      <c r="K30" s="873"/>
      <c r="L30" s="873"/>
      <c r="M30" s="873"/>
      <c r="N30" s="873"/>
      <c r="O30" s="399">
        <f t="shared" si="2"/>
        <v>2000</v>
      </c>
    </row>
    <row r="31" spans="1:15" s="141" customFormat="1" ht="20.25" customHeight="1" x14ac:dyDescent="0.2">
      <c r="A31" s="874"/>
      <c r="B31" s="874"/>
      <c r="C31" s="904" t="s">
        <v>406</v>
      </c>
      <c r="D31" s="903"/>
      <c r="E31" s="873"/>
      <c r="F31" s="873"/>
      <c r="G31" s="873"/>
      <c r="H31" s="873"/>
      <c r="I31" s="873"/>
      <c r="J31" s="873"/>
      <c r="K31" s="873"/>
      <c r="L31" s="873"/>
      <c r="M31" s="873"/>
      <c r="N31" s="873"/>
      <c r="O31" s="399"/>
    </row>
    <row r="32" spans="1:15" s="141" customFormat="1" ht="23.25" customHeight="1" x14ac:dyDescent="0.2">
      <c r="A32" s="874"/>
      <c r="B32" s="874"/>
      <c r="C32" s="905" t="s">
        <v>1354</v>
      </c>
      <c r="D32" s="903">
        <v>131510</v>
      </c>
      <c r="E32" s="873">
        <v>83625</v>
      </c>
      <c r="F32" s="873"/>
      <c r="G32" s="873"/>
      <c r="H32" s="873"/>
      <c r="I32" s="873"/>
      <c r="J32" s="873"/>
      <c r="K32" s="873"/>
      <c r="L32" s="873"/>
      <c r="M32" s="873"/>
      <c r="N32" s="873"/>
      <c r="O32" s="399">
        <f t="shared" si="2"/>
        <v>83625</v>
      </c>
    </row>
    <row r="33" spans="1:15" s="141" customFormat="1" ht="22.5" customHeight="1" x14ac:dyDescent="0.2">
      <c r="A33" s="874"/>
      <c r="B33" s="874"/>
      <c r="C33" s="905" t="s">
        <v>1355</v>
      </c>
      <c r="D33" s="903">
        <v>131511</v>
      </c>
      <c r="E33" s="873">
        <v>60000</v>
      </c>
      <c r="F33" s="873"/>
      <c r="G33" s="873"/>
      <c r="H33" s="873"/>
      <c r="I33" s="873"/>
      <c r="J33" s="873"/>
      <c r="K33" s="873"/>
      <c r="L33" s="873"/>
      <c r="M33" s="873"/>
      <c r="N33" s="873"/>
      <c r="O33" s="399">
        <f t="shared" si="2"/>
        <v>60000</v>
      </c>
    </row>
    <row r="34" spans="1:15" s="141" customFormat="1" ht="13.5" customHeight="1" x14ac:dyDescent="0.2">
      <c r="A34" s="142"/>
      <c r="B34" s="142"/>
      <c r="C34" s="404" t="s">
        <v>237</v>
      </c>
      <c r="D34" s="409"/>
      <c r="E34" s="405">
        <f>SUM(E13:E33)</f>
        <v>151125</v>
      </c>
      <c r="F34" s="405">
        <f t="shared" ref="F34:O34" si="3">SUM(F13:F33)</f>
        <v>9000</v>
      </c>
      <c r="G34" s="405">
        <f t="shared" si="3"/>
        <v>0</v>
      </c>
      <c r="H34" s="405">
        <f t="shared" si="3"/>
        <v>0</v>
      </c>
      <c r="I34" s="405">
        <f t="shared" si="3"/>
        <v>0</v>
      </c>
      <c r="J34" s="405">
        <f t="shared" si="3"/>
        <v>0</v>
      </c>
      <c r="K34" s="405">
        <f t="shared" si="3"/>
        <v>0</v>
      </c>
      <c r="L34" s="405">
        <f t="shared" si="3"/>
        <v>0</v>
      </c>
      <c r="M34" s="405">
        <f t="shared" si="3"/>
        <v>0</v>
      </c>
      <c r="N34" s="405">
        <f t="shared" si="3"/>
        <v>0</v>
      </c>
      <c r="O34" s="405">
        <f t="shared" si="3"/>
        <v>160125</v>
      </c>
    </row>
    <row r="35" spans="1:15" s="141" customFormat="1" ht="13.5" customHeight="1" x14ac:dyDescent="0.2">
      <c r="A35" s="144">
        <v>1</v>
      </c>
      <c r="B35" s="144">
        <v>14</v>
      </c>
      <c r="C35" s="410" t="s">
        <v>197</v>
      </c>
      <c r="D35" s="411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</row>
    <row r="36" spans="1:15" s="141" customFormat="1" ht="26.25" customHeight="1" x14ac:dyDescent="0.2">
      <c r="A36" s="139"/>
      <c r="B36" s="139"/>
      <c r="C36" s="412" t="s">
        <v>238</v>
      </c>
      <c r="D36" s="413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</row>
    <row r="37" spans="1:15" s="141" customFormat="1" ht="23.25" customHeight="1" x14ac:dyDescent="0.2">
      <c r="A37" s="139"/>
      <c r="B37" s="139"/>
      <c r="C37" s="414" t="s">
        <v>239</v>
      </c>
      <c r="D37" s="415">
        <v>171967</v>
      </c>
      <c r="E37" s="407"/>
      <c r="F37" s="407"/>
      <c r="G37" s="407"/>
      <c r="H37" s="399">
        <v>110</v>
      </c>
      <c r="I37" s="407"/>
      <c r="J37" s="407"/>
      <c r="K37" s="407"/>
      <c r="L37" s="407"/>
      <c r="M37" s="407"/>
      <c r="N37" s="407"/>
      <c r="O37" s="399">
        <f>SUM(E37:N37)</f>
        <v>110</v>
      </c>
    </row>
    <row r="38" spans="1:15" s="141" customFormat="1" ht="17.25" hidden="1" customHeight="1" x14ac:dyDescent="0.2">
      <c r="A38" s="646"/>
      <c r="B38" s="646"/>
      <c r="C38" s="655" t="s">
        <v>1096</v>
      </c>
      <c r="D38" s="656">
        <v>164903</v>
      </c>
      <c r="E38" s="652"/>
      <c r="F38" s="652"/>
      <c r="G38" s="652"/>
      <c r="H38" s="647"/>
      <c r="I38" s="652"/>
      <c r="J38" s="652"/>
      <c r="K38" s="652"/>
      <c r="L38" s="652"/>
      <c r="M38" s="817"/>
      <c r="N38" s="652"/>
      <c r="O38" s="399">
        <f>SUM(E38:N38)</f>
        <v>0</v>
      </c>
    </row>
    <row r="39" spans="1:15" s="141" customFormat="1" ht="13.5" customHeight="1" x14ac:dyDescent="0.2">
      <c r="A39" s="142"/>
      <c r="B39" s="142"/>
      <c r="C39" s="404" t="s">
        <v>240</v>
      </c>
      <c r="D39" s="409"/>
      <c r="E39" s="405"/>
      <c r="F39" s="405"/>
      <c r="G39" s="405"/>
      <c r="H39" s="405">
        <f>SUM(H37:H38)</f>
        <v>110</v>
      </c>
      <c r="I39" s="405">
        <f t="shared" ref="I39:O39" si="4">SUM(I37:I38)</f>
        <v>0</v>
      </c>
      <c r="J39" s="405">
        <f t="shared" si="4"/>
        <v>0</v>
      </c>
      <c r="K39" s="405">
        <f t="shared" si="4"/>
        <v>0</v>
      </c>
      <c r="L39" s="405">
        <f t="shared" si="4"/>
        <v>0</v>
      </c>
      <c r="M39" s="405">
        <f t="shared" si="4"/>
        <v>0</v>
      </c>
      <c r="N39" s="405">
        <f t="shared" si="4"/>
        <v>0</v>
      </c>
      <c r="O39" s="405">
        <f t="shared" si="4"/>
        <v>110</v>
      </c>
    </row>
    <row r="40" spans="1:15" s="136" customFormat="1" ht="13.5" customHeight="1" x14ac:dyDescent="0.2">
      <c r="A40" s="138">
        <v>1</v>
      </c>
      <c r="B40" s="138">
        <v>15</v>
      </c>
      <c r="C40" s="393" t="s">
        <v>140</v>
      </c>
      <c r="D40" s="416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</row>
    <row r="41" spans="1:15" s="136" customFormat="1" ht="24.95" customHeight="1" x14ac:dyDescent="0.2">
      <c r="A41" s="138"/>
      <c r="B41" s="138"/>
      <c r="C41" s="417" t="s">
        <v>241</v>
      </c>
      <c r="D41" s="418"/>
      <c r="E41" s="406"/>
      <c r="F41" s="399"/>
      <c r="G41" s="399"/>
      <c r="H41" s="399"/>
      <c r="I41" s="399"/>
      <c r="J41" s="399"/>
      <c r="K41" s="399"/>
      <c r="L41" s="399"/>
      <c r="M41" s="399"/>
      <c r="N41" s="399"/>
      <c r="O41" s="399"/>
    </row>
    <row r="42" spans="1:15" s="136" customFormat="1" ht="24.95" hidden="1" customHeight="1" x14ac:dyDescent="0.2">
      <c r="A42" s="138"/>
      <c r="B42" s="138"/>
      <c r="C42" s="414" t="s">
        <v>242</v>
      </c>
      <c r="D42" s="418">
        <v>151906</v>
      </c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>
        <f>SUM(E42:N42)</f>
        <v>0</v>
      </c>
    </row>
    <row r="43" spans="1:15" s="136" customFormat="1" ht="15" hidden="1" customHeight="1" x14ac:dyDescent="0.2">
      <c r="A43" s="138"/>
      <c r="B43" s="138"/>
      <c r="C43" s="402" t="s">
        <v>243</v>
      </c>
      <c r="D43" s="419" t="s">
        <v>244</v>
      </c>
      <c r="E43" s="399"/>
      <c r="F43" s="399"/>
      <c r="G43" s="399"/>
      <c r="H43" s="399"/>
      <c r="I43" s="399"/>
      <c r="J43" s="399"/>
      <c r="K43" s="399"/>
      <c r="L43" s="399"/>
      <c r="M43" s="399"/>
      <c r="N43" s="399"/>
      <c r="O43" s="399">
        <f>SUM(E43:N43)</f>
        <v>0</v>
      </c>
    </row>
    <row r="44" spans="1:15" s="136" customFormat="1" ht="15" hidden="1" customHeight="1" x14ac:dyDescent="0.2">
      <c r="A44" s="138"/>
      <c r="B44" s="138"/>
      <c r="C44" s="402" t="s">
        <v>245</v>
      </c>
      <c r="D44" s="419" t="s">
        <v>246</v>
      </c>
      <c r="E44" s="399"/>
      <c r="F44" s="399"/>
      <c r="G44" s="399"/>
      <c r="H44" s="399"/>
      <c r="I44" s="399"/>
      <c r="J44" s="399"/>
      <c r="K44" s="399"/>
      <c r="L44" s="399"/>
      <c r="M44" s="399"/>
      <c r="N44" s="399"/>
      <c r="O44" s="399">
        <f>SUM(E44:N44)</f>
        <v>0</v>
      </c>
    </row>
    <row r="45" spans="1:15" s="136" customFormat="1" ht="24.75" customHeight="1" x14ac:dyDescent="0.2">
      <c r="A45" s="869"/>
      <c r="B45" s="869"/>
      <c r="C45" s="906" t="s">
        <v>1356</v>
      </c>
      <c r="D45" s="907" t="s">
        <v>1357</v>
      </c>
      <c r="E45" s="873"/>
      <c r="F45" s="873"/>
      <c r="G45" s="873"/>
      <c r="H45" s="873">
        <v>2668</v>
      </c>
      <c r="I45" s="873"/>
      <c r="J45" s="873"/>
      <c r="K45" s="873"/>
      <c r="L45" s="873"/>
      <c r="M45" s="873"/>
      <c r="N45" s="873"/>
      <c r="O45" s="399">
        <f>SUM(E45:N45)</f>
        <v>2668</v>
      </c>
    </row>
    <row r="46" spans="1:15" s="136" customFormat="1" ht="15" hidden="1" customHeight="1" x14ac:dyDescent="0.2">
      <c r="A46" s="138"/>
      <c r="B46" s="138"/>
      <c r="C46" s="420" t="s">
        <v>247</v>
      </c>
      <c r="D46" s="421"/>
      <c r="E46" s="399"/>
      <c r="F46" s="399"/>
      <c r="G46" s="399"/>
      <c r="H46" s="399"/>
      <c r="I46" s="399"/>
      <c r="J46" s="399"/>
      <c r="K46" s="399"/>
      <c r="L46" s="399"/>
      <c r="M46" s="399"/>
      <c r="N46" s="399"/>
      <c r="O46" s="399"/>
    </row>
    <row r="47" spans="1:15" s="136" customFormat="1" ht="15" hidden="1" customHeight="1" x14ac:dyDescent="0.2">
      <c r="A47" s="138"/>
      <c r="B47" s="138"/>
      <c r="C47" s="402" t="s">
        <v>248</v>
      </c>
      <c r="D47" s="419" t="s">
        <v>249</v>
      </c>
      <c r="E47" s="399"/>
      <c r="F47" s="399"/>
      <c r="G47" s="399"/>
      <c r="H47" s="399"/>
      <c r="I47" s="399"/>
      <c r="J47" s="399"/>
      <c r="K47" s="399"/>
      <c r="L47" s="399"/>
      <c r="M47" s="399"/>
      <c r="N47" s="399"/>
      <c r="O47" s="399">
        <f>SUM(E47:N47)</f>
        <v>0</v>
      </c>
    </row>
    <row r="48" spans="1:15" s="136" customFormat="1" ht="15" hidden="1" customHeight="1" x14ac:dyDescent="0.2">
      <c r="A48" s="138"/>
      <c r="B48" s="138"/>
      <c r="C48" s="422" t="s">
        <v>250</v>
      </c>
      <c r="D48" s="419" t="s">
        <v>251</v>
      </c>
      <c r="E48" s="399"/>
      <c r="F48" s="399"/>
      <c r="G48" s="399"/>
      <c r="H48" s="399"/>
      <c r="I48" s="399"/>
      <c r="J48" s="399"/>
      <c r="K48" s="399"/>
      <c r="L48" s="399"/>
      <c r="M48" s="399"/>
      <c r="N48" s="399"/>
      <c r="O48" s="399">
        <f>SUM(E48:N48)</f>
        <v>0</v>
      </c>
    </row>
    <row r="49" spans="1:15" s="136" customFormat="1" ht="24.95" customHeight="1" x14ac:dyDescent="0.2">
      <c r="A49" s="138"/>
      <c r="B49" s="138"/>
      <c r="C49" s="417" t="s">
        <v>252</v>
      </c>
      <c r="D49" s="423"/>
      <c r="E49" s="399"/>
      <c r="F49" s="399"/>
      <c r="G49" s="399"/>
      <c r="H49" s="399"/>
      <c r="I49" s="399"/>
      <c r="J49" s="399"/>
      <c r="K49" s="399"/>
      <c r="L49" s="399"/>
      <c r="M49" s="399"/>
      <c r="N49" s="399"/>
      <c r="O49" s="399"/>
    </row>
    <row r="50" spans="1:15" s="136" customFormat="1" ht="27" hidden="1" customHeight="1" x14ac:dyDescent="0.2">
      <c r="A50" s="138"/>
      <c r="B50" s="138"/>
      <c r="C50" s="414" t="s">
        <v>253</v>
      </c>
      <c r="D50" s="424">
        <v>151701</v>
      </c>
      <c r="E50" s="399"/>
      <c r="F50" s="399"/>
      <c r="G50" s="399"/>
      <c r="H50" s="399"/>
      <c r="I50" s="399"/>
      <c r="J50" s="399"/>
      <c r="K50" s="399"/>
      <c r="L50" s="399"/>
      <c r="M50" s="399"/>
      <c r="N50" s="399"/>
      <c r="O50" s="399">
        <f>SUM(E50:N50)</f>
        <v>0</v>
      </c>
    </row>
    <row r="51" spans="1:15" s="136" customFormat="1" ht="17.25" hidden="1" customHeight="1" x14ac:dyDescent="0.2">
      <c r="A51" s="138"/>
      <c r="B51" s="138"/>
      <c r="C51" s="613" t="s">
        <v>603</v>
      </c>
      <c r="D51" s="657" t="s">
        <v>1097</v>
      </c>
      <c r="E51" s="399"/>
      <c r="F51" s="399"/>
      <c r="G51" s="399"/>
      <c r="H51" s="399"/>
      <c r="I51" s="399"/>
      <c r="J51" s="399"/>
      <c r="K51" s="399"/>
      <c r="L51" s="399"/>
      <c r="M51" s="399"/>
      <c r="N51" s="399"/>
      <c r="O51" s="399">
        <f>SUM(E51:N51)</f>
        <v>0</v>
      </c>
    </row>
    <row r="52" spans="1:15" s="136" customFormat="1" ht="17.25" customHeight="1" x14ac:dyDescent="0.2">
      <c r="A52" s="869"/>
      <c r="B52" s="869"/>
      <c r="C52" s="886" t="s">
        <v>1358</v>
      </c>
      <c r="D52" s="887" t="s">
        <v>1359</v>
      </c>
      <c r="E52" s="873"/>
      <c r="F52" s="873"/>
      <c r="G52" s="873"/>
      <c r="H52" s="873">
        <v>12700</v>
      </c>
      <c r="I52" s="873"/>
      <c r="J52" s="873"/>
      <c r="K52" s="873"/>
      <c r="L52" s="873"/>
      <c r="M52" s="873"/>
      <c r="N52" s="873"/>
      <c r="O52" s="399">
        <f>SUM(E52:N52)</f>
        <v>12700</v>
      </c>
    </row>
    <row r="53" spans="1:15" s="136" customFormat="1" ht="17.25" hidden="1" customHeight="1" x14ac:dyDescent="0.2">
      <c r="A53" s="779"/>
      <c r="B53" s="779"/>
      <c r="C53" s="818" t="s">
        <v>1276</v>
      </c>
      <c r="D53" s="819" t="s">
        <v>1277</v>
      </c>
      <c r="E53" s="780"/>
      <c r="F53" s="780"/>
      <c r="G53" s="780"/>
      <c r="H53" s="780"/>
      <c r="I53" s="780"/>
      <c r="J53" s="780"/>
      <c r="K53" s="780"/>
      <c r="L53" s="780"/>
      <c r="M53" s="780"/>
      <c r="N53" s="780"/>
      <c r="O53" s="399">
        <f>SUM(E53:N53)</f>
        <v>0</v>
      </c>
    </row>
    <row r="54" spans="1:15" s="136" customFormat="1" ht="17.25" hidden="1" customHeight="1" x14ac:dyDescent="0.2">
      <c r="A54" s="869"/>
      <c r="B54" s="869"/>
      <c r="C54" s="886" t="s">
        <v>1337</v>
      </c>
      <c r="D54" s="887" t="s">
        <v>1338</v>
      </c>
      <c r="E54" s="873"/>
      <c r="F54" s="873"/>
      <c r="G54" s="873"/>
      <c r="H54" s="873"/>
      <c r="I54" s="873"/>
      <c r="J54" s="873"/>
      <c r="K54" s="873"/>
      <c r="L54" s="873"/>
      <c r="M54" s="873"/>
      <c r="N54" s="873"/>
      <c r="O54" s="399">
        <f>SUM(E54:N54)</f>
        <v>0</v>
      </c>
    </row>
    <row r="55" spans="1:15" s="136" customFormat="1" ht="26.25" hidden="1" customHeight="1" x14ac:dyDescent="0.2">
      <c r="A55" s="138"/>
      <c r="B55" s="138"/>
      <c r="C55" s="414" t="s">
        <v>254</v>
      </c>
      <c r="D55" s="424"/>
      <c r="E55" s="425"/>
      <c r="F55" s="425"/>
      <c r="G55" s="399"/>
      <c r="H55" s="399"/>
      <c r="I55" s="399"/>
      <c r="J55" s="399"/>
      <c r="K55" s="399"/>
      <c r="L55" s="399"/>
      <c r="M55" s="399"/>
      <c r="N55" s="399"/>
      <c r="O55" s="399"/>
    </row>
    <row r="56" spans="1:15" s="136" customFormat="1" ht="24.95" hidden="1" customHeight="1" x14ac:dyDescent="0.2">
      <c r="A56" s="138"/>
      <c r="B56" s="138"/>
      <c r="C56" s="400" t="s">
        <v>255</v>
      </c>
      <c r="D56" s="423" t="s">
        <v>256</v>
      </c>
      <c r="E56" s="425"/>
      <c r="F56" s="425"/>
      <c r="G56" s="399"/>
      <c r="H56" s="399"/>
      <c r="I56" s="399"/>
      <c r="J56" s="399"/>
      <c r="K56" s="399"/>
      <c r="L56" s="399"/>
      <c r="M56" s="399"/>
      <c r="N56" s="399"/>
      <c r="O56" s="399">
        <f>SUM(E56:N56)</f>
        <v>0</v>
      </c>
    </row>
    <row r="57" spans="1:15" s="136" customFormat="1" ht="12.95" customHeight="1" x14ac:dyDescent="0.2">
      <c r="A57" s="142"/>
      <c r="B57" s="142"/>
      <c r="C57" s="426" t="s">
        <v>257</v>
      </c>
      <c r="D57" s="427"/>
      <c r="E57" s="405">
        <f t="shared" ref="E57:O57" si="5">SUM(E41:E56)</f>
        <v>0</v>
      </c>
      <c r="F57" s="405">
        <f t="shared" si="5"/>
        <v>0</v>
      </c>
      <c r="G57" s="405">
        <f t="shared" si="5"/>
        <v>0</v>
      </c>
      <c r="H57" s="405">
        <f t="shared" si="5"/>
        <v>15368</v>
      </c>
      <c r="I57" s="405">
        <f t="shared" si="5"/>
        <v>0</v>
      </c>
      <c r="J57" s="405">
        <f t="shared" si="5"/>
        <v>0</v>
      </c>
      <c r="K57" s="405">
        <f t="shared" si="5"/>
        <v>0</v>
      </c>
      <c r="L57" s="405">
        <f t="shared" si="5"/>
        <v>0</v>
      </c>
      <c r="M57" s="405">
        <f t="shared" si="5"/>
        <v>0</v>
      </c>
      <c r="N57" s="405">
        <f t="shared" si="5"/>
        <v>0</v>
      </c>
      <c r="O57" s="405">
        <f t="shared" si="5"/>
        <v>15368</v>
      </c>
    </row>
    <row r="58" spans="1:15" s="136" customFormat="1" ht="12.95" customHeight="1" x14ac:dyDescent="0.2">
      <c r="A58" s="138">
        <v>1</v>
      </c>
      <c r="B58" s="138" t="s">
        <v>94</v>
      </c>
      <c r="C58" s="393" t="s">
        <v>128</v>
      </c>
      <c r="D58" s="394"/>
      <c r="E58" s="399"/>
      <c r="F58" s="399"/>
      <c r="G58" s="399"/>
      <c r="H58" s="399"/>
      <c r="I58" s="399"/>
      <c r="J58" s="399"/>
      <c r="K58" s="399"/>
      <c r="L58" s="399"/>
      <c r="M58" s="399"/>
      <c r="N58" s="399"/>
      <c r="O58" s="399"/>
    </row>
    <row r="59" spans="1:15" s="136" customFormat="1" ht="27" customHeight="1" x14ac:dyDescent="0.2">
      <c r="A59" s="138"/>
      <c r="B59" s="138"/>
      <c r="C59" s="414" t="s">
        <v>258</v>
      </c>
      <c r="D59" s="428"/>
      <c r="E59" s="429"/>
      <c r="F59" s="399"/>
      <c r="G59" s="399"/>
      <c r="H59" s="399"/>
      <c r="I59" s="399"/>
      <c r="J59" s="399"/>
      <c r="K59" s="399"/>
      <c r="L59" s="399"/>
      <c r="M59" s="399"/>
      <c r="N59" s="399"/>
      <c r="O59" s="399"/>
    </row>
    <row r="60" spans="1:15" s="136" customFormat="1" ht="26.25" hidden="1" customHeight="1" x14ac:dyDescent="0.2">
      <c r="A60" s="138"/>
      <c r="B60" s="138"/>
      <c r="C60" s="400" t="s">
        <v>1011</v>
      </c>
      <c r="D60" s="430">
        <v>161909</v>
      </c>
      <c r="E60" s="425"/>
      <c r="F60" s="425"/>
      <c r="G60" s="399"/>
      <c r="H60" s="399"/>
      <c r="I60" s="399"/>
      <c r="J60" s="399"/>
      <c r="K60" s="399"/>
      <c r="L60" s="399"/>
      <c r="M60" s="399"/>
      <c r="N60" s="399"/>
      <c r="O60" s="399">
        <f>SUM(E60:N60)</f>
        <v>0</v>
      </c>
    </row>
    <row r="61" spans="1:15" s="136" customFormat="1" ht="23.25" hidden="1" customHeight="1" x14ac:dyDescent="0.2">
      <c r="A61" s="138"/>
      <c r="B61" s="138"/>
      <c r="C61" s="400" t="s">
        <v>996</v>
      </c>
      <c r="D61" s="430">
        <v>164106</v>
      </c>
      <c r="E61" s="425"/>
      <c r="F61" s="425"/>
      <c r="G61" s="399"/>
      <c r="H61" s="399"/>
      <c r="I61" s="399"/>
      <c r="J61" s="399"/>
      <c r="K61" s="399"/>
      <c r="L61" s="399"/>
      <c r="M61" s="399"/>
      <c r="N61" s="399"/>
      <c r="O61" s="399">
        <f>SUM(E61:N61)</f>
        <v>0</v>
      </c>
    </row>
    <row r="62" spans="1:15" s="136" customFormat="1" ht="24" hidden="1" customHeight="1" x14ac:dyDescent="0.2">
      <c r="A62" s="138"/>
      <c r="B62" s="138"/>
      <c r="C62" s="400" t="s">
        <v>997</v>
      </c>
      <c r="D62" s="430">
        <v>164204</v>
      </c>
      <c r="E62" s="425"/>
      <c r="F62" s="425"/>
      <c r="G62" s="399"/>
      <c r="H62" s="399"/>
      <c r="I62" s="399"/>
      <c r="J62" s="399"/>
      <c r="K62" s="399"/>
      <c r="L62" s="399"/>
      <c r="M62" s="399"/>
      <c r="N62" s="399"/>
      <c r="O62" s="399">
        <f>SUM(E62:N62)</f>
        <v>0</v>
      </c>
    </row>
    <row r="63" spans="1:15" s="136" customFormat="1" ht="35.25" hidden="1" customHeight="1" x14ac:dyDescent="0.2">
      <c r="A63" s="138"/>
      <c r="B63" s="138"/>
      <c r="C63" s="431" t="s">
        <v>259</v>
      </c>
      <c r="D63" s="430">
        <v>164205</v>
      </c>
      <c r="E63" s="425"/>
      <c r="F63" s="425"/>
      <c r="G63" s="399"/>
      <c r="H63" s="399"/>
      <c r="I63" s="399"/>
      <c r="J63" s="399"/>
      <c r="K63" s="399"/>
      <c r="L63" s="399"/>
      <c r="M63" s="399"/>
      <c r="N63" s="399"/>
      <c r="O63" s="399">
        <f>SUM(E63:N63)</f>
        <v>0</v>
      </c>
    </row>
    <row r="64" spans="1:15" s="136" customFormat="1" ht="35.25" customHeight="1" x14ac:dyDescent="0.2">
      <c r="A64" s="138"/>
      <c r="B64" s="138"/>
      <c r="C64" s="431" t="s">
        <v>260</v>
      </c>
      <c r="D64" s="430">
        <v>164206</v>
      </c>
      <c r="E64" s="425"/>
      <c r="F64" s="425">
        <v>-151000</v>
      </c>
      <c r="G64" s="399"/>
      <c r="H64" s="399">
        <v>-40770</v>
      </c>
      <c r="I64" s="399"/>
      <c r="J64" s="399"/>
      <c r="K64" s="399"/>
      <c r="L64" s="399"/>
      <c r="M64" s="399"/>
      <c r="N64" s="399"/>
      <c r="O64" s="399">
        <f>SUM(E64:N64)</f>
        <v>-191770</v>
      </c>
    </row>
    <row r="65" spans="1:15" s="136" customFormat="1" ht="30" customHeight="1" x14ac:dyDescent="0.2">
      <c r="A65" s="138"/>
      <c r="B65" s="138"/>
      <c r="C65" s="414" t="s">
        <v>261</v>
      </c>
      <c r="D65" s="433"/>
      <c r="E65" s="399"/>
      <c r="F65" s="399"/>
      <c r="G65" s="399"/>
      <c r="H65" s="399"/>
      <c r="I65" s="399"/>
      <c r="J65" s="399"/>
      <c r="K65" s="399"/>
      <c r="L65" s="399"/>
      <c r="M65" s="399"/>
      <c r="N65" s="399"/>
      <c r="O65" s="399"/>
    </row>
    <row r="66" spans="1:15" s="136" customFormat="1" ht="25.5" hidden="1" customHeight="1" x14ac:dyDescent="0.2">
      <c r="A66" s="138"/>
      <c r="B66" s="138"/>
      <c r="C66" s="420" t="s">
        <v>262</v>
      </c>
      <c r="D66" s="432">
        <v>162695</v>
      </c>
      <c r="E66" s="399"/>
      <c r="F66" s="399"/>
      <c r="G66" s="399"/>
      <c r="H66" s="399"/>
      <c r="I66" s="399"/>
      <c r="J66" s="399"/>
      <c r="K66" s="399"/>
      <c r="L66" s="399"/>
      <c r="M66" s="399"/>
      <c r="N66" s="399"/>
      <c r="O66" s="399">
        <f>SUM(E66:N66)</f>
        <v>0</v>
      </c>
    </row>
    <row r="67" spans="1:15" s="136" customFormat="1" ht="19.5" hidden="1" customHeight="1" x14ac:dyDescent="0.2">
      <c r="A67" s="138"/>
      <c r="B67" s="138"/>
      <c r="C67" s="434" t="s">
        <v>263</v>
      </c>
      <c r="D67" s="435">
        <v>162607</v>
      </c>
      <c r="E67" s="436"/>
      <c r="F67" s="436"/>
      <c r="G67" s="437"/>
      <c r="H67" s="437"/>
      <c r="I67" s="437"/>
      <c r="J67" s="437"/>
      <c r="K67" s="437"/>
      <c r="L67" s="437"/>
      <c r="M67" s="437"/>
      <c r="N67" s="437"/>
      <c r="O67" s="437">
        <f t="shared" ref="O67:O68" si="6">SUM(E67:N67)</f>
        <v>0</v>
      </c>
    </row>
    <row r="68" spans="1:15" s="136" customFormat="1" ht="25.5" hidden="1" customHeight="1" x14ac:dyDescent="0.2">
      <c r="A68" s="146"/>
      <c r="B68" s="146"/>
      <c r="C68" s="438" t="s">
        <v>264</v>
      </c>
      <c r="D68" s="435">
        <v>162640</v>
      </c>
      <c r="E68" s="437"/>
      <c r="F68" s="437"/>
      <c r="G68" s="437"/>
      <c r="H68" s="437"/>
      <c r="I68" s="437"/>
      <c r="J68" s="437"/>
      <c r="K68" s="437"/>
      <c r="L68" s="437"/>
      <c r="M68" s="437"/>
      <c r="N68" s="437"/>
      <c r="O68" s="437">
        <f t="shared" si="6"/>
        <v>0</v>
      </c>
    </row>
    <row r="69" spans="1:15" s="136" customFormat="1" ht="37.5" hidden="1" customHeight="1" x14ac:dyDescent="0.2">
      <c r="A69" s="146"/>
      <c r="B69" s="146"/>
      <c r="C69" s="439" t="s">
        <v>265</v>
      </c>
      <c r="D69" s="353">
        <v>163603</v>
      </c>
      <c r="E69" s="437"/>
      <c r="F69" s="437"/>
      <c r="G69" s="437"/>
      <c r="H69" s="437"/>
      <c r="I69" s="437"/>
      <c r="J69" s="437"/>
      <c r="K69" s="437"/>
      <c r="L69" s="437"/>
      <c r="M69" s="330"/>
      <c r="N69" s="437"/>
      <c r="O69" s="437">
        <f t="shared" ref="O69:O111" si="7">SUM(E69:N69)</f>
        <v>0</v>
      </c>
    </row>
    <row r="70" spans="1:15" s="136" customFormat="1" ht="37.5" hidden="1" customHeight="1" x14ac:dyDescent="0.2">
      <c r="A70" s="146"/>
      <c r="B70" s="146"/>
      <c r="C70" s="440" t="s">
        <v>266</v>
      </c>
      <c r="D70" s="353">
        <v>163604</v>
      </c>
      <c r="E70" s="437"/>
      <c r="F70" s="437"/>
      <c r="G70" s="437"/>
      <c r="H70" s="437"/>
      <c r="I70" s="437"/>
      <c r="J70" s="437"/>
      <c r="K70" s="437"/>
      <c r="L70" s="437"/>
      <c r="M70" s="330"/>
      <c r="N70" s="437"/>
      <c r="O70" s="437">
        <f t="shared" si="7"/>
        <v>0</v>
      </c>
    </row>
    <row r="71" spans="1:15" s="136" customFormat="1" ht="37.5" hidden="1" customHeight="1" x14ac:dyDescent="0.2">
      <c r="A71" s="146"/>
      <c r="B71" s="146"/>
      <c r="C71" s="440" t="s">
        <v>267</v>
      </c>
      <c r="D71" s="353">
        <v>163606</v>
      </c>
      <c r="E71" s="437"/>
      <c r="F71" s="437"/>
      <c r="G71" s="437"/>
      <c r="H71" s="437"/>
      <c r="I71" s="437"/>
      <c r="J71" s="437"/>
      <c r="K71" s="437"/>
      <c r="L71" s="437"/>
      <c r="M71" s="330"/>
      <c r="N71" s="437"/>
      <c r="O71" s="437">
        <f t="shared" si="7"/>
        <v>0</v>
      </c>
    </row>
    <row r="72" spans="1:15" s="136" customFormat="1" ht="77.25" hidden="1" customHeight="1" x14ac:dyDescent="0.2">
      <c r="A72" s="146"/>
      <c r="B72" s="146"/>
      <c r="C72" s="439" t="s">
        <v>268</v>
      </c>
      <c r="D72" s="353">
        <v>163607</v>
      </c>
      <c r="E72" s="437"/>
      <c r="F72" s="437"/>
      <c r="G72" s="437"/>
      <c r="H72" s="437"/>
      <c r="I72" s="437"/>
      <c r="J72" s="437"/>
      <c r="K72" s="437"/>
      <c r="L72" s="437"/>
      <c r="M72" s="330"/>
      <c r="N72" s="437"/>
      <c r="O72" s="437">
        <f t="shared" si="7"/>
        <v>0</v>
      </c>
    </row>
    <row r="73" spans="1:15" s="136" customFormat="1" ht="37.5" hidden="1" customHeight="1" x14ac:dyDescent="0.2">
      <c r="A73" s="146"/>
      <c r="B73" s="146"/>
      <c r="C73" s="439" t="s">
        <v>269</v>
      </c>
      <c r="D73" s="353">
        <v>163608</v>
      </c>
      <c r="E73" s="437"/>
      <c r="F73" s="437"/>
      <c r="G73" s="437"/>
      <c r="H73" s="437"/>
      <c r="I73" s="437"/>
      <c r="J73" s="437"/>
      <c r="K73" s="437"/>
      <c r="L73" s="437"/>
      <c r="M73" s="330"/>
      <c r="N73" s="437"/>
      <c r="O73" s="437">
        <f t="shared" si="7"/>
        <v>0</v>
      </c>
    </row>
    <row r="74" spans="1:15" s="136" customFormat="1" ht="37.5" hidden="1" customHeight="1" x14ac:dyDescent="0.2">
      <c r="A74" s="146"/>
      <c r="B74" s="146"/>
      <c r="C74" s="439" t="s">
        <v>270</v>
      </c>
      <c r="D74" s="353">
        <v>163609</v>
      </c>
      <c r="E74" s="437"/>
      <c r="F74" s="437"/>
      <c r="G74" s="437"/>
      <c r="H74" s="437"/>
      <c r="I74" s="437"/>
      <c r="J74" s="437"/>
      <c r="K74" s="437"/>
      <c r="L74" s="437"/>
      <c r="M74" s="330"/>
      <c r="N74" s="437"/>
      <c r="O74" s="437">
        <f t="shared" si="7"/>
        <v>0</v>
      </c>
    </row>
    <row r="75" spans="1:15" s="136" customFormat="1" ht="37.5" hidden="1" customHeight="1" x14ac:dyDescent="0.2">
      <c r="A75" s="146"/>
      <c r="B75" s="146"/>
      <c r="C75" s="441" t="s">
        <v>271</v>
      </c>
      <c r="D75" s="353">
        <v>163611</v>
      </c>
      <c r="E75" s="437"/>
      <c r="F75" s="437"/>
      <c r="G75" s="437"/>
      <c r="H75" s="437"/>
      <c r="I75" s="437"/>
      <c r="J75" s="437"/>
      <c r="K75" s="437"/>
      <c r="L75" s="437"/>
      <c r="M75" s="330"/>
      <c r="N75" s="437"/>
      <c r="O75" s="437">
        <f t="shared" si="7"/>
        <v>0</v>
      </c>
    </row>
    <row r="76" spans="1:15" s="136" customFormat="1" ht="37.5" hidden="1" customHeight="1" x14ac:dyDescent="0.2">
      <c r="A76" s="146"/>
      <c r="B76" s="146"/>
      <c r="C76" s="442" t="s">
        <v>272</v>
      </c>
      <c r="D76" s="353">
        <v>163612</v>
      </c>
      <c r="E76" s="437"/>
      <c r="F76" s="437"/>
      <c r="G76" s="437"/>
      <c r="H76" s="437"/>
      <c r="I76" s="437"/>
      <c r="J76" s="437"/>
      <c r="K76" s="437"/>
      <c r="L76" s="437"/>
      <c r="M76" s="330"/>
      <c r="N76" s="437"/>
      <c r="O76" s="437">
        <f t="shared" si="7"/>
        <v>0</v>
      </c>
    </row>
    <row r="77" spans="1:15" s="136" customFormat="1" ht="37.5" hidden="1" customHeight="1" x14ac:dyDescent="0.2">
      <c r="A77" s="146"/>
      <c r="B77" s="146"/>
      <c r="C77" s="442" t="s">
        <v>273</v>
      </c>
      <c r="D77" s="353">
        <v>163613</v>
      </c>
      <c r="E77" s="437"/>
      <c r="F77" s="437"/>
      <c r="G77" s="437"/>
      <c r="H77" s="437"/>
      <c r="I77" s="437"/>
      <c r="J77" s="437"/>
      <c r="K77" s="437"/>
      <c r="L77" s="437"/>
      <c r="M77" s="330"/>
      <c r="N77" s="437"/>
      <c r="O77" s="437">
        <f t="shared" si="7"/>
        <v>0</v>
      </c>
    </row>
    <row r="78" spans="1:15" s="136" customFormat="1" ht="37.5" hidden="1" customHeight="1" x14ac:dyDescent="0.2">
      <c r="A78" s="146"/>
      <c r="B78" s="146"/>
      <c r="C78" s="442" t="s">
        <v>274</v>
      </c>
      <c r="D78" s="353">
        <v>163614</v>
      </c>
      <c r="E78" s="437"/>
      <c r="F78" s="437"/>
      <c r="G78" s="437"/>
      <c r="H78" s="437"/>
      <c r="I78" s="437"/>
      <c r="J78" s="437"/>
      <c r="K78" s="437"/>
      <c r="L78" s="437"/>
      <c r="M78" s="330"/>
      <c r="N78" s="437"/>
      <c r="O78" s="437">
        <f t="shared" si="7"/>
        <v>0</v>
      </c>
    </row>
    <row r="79" spans="1:15" s="136" customFormat="1" ht="37.5" hidden="1" customHeight="1" x14ac:dyDescent="0.2">
      <c r="A79" s="146"/>
      <c r="B79" s="146"/>
      <c r="C79" s="442" t="s">
        <v>275</v>
      </c>
      <c r="D79" s="353">
        <v>163615</v>
      </c>
      <c r="E79" s="437"/>
      <c r="F79" s="437"/>
      <c r="G79" s="437"/>
      <c r="H79" s="437"/>
      <c r="I79" s="437"/>
      <c r="J79" s="437"/>
      <c r="K79" s="437"/>
      <c r="L79" s="437"/>
      <c r="M79" s="330"/>
      <c r="N79" s="437"/>
      <c r="O79" s="437">
        <f t="shared" si="7"/>
        <v>0</v>
      </c>
    </row>
    <row r="80" spans="1:15" s="136" customFormat="1" ht="37.5" hidden="1" customHeight="1" x14ac:dyDescent="0.2">
      <c r="A80" s="146"/>
      <c r="B80" s="146"/>
      <c r="C80" s="442" t="s">
        <v>276</v>
      </c>
      <c r="D80" s="353">
        <v>163616</v>
      </c>
      <c r="E80" s="437"/>
      <c r="F80" s="437"/>
      <c r="G80" s="437"/>
      <c r="H80" s="437"/>
      <c r="I80" s="437"/>
      <c r="J80" s="437"/>
      <c r="K80" s="437"/>
      <c r="L80" s="437"/>
      <c r="M80" s="330"/>
      <c r="N80" s="437"/>
      <c r="O80" s="437">
        <f t="shared" si="7"/>
        <v>0</v>
      </c>
    </row>
    <row r="81" spans="1:15" s="136" customFormat="1" ht="37.5" hidden="1" customHeight="1" x14ac:dyDescent="0.2">
      <c r="A81" s="146"/>
      <c r="B81" s="146"/>
      <c r="C81" s="442" t="s">
        <v>277</v>
      </c>
      <c r="D81" s="353">
        <v>163617</v>
      </c>
      <c r="E81" s="437"/>
      <c r="F81" s="437"/>
      <c r="G81" s="437"/>
      <c r="H81" s="437"/>
      <c r="I81" s="437"/>
      <c r="J81" s="437"/>
      <c r="K81" s="437"/>
      <c r="L81" s="437"/>
      <c r="M81" s="330"/>
      <c r="N81" s="437"/>
      <c r="O81" s="437">
        <f t="shared" si="7"/>
        <v>0</v>
      </c>
    </row>
    <row r="82" spans="1:15" s="136" customFormat="1" ht="37.5" hidden="1" customHeight="1" x14ac:dyDescent="0.2">
      <c r="A82" s="146"/>
      <c r="B82" s="146"/>
      <c r="C82" s="442" t="s">
        <v>278</v>
      </c>
      <c r="D82" s="555">
        <v>163623</v>
      </c>
      <c r="E82" s="437"/>
      <c r="F82" s="437"/>
      <c r="G82" s="437"/>
      <c r="H82" s="437"/>
      <c r="I82" s="437"/>
      <c r="J82" s="437"/>
      <c r="K82" s="437"/>
      <c r="L82" s="437"/>
      <c r="M82" s="437"/>
      <c r="N82" s="437"/>
      <c r="O82" s="437">
        <f t="shared" si="7"/>
        <v>0</v>
      </c>
    </row>
    <row r="83" spans="1:15" s="136" customFormat="1" ht="22.5" hidden="1" customHeight="1" x14ac:dyDescent="0.2">
      <c r="A83" s="146"/>
      <c r="B83" s="146"/>
      <c r="C83" s="443" t="s">
        <v>279</v>
      </c>
      <c r="D83" s="555">
        <v>163625</v>
      </c>
      <c r="E83" s="437"/>
      <c r="F83" s="437"/>
      <c r="G83" s="437"/>
      <c r="H83" s="437"/>
      <c r="I83" s="437"/>
      <c r="J83" s="437"/>
      <c r="K83" s="437"/>
      <c r="L83" s="437"/>
      <c r="M83" s="437"/>
      <c r="N83" s="437"/>
      <c r="O83" s="437">
        <f t="shared" si="7"/>
        <v>0</v>
      </c>
    </row>
    <row r="84" spans="1:15" s="136" customFormat="1" ht="22.5" hidden="1" customHeight="1" x14ac:dyDescent="0.2">
      <c r="A84" s="146"/>
      <c r="B84" s="146"/>
      <c r="C84" s="438" t="s">
        <v>280</v>
      </c>
      <c r="D84" s="555">
        <v>163626</v>
      </c>
      <c r="E84" s="437"/>
      <c r="F84" s="437"/>
      <c r="G84" s="437"/>
      <c r="H84" s="437"/>
      <c r="I84" s="437"/>
      <c r="J84" s="437"/>
      <c r="K84" s="437"/>
      <c r="L84" s="437"/>
      <c r="M84" s="437"/>
      <c r="N84" s="437"/>
      <c r="O84" s="437">
        <f t="shared" si="7"/>
        <v>0</v>
      </c>
    </row>
    <row r="85" spans="1:15" s="136" customFormat="1" ht="37.5" hidden="1" customHeight="1" x14ac:dyDescent="0.2">
      <c r="A85" s="146"/>
      <c r="B85" s="146"/>
      <c r="C85" s="444" t="s">
        <v>281</v>
      </c>
      <c r="D85" s="555">
        <v>163627</v>
      </c>
      <c r="E85" s="437"/>
      <c r="F85" s="437"/>
      <c r="G85" s="437"/>
      <c r="H85" s="437"/>
      <c r="I85" s="437"/>
      <c r="J85" s="437"/>
      <c r="K85" s="437"/>
      <c r="L85" s="437"/>
      <c r="M85" s="437"/>
      <c r="N85" s="437"/>
      <c r="O85" s="437">
        <f t="shared" si="7"/>
        <v>0</v>
      </c>
    </row>
    <row r="86" spans="1:15" s="136" customFormat="1" ht="38.25" customHeight="1" x14ac:dyDescent="0.2">
      <c r="A86" s="146"/>
      <c r="B86" s="146"/>
      <c r="C86" s="445" t="s">
        <v>283</v>
      </c>
      <c r="D86" s="555">
        <v>163628</v>
      </c>
      <c r="E86" s="437"/>
      <c r="F86" s="437">
        <v>7997</v>
      </c>
      <c r="G86" s="437"/>
      <c r="H86" s="437">
        <v>2159</v>
      </c>
      <c r="I86" s="437"/>
      <c r="J86" s="437"/>
      <c r="K86" s="437"/>
      <c r="L86" s="437"/>
      <c r="M86" s="437"/>
      <c r="N86" s="437"/>
      <c r="O86" s="437">
        <f t="shared" si="7"/>
        <v>10156</v>
      </c>
    </row>
    <row r="87" spans="1:15" s="136" customFormat="1" ht="24" hidden="1" customHeight="1" x14ac:dyDescent="0.2">
      <c r="A87" s="146"/>
      <c r="B87" s="146"/>
      <c r="C87" s="444" t="s">
        <v>282</v>
      </c>
      <c r="D87" s="555">
        <v>163629</v>
      </c>
      <c r="E87" s="437"/>
      <c r="F87" s="437"/>
      <c r="G87" s="437"/>
      <c r="H87" s="437"/>
      <c r="I87" s="437"/>
      <c r="J87" s="437"/>
      <c r="K87" s="437"/>
      <c r="L87" s="437"/>
      <c r="M87" s="437"/>
      <c r="N87" s="437"/>
      <c r="O87" s="437">
        <f t="shared" si="7"/>
        <v>0</v>
      </c>
    </row>
    <row r="88" spans="1:15" s="136" customFormat="1" ht="41.25" hidden="1" customHeight="1" x14ac:dyDescent="0.2">
      <c r="A88" s="146"/>
      <c r="B88" s="146"/>
      <c r="C88" s="446" t="s">
        <v>284</v>
      </c>
      <c r="D88" s="555">
        <v>163633</v>
      </c>
      <c r="E88" s="437"/>
      <c r="F88" s="437"/>
      <c r="G88" s="437"/>
      <c r="H88" s="437"/>
      <c r="I88" s="437"/>
      <c r="J88" s="437"/>
      <c r="K88" s="437"/>
      <c r="L88" s="437"/>
      <c r="M88" s="437"/>
      <c r="N88" s="437"/>
      <c r="O88" s="437">
        <f t="shared" si="7"/>
        <v>0</v>
      </c>
    </row>
    <row r="89" spans="1:15" s="136" customFormat="1" ht="41.25" hidden="1" customHeight="1" x14ac:dyDescent="0.2">
      <c r="A89" s="146"/>
      <c r="B89" s="146"/>
      <c r="C89" s="447" t="s">
        <v>285</v>
      </c>
      <c r="D89" s="555">
        <v>163646</v>
      </c>
      <c r="E89" s="437"/>
      <c r="F89" s="437"/>
      <c r="G89" s="437"/>
      <c r="H89" s="437"/>
      <c r="I89" s="437"/>
      <c r="J89" s="437"/>
      <c r="K89" s="437"/>
      <c r="L89" s="437"/>
      <c r="M89" s="437"/>
      <c r="N89" s="437"/>
      <c r="O89" s="437">
        <f t="shared" si="7"/>
        <v>0</v>
      </c>
    </row>
    <row r="90" spans="1:15" s="136" customFormat="1" ht="50.25" hidden="1" customHeight="1" x14ac:dyDescent="0.2">
      <c r="A90" s="146"/>
      <c r="B90" s="146"/>
      <c r="C90" s="438" t="s">
        <v>286</v>
      </c>
      <c r="D90" s="555">
        <v>163637</v>
      </c>
      <c r="E90" s="437"/>
      <c r="F90" s="437"/>
      <c r="G90" s="437"/>
      <c r="H90" s="437"/>
      <c r="I90" s="437"/>
      <c r="J90" s="437"/>
      <c r="K90" s="437"/>
      <c r="L90" s="437"/>
      <c r="M90" s="437"/>
      <c r="N90" s="437"/>
      <c r="O90" s="437">
        <f t="shared" si="7"/>
        <v>0</v>
      </c>
    </row>
    <row r="91" spans="1:15" s="136" customFormat="1" ht="30" hidden="1" customHeight="1" x14ac:dyDescent="0.2">
      <c r="A91" s="146"/>
      <c r="B91" s="146"/>
      <c r="C91" s="446" t="s">
        <v>287</v>
      </c>
      <c r="D91" s="555">
        <v>163638</v>
      </c>
      <c r="E91" s="437"/>
      <c r="F91" s="437"/>
      <c r="G91" s="437"/>
      <c r="H91" s="437"/>
      <c r="I91" s="437"/>
      <c r="J91" s="437"/>
      <c r="K91" s="437"/>
      <c r="L91" s="437"/>
      <c r="M91" s="437"/>
      <c r="N91" s="437"/>
      <c r="O91" s="437">
        <f t="shared" si="7"/>
        <v>0</v>
      </c>
    </row>
    <row r="92" spans="1:15" s="136" customFormat="1" ht="28.5" hidden="1" customHeight="1" x14ac:dyDescent="0.2">
      <c r="A92" s="146"/>
      <c r="B92" s="146"/>
      <c r="C92" s="446" t="s">
        <v>288</v>
      </c>
      <c r="D92" s="555">
        <v>163639</v>
      </c>
      <c r="E92" s="437"/>
      <c r="F92" s="437"/>
      <c r="G92" s="437"/>
      <c r="H92" s="437"/>
      <c r="I92" s="437"/>
      <c r="J92" s="437"/>
      <c r="K92" s="437"/>
      <c r="L92" s="437"/>
      <c r="M92" s="437"/>
      <c r="N92" s="437"/>
      <c r="O92" s="437">
        <f t="shared" si="7"/>
        <v>0</v>
      </c>
    </row>
    <row r="93" spans="1:15" s="136" customFormat="1" ht="28.5" hidden="1" customHeight="1" x14ac:dyDescent="0.2">
      <c r="A93" s="146"/>
      <c r="B93" s="146"/>
      <c r="C93" s="446" t="s">
        <v>289</v>
      </c>
      <c r="D93" s="555">
        <v>163640</v>
      </c>
      <c r="E93" s="437"/>
      <c r="F93" s="437"/>
      <c r="G93" s="437"/>
      <c r="H93" s="437"/>
      <c r="I93" s="437"/>
      <c r="J93" s="437"/>
      <c r="K93" s="437"/>
      <c r="L93" s="437"/>
      <c r="M93" s="437"/>
      <c r="N93" s="437"/>
      <c r="O93" s="437">
        <f t="shared" si="7"/>
        <v>0</v>
      </c>
    </row>
    <row r="94" spans="1:15" s="136" customFormat="1" ht="28.5" hidden="1" customHeight="1" x14ac:dyDescent="0.2">
      <c r="A94" s="658"/>
      <c r="B94" s="658"/>
      <c r="C94" s="576" t="s">
        <v>1098</v>
      </c>
      <c r="D94" s="663">
        <v>163648</v>
      </c>
      <c r="E94" s="647"/>
      <c r="F94" s="647"/>
      <c r="G94" s="647"/>
      <c r="H94" s="647"/>
      <c r="I94" s="647"/>
      <c r="J94" s="647"/>
      <c r="K94" s="647"/>
      <c r="L94" s="647"/>
      <c r="M94" s="647"/>
      <c r="N94" s="647"/>
      <c r="O94" s="437">
        <f t="shared" si="7"/>
        <v>0</v>
      </c>
    </row>
    <row r="95" spans="1:15" s="136" customFormat="1" ht="49.5" hidden="1" customHeight="1" x14ac:dyDescent="0.2">
      <c r="A95" s="658"/>
      <c r="B95" s="658"/>
      <c r="C95" s="661" t="s">
        <v>1099</v>
      </c>
      <c r="D95" s="663">
        <v>163652</v>
      </c>
      <c r="E95" s="647"/>
      <c r="F95" s="647"/>
      <c r="G95" s="647"/>
      <c r="H95" s="647"/>
      <c r="I95" s="647"/>
      <c r="J95" s="647"/>
      <c r="K95" s="647"/>
      <c r="L95" s="647"/>
      <c r="M95" s="647"/>
      <c r="N95" s="647"/>
      <c r="O95" s="437">
        <f t="shared" si="7"/>
        <v>0</v>
      </c>
    </row>
    <row r="96" spans="1:15" s="136" customFormat="1" ht="51.75" hidden="1" customHeight="1" x14ac:dyDescent="0.2">
      <c r="A96" s="658"/>
      <c r="B96" s="658"/>
      <c r="C96" s="662" t="s">
        <v>1100</v>
      </c>
      <c r="D96" s="663">
        <v>163653</v>
      </c>
      <c r="E96" s="647"/>
      <c r="F96" s="647"/>
      <c r="G96" s="647"/>
      <c r="H96" s="647"/>
      <c r="I96" s="647"/>
      <c r="J96" s="647"/>
      <c r="K96" s="647"/>
      <c r="L96" s="647"/>
      <c r="M96" s="647"/>
      <c r="N96" s="647"/>
      <c r="O96" s="437">
        <f t="shared" si="7"/>
        <v>0</v>
      </c>
    </row>
    <row r="97" spans="1:15" s="136" customFormat="1" ht="43.5" customHeight="1" x14ac:dyDescent="0.2">
      <c r="A97" s="869"/>
      <c r="B97" s="869"/>
      <c r="C97" s="908" t="s">
        <v>1360</v>
      </c>
      <c r="D97" s="663">
        <v>163636</v>
      </c>
      <c r="E97" s="873"/>
      <c r="F97" s="873">
        <v>492</v>
      </c>
      <c r="G97" s="873"/>
      <c r="H97" s="873"/>
      <c r="I97" s="873"/>
      <c r="J97" s="873"/>
      <c r="K97" s="873"/>
      <c r="L97" s="873"/>
      <c r="M97" s="873"/>
      <c r="N97" s="873"/>
      <c r="O97" s="437">
        <f t="shared" si="7"/>
        <v>492</v>
      </c>
    </row>
    <row r="98" spans="1:15" s="136" customFormat="1" ht="38.25" x14ac:dyDescent="0.2">
      <c r="A98" s="146"/>
      <c r="B98" s="146"/>
      <c r="C98" s="660" t="s">
        <v>290</v>
      </c>
      <c r="D98" s="555">
        <v>163621</v>
      </c>
      <c r="E98" s="436"/>
      <c r="F98" s="436"/>
      <c r="G98" s="437"/>
      <c r="H98" s="437">
        <v>2351</v>
      </c>
      <c r="I98" s="437"/>
      <c r="J98" s="437"/>
      <c r="K98" s="437"/>
      <c r="L98" s="437"/>
      <c r="M98" s="437"/>
      <c r="N98" s="437"/>
      <c r="O98" s="437">
        <f t="shared" si="7"/>
        <v>2351</v>
      </c>
    </row>
    <row r="99" spans="1:15" s="136" customFormat="1" ht="28.5" customHeight="1" x14ac:dyDescent="0.2">
      <c r="A99" s="146"/>
      <c r="B99" s="146"/>
      <c r="C99" s="448" t="s">
        <v>291</v>
      </c>
      <c r="D99" s="555">
        <v>162687</v>
      </c>
      <c r="E99" s="436"/>
      <c r="F99" s="436"/>
      <c r="G99" s="437"/>
      <c r="H99" s="437">
        <v>4805</v>
      </c>
      <c r="I99" s="437"/>
      <c r="J99" s="437"/>
      <c r="K99" s="437"/>
      <c r="L99" s="437"/>
      <c r="M99" s="437"/>
      <c r="N99" s="437"/>
      <c r="O99" s="437">
        <f t="shared" si="7"/>
        <v>4805</v>
      </c>
    </row>
    <row r="100" spans="1:15" s="136" customFormat="1" ht="29.25" customHeight="1" x14ac:dyDescent="0.2">
      <c r="A100" s="146"/>
      <c r="B100" s="146"/>
      <c r="C100" s="438" t="s">
        <v>292</v>
      </c>
      <c r="D100" s="555">
        <v>163702</v>
      </c>
      <c r="E100" s="436"/>
      <c r="F100" s="436"/>
      <c r="G100" s="437"/>
      <c r="H100" s="437">
        <v>1119</v>
      </c>
      <c r="I100" s="437"/>
      <c r="J100" s="437"/>
      <c r="K100" s="437"/>
      <c r="L100" s="437"/>
      <c r="M100" s="437"/>
      <c r="N100" s="437"/>
      <c r="O100" s="437">
        <f t="shared" si="7"/>
        <v>1119</v>
      </c>
    </row>
    <row r="101" spans="1:15" s="136" customFormat="1" ht="29.25" hidden="1" customHeight="1" x14ac:dyDescent="0.2">
      <c r="A101" s="146"/>
      <c r="B101" s="146"/>
      <c r="C101" s="438" t="s">
        <v>293</v>
      </c>
      <c r="D101" s="555">
        <v>163641</v>
      </c>
      <c r="E101" s="436"/>
      <c r="F101" s="436"/>
      <c r="G101" s="437"/>
      <c r="H101" s="437"/>
      <c r="I101" s="437"/>
      <c r="J101" s="437"/>
      <c r="K101" s="437"/>
      <c r="L101" s="437"/>
      <c r="M101" s="437"/>
      <c r="N101" s="437"/>
      <c r="O101" s="437">
        <f t="shared" si="7"/>
        <v>0</v>
      </c>
    </row>
    <row r="102" spans="1:15" s="136" customFormat="1" ht="29.25" hidden="1" customHeight="1" x14ac:dyDescent="0.2">
      <c r="A102" s="146"/>
      <c r="B102" s="146"/>
      <c r="C102" s="449" t="s">
        <v>294</v>
      </c>
      <c r="D102" s="555">
        <v>163644</v>
      </c>
      <c r="E102" s="436"/>
      <c r="F102" s="436"/>
      <c r="G102" s="437"/>
      <c r="H102" s="437"/>
      <c r="I102" s="437"/>
      <c r="J102" s="437"/>
      <c r="K102" s="437"/>
      <c r="L102" s="437"/>
      <c r="M102" s="437"/>
      <c r="N102" s="437"/>
      <c r="O102" s="437">
        <f t="shared" si="7"/>
        <v>0</v>
      </c>
    </row>
    <row r="103" spans="1:15" s="136" customFormat="1" ht="36.75" hidden="1" customHeight="1" x14ac:dyDescent="0.2">
      <c r="A103" s="658"/>
      <c r="B103" s="658"/>
      <c r="C103" s="664" t="s">
        <v>1101</v>
      </c>
      <c r="D103" s="665">
        <v>163650</v>
      </c>
      <c r="E103" s="659"/>
      <c r="F103" s="659"/>
      <c r="G103" s="647"/>
      <c r="H103" s="647"/>
      <c r="I103" s="647"/>
      <c r="J103" s="647"/>
      <c r="K103" s="647"/>
      <c r="L103" s="647"/>
      <c r="M103" s="647"/>
      <c r="N103" s="647"/>
      <c r="O103" s="437">
        <f t="shared" si="7"/>
        <v>0</v>
      </c>
    </row>
    <row r="104" spans="1:15" s="136" customFormat="1" ht="29.25" hidden="1" customHeight="1" x14ac:dyDescent="0.2">
      <c r="A104" s="146"/>
      <c r="B104" s="146"/>
      <c r="C104" s="438" t="s">
        <v>295</v>
      </c>
      <c r="D104" s="555">
        <v>163643</v>
      </c>
      <c r="E104" s="436"/>
      <c r="F104" s="436"/>
      <c r="G104" s="437"/>
      <c r="H104" s="437"/>
      <c r="I104" s="437"/>
      <c r="J104" s="437"/>
      <c r="K104" s="437"/>
      <c r="L104" s="437"/>
      <c r="M104" s="437"/>
      <c r="N104" s="437"/>
      <c r="O104" s="437">
        <f t="shared" si="7"/>
        <v>0</v>
      </c>
    </row>
    <row r="105" spans="1:15" s="136" customFormat="1" ht="48" hidden="1" customHeight="1" x14ac:dyDescent="0.2">
      <c r="A105" s="146"/>
      <c r="B105" s="146"/>
      <c r="C105" s="438" t="s">
        <v>296</v>
      </c>
      <c r="D105" s="555">
        <v>163645</v>
      </c>
      <c r="E105" s="436"/>
      <c r="F105" s="436"/>
      <c r="G105" s="437"/>
      <c r="H105" s="437"/>
      <c r="I105" s="437"/>
      <c r="J105" s="437"/>
      <c r="K105" s="437"/>
      <c r="L105" s="437"/>
      <c r="M105" s="437"/>
      <c r="N105" s="437"/>
      <c r="O105" s="437">
        <f t="shared" si="7"/>
        <v>0</v>
      </c>
    </row>
    <row r="106" spans="1:15" s="136" customFormat="1" ht="36.75" hidden="1" customHeight="1" x14ac:dyDescent="0.2">
      <c r="A106" s="146"/>
      <c r="B106" s="146"/>
      <c r="C106" s="450" t="s">
        <v>297</v>
      </c>
      <c r="D106" s="555">
        <v>182906</v>
      </c>
      <c r="E106" s="436"/>
      <c r="F106" s="436"/>
      <c r="G106" s="437"/>
      <c r="H106" s="437"/>
      <c r="I106" s="437"/>
      <c r="J106" s="437"/>
      <c r="K106" s="437"/>
      <c r="L106" s="437"/>
      <c r="M106" s="437"/>
      <c r="N106" s="437"/>
      <c r="O106" s="437">
        <f t="shared" si="7"/>
        <v>0</v>
      </c>
    </row>
    <row r="107" spans="1:15" s="136" customFormat="1" ht="25.5" hidden="1" customHeight="1" x14ac:dyDescent="0.2">
      <c r="A107" s="146"/>
      <c r="B107" s="146"/>
      <c r="C107" s="451" t="s">
        <v>298</v>
      </c>
      <c r="D107" s="555">
        <v>162630</v>
      </c>
      <c r="E107" s="436"/>
      <c r="F107" s="436"/>
      <c r="G107" s="437"/>
      <c r="H107" s="437"/>
      <c r="I107" s="437"/>
      <c r="J107" s="437"/>
      <c r="K107" s="437"/>
      <c r="L107" s="437"/>
      <c r="M107" s="437"/>
      <c r="N107" s="437"/>
      <c r="O107" s="437">
        <f t="shared" si="7"/>
        <v>0</v>
      </c>
    </row>
    <row r="108" spans="1:15" s="136" customFormat="1" ht="18" hidden="1" customHeight="1" x14ac:dyDescent="0.2">
      <c r="A108" s="658"/>
      <c r="B108" s="658"/>
      <c r="C108" s="576" t="s">
        <v>1102</v>
      </c>
      <c r="D108" s="665">
        <v>163651</v>
      </c>
      <c r="E108" s="659"/>
      <c r="F108" s="659"/>
      <c r="G108" s="647"/>
      <c r="H108" s="647"/>
      <c r="I108" s="647"/>
      <c r="J108" s="647"/>
      <c r="K108" s="647"/>
      <c r="L108" s="647"/>
      <c r="M108" s="647"/>
      <c r="N108" s="647"/>
      <c r="O108" s="437">
        <f t="shared" si="7"/>
        <v>0</v>
      </c>
    </row>
    <row r="109" spans="1:15" s="136" customFormat="1" ht="63.75" hidden="1" customHeight="1" x14ac:dyDescent="0.2">
      <c r="A109" s="658"/>
      <c r="B109" s="658"/>
      <c r="C109" s="576" t="s">
        <v>1103</v>
      </c>
      <c r="D109" s="665">
        <v>163649</v>
      </c>
      <c r="E109" s="659"/>
      <c r="F109" s="659"/>
      <c r="G109" s="647"/>
      <c r="H109" s="647"/>
      <c r="I109" s="647"/>
      <c r="J109" s="647"/>
      <c r="K109" s="647"/>
      <c r="L109" s="647"/>
      <c r="M109" s="647"/>
      <c r="N109" s="647"/>
      <c r="O109" s="437">
        <f t="shared" si="7"/>
        <v>0</v>
      </c>
    </row>
    <row r="110" spans="1:15" s="136" customFormat="1" ht="15" hidden="1" customHeight="1" x14ac:dyDescent="0.2">
      <c r="A110" s="869"/>
      <c r="B110" s="869"/>
      <c r="C110" s="870" t="s">
        <v>1332</v>
      </c>
      <c r="D110" s="871">
        <v>162603</v>
      </c>
      <c r="E110" s="872"/>
      <c r="F110" s="872"/>
      <c r="G110" s="873"/>
      <c r="H110" s="873"/>
      <c r="I110" s="873"/>
      <c r="J110" s="873"/>
      <c r="K110" s="873"/>
      <c r="L110" s="873"/>
      <c r="M110" s="873"/>
      <c r="N110" s="873"/>
      <c r="O110" s="437">
        <f t="shared" si="7"/>
        <v>0</v>
      </c>
    </row>
    <row r="111" spans="1:15" s="136" customFormat="1" ht="36" customHeight="1" x14ac:dyDescent="0.2">
      <c r="A111" s="869"/>
      <c r="B111" s="869"/>
      <c r="C111" s="909" t="s">
        <v>1361</v>
      </c>
      <c r="D111" s="938">
        <v>163654</v>
      </c>
      <c r="E111" s="910">
        <v>433000</v>
      </c>
      <c r="F111" s="910">
        <v>7917000</v>
      </c>
      <c r="G111" s="910"/>
      <c r="H111" s="910">
        <v>342165</v>
      </c>
      <c r="I111" s="873"/>
      <c r="J111" s="873"/>
      <c r="K111" s="873"/>
      <c r="L111" s="873"/>
      <c r="M111" s="873"/>
      <c r="N111" s="873"/>
      <c r="O111" s="437">
        <f t="shared" si="7"/>
        <v>8692165</v>
      </c>
    </row>
    <row r="112" spans="1:15" s="136" customFormat="1" ht="12.95" customHeight="1" x14ac:dyDescent="0.2">
      <c r="A112" s="151"/>
      <c r="B112" s="151"/>
      <c r="C112" s="452" t="s">
        <v>299</v>
      </c>
      <c r="D112" s="453"/>
      <c r="E112" s="454">
        <f>SUM(E59:E111)</f>
        <v>433000</v>
      </c>
      <c r="F112" s="454">
        <f t="shared" ref="F112:O112" si="8">SUM(F59:F111)</f>
        <v>7774489</v>
      </c>
      <c r="G112" s="454">
        <f t="shared" si="8"/>
        <v>0</v>
      </c>
      <c r="H112" s="454">
        <f t="shared" si="8"/>
        <v>311829</v>
      </c>
      <c r="I112" s="454">
        <f t="shared" si="8"/>
        <v>0</v>
      </c>
      <c r="J112" s="454">
        <f t="shared" si="8"/>
        <v>0</v>
      </c>
      <c r="K112" s="454">
        <f t="shared" si="8"/>
        <v>0</v>
      </c>
      <c r="L112" s="454">
        <f t="shared" si="8"/>
        <v>0</v>
      </c>
      <c r="M112" s="454">
        <f t="shared" si="8"/>
        <v>0</v>
      </c>
      <c r="N112" s="454">
        <f t="shared" si="8"/>
        <v>0</v>
      </c>
      <c r="O112" s="454">
        <f t="shared" si="8"/>
        <v>8519318</v>
      </c>
    </row>
    <row r="113" spans="1:15" s="136" customFormat="1" ht="12.95" customHeight="1" x14ac:dyDescent="0.2">
      <c r="A113" s="146">
        <v>1</v>
      </c>
      <c r="B113" s="146">
        <v>17</v>
      </c>
      <c r="C113" s="455" t="s">
        <v>141</v>
      </c>
      <c r="D113" s="456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</row>
    <row r="114" spans="1:15" s="136" customFormat="1" ht="24" customHeight="1" x14ac:dyDescent="0.2">
      <c r="A114" s="146"/>
      <c r="B114" s="146"/>
      <c r="C114" s="450" t="s">
        <v>261</v>
      </c>
      <c r="D114" s="457"/>
      <c r="E114" s="458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</row>
    <row r="115" spans="1:15" s="136" customFormat="1" ht="14.1" hidden="1" customHeight="1" x14ac:dyDescent="0.2">
      <c r="A115" s="146"/>
      <c r="B115" s="146"/>
      <c r="C115" s="459" t="s">
        <v>300</v>
      </c>
      <c r="D115" s="460">
        <v>171907</v>
      </c>
      <c r="E115" s="437"/>
      <c r="F115" s="437"/>
      <c r="G115" s="437"/>
      <c r="H115" s="437"/>
      <c r="I115" s="437"/>
      <c r="J115" s="437"/>
      <c r="K115" s="437"/>
      <c r="L115" s="437"/>
      <c r="M115" s="437"/>
      <c r="N115" s="437"/>
      <c r="O115" s="437">
        <f>SUM(E115:N115)</f>
        <v>0</v>
      </c>
    </row>
    <row r="116" spans="1:15" s="136" customFormat="1" ht="25.5" hidden="1" customHeight="1" x14ac:dyDescent="0.2">
      <c r="A116" s="658"/>
      <c r="B116" s="658"/>
      <c r="C116" s="666" t="s">
        <v>1104</v>
      </c>
      <c r="D116" s="667">
        <v>171972</v>
      </c>
      <c r="E116" s="647"/>
      <c r="F116" s="647"/>
      <c r="G116" s="647"/>
      <c r="H116" s="647"/>
      <c r="I116" s="647"/>
      <c r="J116" s="647"/>
      <c r="K116" s="647"/>
      <c r="L116" s="647"/>
      <c r="M116" s="647"/>
      <c r="N116" s="647"/>
      <c r="O116" s="437">
        <f>SUM(E116:N116)</f>
        <v>0</v>
      </c>
    </row>
    <row r="117" spans="1:15" s="136" customFormat="1" ht="25.5" customHeight="1" x14ac:dyDescent="0.2">
      <c r="A117" s="869"/>
      <c r="B117" s="869"/>
      <c r="C117" s="911" t="s">
        <v>1362</v>
      </c>
      <c r="D117" s="912">
        <v>171911</v>
      </c>
      <c r="E117" s="873"/>
      <c r="F117" s="873"/>
      <c r="G117" s="873"/>
      <c r="H117" s="913">
        <v>18735</v>
      </c>
      <c r="I117" s="913">
        <v>83288</v>
      </c>
      <c r="J117" s="873"/>
      <c r="K117" s="873"/>
      <c r="L117" s="873"/>
      <c r="M117" s="873"/>
      <c r="N117" s="873"/>
      <c r="O117" s="437">
        <f>SUM(E117:N117)</f>
        <v>102023</v>
      </c>
    </row>
    <row r="118" spans="1:15" s="136" customFormat="1" ht="25.5" hidden="1" customHeight="1" x14ac:dyDescent="0.2">
      <c r="A118" s="146"/>
      <c r="B118" s="146"/>
      <c r="C118" s="461" t="s">
        <v>301</v>
      </c>
      <c r="D118" s="462"/>
      <c r="E118" s="437"/>
      <c r="F118" s="437"/>
      <c r="G118" s="437"/>
      <c r="H118" s="437"/>
      <c r="I118" s="437"/>
      <c r="J118" s="437"/>
      <c r="K118" s="437"/>
      <c r="L118" s="437"/>
      <c r="M118" s="437"/>
      <c r="N118" s="437"/>
      <c r="O118" s="437"/>
    </row>
    <row r="119" spans="1:15" s="136" customFormat="1" ht="14.1" hidden="1" customHeight="1" x14ac:dyDescent="0.2">
      <c r="A119" s="146"/>
      <c r="B119" s="146"/>
      <c r="C119" s="463" t="s">
        <v>302</v>
      </c>
      <c r="D119" s="464">
        <v>171980</v>
      </c>
      <c r="E119" s="437"/>
      <c r="F119" s="437"/>
      <c r="G119" s="437"/>
      <c r="H119" s="437"/>
      <c r="I119" s="437"/>
      <c r="J119" s="437"/>
      <c r="K119" s="437"/>
      <c r="L119" s="437"/>
      <c r="M119" s="437"/>
      <c r="N119" s="437"/>
      <c r="O119" s="437">
        <f>SUM(E119:N119)</f>
        <v>0</v>
      </c>
    </row>
    <row r="120" spans="1:15" s="136" customFormat="1" ht="26.25" hidden="1" customHeight="1" x14ac:dyDescent="0.2">
      <c r="A120" s="155"/>
      <c r="B120" s="155"/>
      <c r="C120" s="450" t="s">
        <v>261</v>
      </c>
      <c r="D120" s="457"/>
      <c r="E120" s="437"/>
      <c r="F120" s="437"/>
      <c r="G120" s="437"/>
      <c r="H120" s="437"/>
      <c r="I120" s="437"/>
      <c r="J120" s="437"/>
      <c r="K120" s="437"/>
      <c r="L120" s="437"/>
      <c r="M120" s="437"/>
      <c r="N120" s="437"/>
      <c r="O120" s="437"/>
    </row>
    <row r="121" spans="1:15" s="136" customFormat="1" ht="29.25" hidden="1" customHeight="1" x14ac:dyDescent="0.2">
      <c r="A121" s="146"/>
      <c r="B121" s="146"/>
      <c r="C121" s="465" t="s">
        <v>303</v>
      </c>
      <c r="D121" s="460">
        <v>171905</v>
      </c>
      <c r="E121" s="437"/>
      <c r="F121" s="437"/>
      <c r="G121" s="437"/>
      <c r="H121" s="437"/>
      <c r="I121" s="437"/>
      <c r="J121" s="437"/>
      <c r="K121" s="437"/>
      <c r="L121" s="437"/>
      <c r="M121" s="437"/>
      <c r="N121" s="437"/>
      <c r="O121" s="437">
        <f t="shared" ref="O121:O130" si="9">SUM(E121:N121)</f>
        <v>0</v>
      </c>
    </row>
    <row r="122" spans="1:15" s="136" customFormat="1" ht="14.1" hidden="1" customHeight="1" x14ac:dyDescent="0.2">
      <c r="A122" s="137"/>
      <c r="B122" s="137"/>
      <c r="C122" s="466" t="s">
        <v>304</v>
      </c>
      <c r="D122" s="460">
        <v>171909</v>
      </c>
      <c r="E122" s="437"/>
      <c r="F122" s="437"/>
      <c r="G122" s="437"/>
      <c r="H122" s="437"/>
      <c r="I122" s="437"/>
      <c r="J122" s="437"/>
      <c r="K122" s="437"/>
      <c r="L122" s="437"/>
      <c r="M122" s="437"/>
      <c r="N122" s="437"/>
      <c r="O122" s="437">
        <f t="shared" si="9"/>
        <v>0</v>
      </c>
    </row>
    <row r="123" spans="1:15" s="136" customFormat="1" ht="14.1" hidden="1" customHeight="1" x14ac:dyDescent="0.2">
      <c r="A123" s="137"/>
      <c r="B123" s="137"/>
      <c r="C123" s="466" t="s">
        <v>305</v>
      </c>
      <c r="D123" s="460">
        <v>171904</v>
      </c>
      <c r="E123" s="437"/>
      <c r="F123" s="437"/>
      <c r="G123" s="437"/>
      <c r="H123" s="437"/>
      <c r="I123" s="437"/>
      <c r="J123" s="437"/>
      <c r="K123" s="437"/>
      <c r="L123" s="437"/>
      <c r="M123" s="437"/>
      <c r="N123" s="437"/>
      <c r="O123" s="437">
        <f t="shared" si="9"/>
        <v>0</v>
      </c>
    </row>
    <row r="124" spans="1:15" s="136" customFormat="1" ht="14.1" hidden="1" customHeight="1" x14ac:dyDescent="0.2">
      <c r="A124" s="137"/>
      <c r="B124" s="137"/>
      <c r="C124" s="466" t="s">
        <v>306</v>
      </c>
      <c r="D124" s="460">
        <v>172909</v>
      </c>
      <c r="E124" s="437"/>
      <c r="F124" s="437"/>
      <c r="G124" s="437"/>
      <c r="H124" s="437"/>
      <c r="I124" s="437"/>
      <c r="J124" s="437"/>
      <c r="K124" s="437"/>
      <c r="L124" s="437"/>
      <c r="M124" s="437"/>
      <c r="N124" s="437"/>
      <c r="O124" s="437">
        <f t="shared" si="9"/>
        <v>0</v>
      </c>
    </row>
    <row r="125" spans="1:15" s="136" customFormat="1" ht="14.1" customHeight="1" x14ac:dyDescent="0.2">
      <c r="A125" s="137"/>
      <c r="B125" s="137"/>
      <c r="C125" s="466" t="s">
        <v>307</v>
      </c>
      <c r="D125" s="460">
        <v>131857</v>
      </c>
      <c r="E125" s="437"/>
      <c r="F125" s="437"/>
      <c r="G125" s="437"/>
      <c r="H125" s="437">
        <v>-6350</v>
      </c>
      <c r="I125" s="437"/>
      <c r="J125" s="437"/>
      <c r="K125" s="437"/>
      <c r="L125" s="437"/>
      <c r="M125" s="437"/>
      <c r="N125" s="437"/>
      <c r="O125" s="437">
        <f t="shared" si="9"/>
        <v>-6350</v>
      </c>
    </row>
    <row r="126" spans="1:15" s="136" customFormat="1" ht="14.1" hidden="1" customHeight="1" x14ac:dyDescent="0.2">
      <c r="A126" s="137"/>
      <c r="B126" s="137"/>
      <c r="C126" s="466" t="s">
        <v>308</v>
      </c>
      <c r="D126" s="460">
        <v>172920</v>
      </c>
      <c r="E126" s="437"/>
      <c r="F126" s="437"/>
      <c r="G126" s="437"/>
      <c r="H126" s="437"/>
      <c r="I126" s="437"/>
      <c r="J126" s="437"/>
      <c r="K126" s="437"/>
      <c r="L126" s="437"/>
      <c r="M126" s="437"/>
      <c r="N126" s="437"/>
      <c r="O126" s="437">
        <f t="shared" si="9"/>
        <v>0</v>
      </c>
    </row>
    <row r="127" spans="1:15" s="136" customFormat="1" ht="14.1" hidden="1" customHeight="1" x14ac:dyDescent="0.2">
      <c r="A127" s="137"/>
      <c r="B127" s="137"/>
      <c r="C127" s="466" t="s">
        <v>309</v>
      </c>
      <c r="D127" s="460">
        <v>172922</v>
      </c>
      <c r="E127" s="437"/>
      <c r="F127" s="437"/>
      <c r="G127" s="437"/>
      <c r="H127" s="437"/>
      <c r="I127" s="437"/>
      <c r="J127" s="437"/>
      <c r="K127" s="437"/>
      <c r="L127" s="437"/>
      <c r="M127" s="437"/>
      <c r="N127" s="437"/>
      <c r="O127" s="437">
        <f t="shared" si="9"/>
        <v>0</v>
      </c>
    </row>
    <row r="128" spans="1:15" s="136" customFormat="1" ht="14.1" hidden="1" customHeight="1" x14ac:dyDescent="0.2">
      <c r="A128" s="137"/>
      <c r="B128" s="137"/>
      <c r="C128" s="668" t="s">
        <v>1105</v>
      </c>
      <c r="D128" s="667">
        <v>172901</v>
      </c>
      <c r="E128" s="574"/>
      <c r="F128" s="574"/>
      <c r="G128" s="574"/>
      <c r="H128" s="574"/>
      <c r="I128" s="574"/>
      <c r="J128" s="574"/>
      <c r="K128" s="574"/>
      <c r="L128" s="574"/>
      <c r="M128" s="574"/>
      <c r="N128" s="574"/>
      <c r="O128" s="437">
        <f t="shared" si="9"/>
        <v>0</v>
      </c>
    </row>
    <row r="129" spans="1:15" s="136" customFormat="1" ht="21.75" hidden="1" customHeight="1" x14ac:dyDescent="0.2">
      <c r="A129" s="137"/>
      <c r="B129" s="137"/>
      <c r="C129" s="781" t="s">
        <v>897</v>
      </c>
      <c r="D129" s="820">
        <v>171902</v>
      </c>
      <c r="E129" s="780"/>
      <c r="F129" s="780"/>
      <c r="G129" s="780"/>
      <c r="H129" s="780"/>
      <c r="I129" s="780"/>
      <c r="J129" s="780"/>
      <c r="K129" s="780"/>
      <c r="L129" s="780"/>
      <c r="M129" s="780"/>
      <c r="N129" s="780"/>
      <c r="O129" s="437">
        <f t="shared" si="9"/>
        <v>0</v>
      </c>
    </row>
    <row r="130" spans="1:15" s="136" customFormat="1" ht="17.25" customHeight="1" x14ac:dyDescent="0.2">
      <c r="A130" s="137"/>
      <c r="B130" s="137"/>
      <c r="C130" s="914" t="s">
        <v>1363</v>
      </c>
      <c r="D130" s="912">
        <v>172925</v>
      </c>
      <c r="E130" s="873"/>
      <c r="F130" s="873"/>
      <c r="G130" s="873"/>
      <c r="H130" s="873">
        <v>4191</v>
      </c>
      <c r="I130" s="873"/>
      <c r="J130" s="873"/>
      <c r="K130" s="873"/>
      <c r="L130" s="873"/>
      <c r="M130" s="873"/>
      <c r="N130" s="873"/>
      <c r="O130" s="437">
        <f t="shared" si="9"/>
        <v>4191</v>
      </c>
    </row>
    <row r="131" spans="1:15" s="136" customFormat="1" ht="24.95" hidden="1" customHeight="1" x14ac:dyDescent="0.2">
      <c r="A131" s="137"/>
      <c r="B131" s="137"/>
      <c r="C131" s="467" t="s">
        <v>310</v>
      </c>
      <c r="D131" s="609"/>
      <c r="E131" s="437"/>
      <c r="F131" s="437"/>
      <c r="G131" s="437"/>
      <c r="H131" s="437"/>
      <c r="I131" s="437"/>
      <c r="J131" s="437"/>
      <c r="K131" s="437"/>
      <c r="L131" s="437"/>
      <c r="M131" s="437"/>
      <c r="N131" s="437"/>
      <c r="O131" s="437"/>
    </row>
    <row r="132" spans="1:15" s="136" customFormat="1" ht="15" hidden="1" customHeight="1" x14ac:dyDescent="0.2">
      <c r="A132" s="137"/>
      <c r="B132" s="137"/>
      <c r="C132" s="459" t="s">
        <v>311</v>
      </c>
      <c r="D132" s="460">
        <v>171901</v>
      </c>
      <c r="E132" s="437"/>
      <c r="F132" s="437"/>
      <c r="G132" s="437"/>
      <c r="H132" s="437"/>
      <c r="I132" s="437"/>
      <c r="J132" s="437"/>
      <c r="K132" s="437"/>
      <c r="L132" s="437"/>
      <c r="M132" s="437"/>
      <c r="N132" s="437"/>
      <c r="O132" s="437">
        <f>SUM(E132:N132)</f>
        <v>0</v>
      </c>
    </row>
    <row r="133" spans="1:15" s="136" customFormat="1" ht="24.95" hidden="1" customHeight="1" x14ac:dyDescent="0.2">
      <c r="A133" s="146"/>
      <c r="B133" s="146"/>
      <c r="C133" s="468" t="s">
        <v>312</v>
      </c>
      <c r="D133" s="469"/>
      <c r="E133" s="437"/>
      <c r="F133" s="437"/>
      <c r="G133" s="437"/>
      <c r="H133" s="437"/>
      <c r="I133" s="437"/>
      <c r="J133" s="437"/>
      <c r="K133" s="437"/>
      <c r="L133" s="437"/>
      <c r="M133" s="437"/>
      <c r="N133" s="437"/>
      <c r="O133" s="437"/>
    </row>
    <row r="134" spans="1:15" s="136" customFormat="1" ht="28.5" hidden="1" customHeight="1" x14ac:dyDescent="0.2">
      <c r="A134" s="146"/>
      <c r="B134" s="146"/>
      <c r="C134" s="467" t="s">
        <v>313</v>
      </c>
      <c r="D134" s="470">
        <v>171908</v>
      </c>
      <c r="E134" s="437"/>
      <c r="F134" s="437"/>
      <c r="G134" s="437"/>
      <c r="H134" s="437"/>
      <c r="I134" s="437"/>
      <c r="J134" s="437"/>
      <c r="K134" s="437"/>
      <c r="L134" s="437"/>
      <c r="M134" s="437"/>
      <c r="N134" s="437"/>
      <c r="O134" s="437">
        <f>SUM(E134:N134)</f>
        <v>0</v>
      </c>
    </row>
    <row r="135" spans="1:15" s="136" customFormat="1" ht="15.75" customHeight="1" x14ac:dyDescent="0.2">
      <c r="A135" s="146"/>
      <c r="B135" s="146"/>
      <c r="C135" s="471" t="s">
        <v>314</v>
      </c>
      <c r="D135" s="464"/>
      <c r="E135" s="437"/>
      <c r="F135" s="437"/>
      <c r="G135" s="437"/>
      <c r="H135" s="437"/>
      <c r="I135" s="437"/>
      <c r="J135" s="437"/>
      <c r="K135" s="437"/>
      <c r="L135" s="437"/>
      <c r="M135" s="437"/>
      <c r="N135" s="437"/>
      <c r="O135" s="437"/>
    </row>
    <row r="136" spans="1:15" s="136" customFormat="1" ht="15.75" hidden="1" customHeight="1" x14ac:dyDescent="0.2">
      <c r="A136" s="146"/>
      <c r="B136" s="146"/>
      <c r="C136" s="450" t="s">
        <v>315</v>
      </c>
      <c r="D136" s="457"/>
      <c r="E136" s="472"/>
      <c r="F136" s="437"/>
      <c r="G136" s="437"/>
      <c r="H136" s="437"/>
      <c r="I136" s="437"/>
      <c r="J136" s="437"/>
      <c r="K136" s="437"/>
      <c r="L136" s="437"/>
      <c r="M136" s="437"/>
      <c r="N136" s="437"/>
      <c r="O136" s="437"/>
    </row>
    <row r="137" spans="1:15" s="136" customFormat="1" ht="24.95" hidden="1" customHeight="1" x14ac:dyDescent="0.2">
      <c r="A137" s="146"/>
      <c r="B137" s="146"/>
      <c r="C137" s="488" t="s">
        <v>316</v>
      </c>
      <c r="D137" s="470">
        <v>121401</v>
      </c>
      <c r="E137" s="436"/>
      <c r="F137" s="436"/>
      <c r="G137" s="436"/>
      <c r="H137" s="437"/>
      <c r="I137" s="437"/>
      <c r="J137" s="437"/>
      <c r="K137" s="437"/>
      <c r="L137" s="437"/>
      <c r="M137" s="437"/>
      <c r="N137" s="437"/>
      <c r="O137" s="437">
        <f>SUM(E137:N137)</f>
        <v>0</v>
      </c>
    </row>
    <row r="138" spans="1:15" s="136" customFormat="1" ht="24" customHeight="1" x14ac:dyDescent="0.2">
      <c r="A138" s="146"/>
      <c r="B138" s="146"/>
      <c r="C138" s="489" t="s">
        <v>317</v>
      </c>
      <c r="D138" s="473"/>
      <c r="E138" s="436"/>
      <c r="F138" s="436"/>
      <c r="G138" s="436"/>
      <c r="H138" s="437"/>
      <c r="I138" s="437"/>
      <c r="J138" s="437"/>
      <c r="K138" s="437"/>
      <c r="L138" s="437"/>
      <c r="M138" s="437"/>
      <c r="N138" s="437"/>
      <c r="O138" s="437"/>
    </row>
    <row r="139" spans="1:15" s="136" customFormat="1" ht="16.5" customHeight="1" x14ac:dyDescent="0.2">
      <c r="A139" s="146"/>
      <c r="B139" s="146"/>
      <c r="C139" s="490" t="s">
        <v>318</v>
      </c>
      <c r="D139" s="470">
        <v>176902</v>
      </c>
      <c r="E139" s="436"/>
      <c r="F139" s="436"/>
      <c r="G139" s="436"/>
      <c r="H139" s="437"/>
      <c r="I139" s="437"/>
      <c r="J139" s="437"/>
      <c r="K139" s="437"/>
      <c r="L139" s="437"/>
      <c r="M139" s="437"/>
      <c r="N139" s="437">
        <v>15000</v>
      </c>
      <c r="O139" s="437">
        <f>SUM(E139:N139)</f>
        <v>15000</v>
      </c>
    </row>
    <row r="140" spans="1:15" s="136" customFormat="1" ht="12.6" customHeight="1" x14ac:dyDescent="0.2">
      <c r="A140" s="151"/>
      <c r="B140" s="151"/>
      <c r="C140" s="452" t="s">
        <v>319</v>
      </c>
      <c r="D140" s="453"/>
      <c r="E140" s="454">
        <f t="shared" ref="E140:O140" si="10">SUM(E113:E139)</f>
        <v>0</v>
      </c>
      <c r="F140" s="454">
        <f t="shared" si="10"/>
        <v>0</v>
      </c>
      <c r="G140" s="454">
        <f t="shared" si="10"/>
        <v>0</v>
      </c>
      <c r="H140" s="454">
        <f t="shared" si="10"/>
        <v>16576</v>
      </c>
      <c r="I140" s="454">
        <f t="shared" si="10"/>
        <v>83288</v>
      </c>
      <c r="J140" s="454">
        <f t="shared" si="10"/>
        <v>0</v>
      </c>
      <c r="K140" s="454">
        <f t="shared" si="10"/>
        <v>0</v>
      </c>
      <c r="L140" s="454">
        <f t="shared" si="10"/>
        <v>0</v>
      </c>
      <c r="M140" s="454">
        <f t="shared" si="10"/>
        <v>0</v>
      </c>
      <c r="N140" s="454">
        <f t="shared" si="10"/>
        <v>15000</v>
      </c>
      <c r="O140" s="454">
        <f t="shared" si="10"/>
        <v>114864</v>
      </c>
    </row>
    <row r="141" spans="1:15" s="136" customFormat="1" ht="12.6" customHeight="1" x14ac:dyDescent="0.2">
      <c r="A141" s="152">
        <v>1</v>
      </c>
      <c r="B141" s="152">
        <v>18</v>
      </c>
      <c r="C141" s="461" t="s">
        <v>320</v>
      </c>
      <c r="D141" s="462"/>
      <c r="E141" s="474"/>
      <c r="F141" s="474"/>
      <c r="G141" s="474"/>
      <c r="H141" s="474"/>
      <c r="I141" s="474"/>
      <c r="J141" s="474"/>
      <c r="K141" s="474"/>
      <c r="L141" s="474"/>
      <c r="M141" s="474"/>
      <c r="N141" s="474"/>
      <c r="O141" s="474"/>
    </row>
    <row r="142" spans="1:15" s="136" customFormat="1" ht="24.95" customHeight="1" x14ac:dyDescent="0.2">
      <c r="A142" s="146"/>
      <c r="B142" s="146"/>
      <c r="C142" s="450" t="s">
        <v>261</v>
      </c>
      <c r="D142" s="457"/>
      <c r="E142" s="436"/>
      <c r="F142" s="436"/>
      <c r="G142" s="436"/>
      <c r="H142" s="437"/>
      <c r="I142" s="437"/>
      <c r="J142" s="437"/>
      <c r="K142" s="437"/>
      <c r="L142" s="437"/>
      <c r="M142" s="437"/>
      <c r="N142" s="437"/>
      <c r="O142" s="437"/>
    </row>
    <row r="143" spans="1:15" s="136" customFormat="1" ht="24.95" hidden="1" customHeight="1" x14ac:dyDescent="0.2">
      <c r="A143" s="146"/>
      <c r="B143" s="146"/>
      <c r="C143" s="450" t="s">
        <v>321</v>
      </c>
      <c r="D143" s="457" t="s">
        <v>322</v>
      </c>
      <c r="E143" s="436"/>
      <c r="F143" s="436"/>
      <c r="G143" s="436"/>
      <c r="H143" s="437"/>
      <c r="I143" s="437"/>
      <c r="J143" s="437"/>
      <c r="K143" s="437"/>
      <c r="L143" s="437"/>
      <c r="M143" s="437"/>
      <c r="N143" s="437"/>
      <c r="O143" s="437">
        <f>SUM(E143:N143)</f>
        <v>0</v>
      </c>
    </row>
    <row r="144" spans="1:15" s="136" customFormat="1" ht="12.6" hidden="1" customHeight="1" x14ac:dyDescent="0.2">
      <c r="A144" s="146"/>
      <c r="B144" s="146"/>
      <c r="C144" s="461" t="s">
        <v>323</v>
      </c>
      <c r="D144" s="470">
        <v>181905</v>
      </c>
      <c r="E144" s="436"/>
      <c r="F144" s="436"/>
      <c r="G144" s="436"/>
      <c r="H144" s="437"/>
      <c r="I144" s="437"/>
      <c r="J144" s="437"/>
      <c r="K144" s="437"/>
      <c r="L144" s="437"/>
      <c r="M144" s="437"/>
      <c r="N144" s="437"/>
      <c r="O144" s="437">
        <f>SUM(E144:N144)</f>
        <v>0</v>
      </c>
    </row>
    <row r="145" spans="1:15" s="136" customFormat="1" ht="15" hidden="1" customHeight="1" x14ac:dyDescent="0.2">
      <c r="A145" s="146"/>
      <c r="B145" s="146"/>
      <c r="C145" s="450" t="s">
        <v>324</v>
      </c>
      <c r="D145" s="457">
        <v>181903</v>
      </c>
      <c r="E145" s="475"/>
      <c r="F145" s="436"/>
      <c r="G145" s="436"/>
      <c r="H145" s="437"/>
      <c r="I145" s="437"/>
      <c r="J145" s="437"/>
      <c r="K145" s="437"/>
      <c r="L145" s="437"/>
      <c r="M145" s="437"/>
      <c r="N145" s="437"/>
      <c r="O145" s="437">
        <f>SUM(E145:N145)</f>
        <v>0</v>
      </c>
    </row>
    <row r="146" spans="1:15" s="136" customFormat="1" ht="27.75" customHeight="1" x14ac:dyDescent="0.2">
      <c r="A146" s="146"/>
      <c r="B146" s="146"/>
      <c r="C146" s="450" t="s">
        <v>325</v>
      </c>
      <c r="D146" s="457">
        <v>181904</v>
      </c>
      <c r="E146" s="475"/>
      <c r="F146" s="436"/>
      <c r="G146" s="436"/>
      <c r="H146" s="437">
        <v>247</v>
      </c>
      <c r="I146" s="437"/>
      <c r="J146" s="437"/>
      <c r="K146" s="437"/>
      <c r="L146" s="437"/>
      <c r="M146" s="437"/>
      <c r="N146" s="437"/>
      <c r="O146" s="437">
        <f>SUM(E146:N146)</f>
        <v>247</v>
      </c>
    </row>
    <row r="147" spans="1:15" s="136" customFormat="1" ht="15" hidden="1" customHeight="1" x14ac:dyDescent="0.2">
      <c r="A147" s="146" t="s">
        <v>96</v>
      </c>
      <c r="B147" s="146"/>
      <c r="C147" s="461" t="s">
        <v>326</v>
      </c>
      <c r="D147" s="470">
        <v>181902</v>
      </c>
      <c r="E147" s="436"/>
      <c r="F147" s="436"/>
      <c r="G147" s="436"/>
      <c r="H147" s="437"/>
      <c r="I147" s="437"/>
      <c r="J147" s="437"/>
      <c r="K147" s="437"/>
      <c r="L147" s="437"/>
      <c r="M147" s="437"/>
      <c r="N147" s="437"/>
      <c r="O147" s="437">
        <f>SUM(E147:N147)</f>
        <v>0</v>
      </c>
    </row>
    <row r="148" spans="1:15" s="136" customFormat="1" ht="14.25" customHeight="1" x14ac:dyDescent="0.2">
      <c r="A148" s="151"/>
      <c r="B148" s="151"/>
      <c r="C148" s="452" t="s">
        <v>327</v>
      </c>
      <c r="D148" s="453"/>
      <c r="E148" s="476">
        <f t="shared" ref="E148:O148" si="11">SUM(E143:E147)</f>
        <v>0</v>
      </c>
      <c r="F148" s="476">
        <f t="shared" si="11"/>
        <v>0</v>
      </c>
      <c r="G148" s="476">
        <f t="shared" si="11"/>
        <v>0</v>
      </c>
      <c r="H148" s="476">
        <f t="shared" si="11"/>
        <v>247</v>
      </c>
      <c r="I148" s="476">
        <f t="shared" si="11"/>
        <v>0</v>
      </c>
      <c r="J148" s="476">
        <f t="shared" si="11"/>
        <v>0</v>
      </c>
      <c r="K148" s="476">
        <f t="shared" si="11"/>
        <v>0</v>
      </c>
      <c r="L148" s="476">
        <f t="shared" si="11"/>
        <v>0</v>
      </c>
      <c r="M148" s="476">
        <f t="shared" si="11"/>
        <v>0</v>
      </c>
      <c r="N148" s="476">
        <f t="shared" si="11"/>
        <v>0</v>
      </c>
      <c r="O148" s="476">
        <f t="shared" si="11"/>
        <v>247</v>
      </c>
    </row>
    <row r="149" spans="1:15" s="136" customFormat="1" ht="12.6" customHeight="1" x14ac:dyDescent="0.2">
      <c r="A149" s="146">
        <v>1</v>
      </c>
      <c r="B149" s="146">
        <v>19</v>
      </c>
      <c r="C149" s="455" t="s">
        <v>95</v>
      </c>
      <c r="D149" s="456"/>
      <c r="E149" s="437"/>
      <c r="F149" s="437"/>
      <c r="G149" s="437"/>
      <c r="H149" s="437"/>
      <c r="I149" s="437"/>
      <c r="J149" s="437"/>
      <c r="K149" s="437"/>
      <c r="L149" s="437"/>
      <c r="M149" s="437"/>
      <c r="N149" s="437"/>
      <c r="O149" s="437"/>
    </row>
    <row r="150" spans="1:15" s="136" customFormat="1" ht="26.25" hidden="1" customHeight="1" x14ac:dyDescent="0.2">
      <c r="A150" s="146"/>
      <c r="B150" s="146"/>
      <c r="C150" s="477" t="s">
        <v>328</v>
      </c>
      <c r="D150" s="469"/>
      <c r="E150" s="437"/>
      <c r="F150" s="437"/>
      <c r="G150" s="437"/>
      <c r="H150" s="437"/>
      <c r="I150" s="437"/>
      <c r="J150" s="437"/>
      <c r="K150" s="437"/>
      <c r="L150" s="437"/>
      <c r="M150" s="437"/>
      <c r="N150" s="437"/>
      <c r="O150" s="437"/>
    </row>
    <row r="151" spans="1:15" s="136" customFormat="1" ht="19.5" hidden="1" customHeight="1" x14ac:dyDescent="0.2">
      <c r="A151" s="146"/>
      <c r="B151" s="146"/>
      <c r="C151" s="670" t="s">
        <v>331</v>
      </c>
      <c r="D151" s="667">
        <v>196919</v>
      </c>
      <c r="E151" s="436"/>
      <c r="F151" s="436"/>
      <c r="G151" s="436"/>
      <c r="H151" s="437"/>
      <c r="I151" s="437"/>
      <c r="J151" s="437"/>
      <c r="K151" s="437"/>
      <c r="L151" s="437"/>
      <c r="M151" s="437"/>
      <c r="N151" s="437"/>
      <c r="O151" s="437">
        <f>SUM(E151:N151)</f>
        <v>0</v>
      </c>
    </row>
    <row r="152" spans="1:15" s="136" customFormat="1" ht="24.95" customHeight="1" x14ac:dyDescent="0.2">
      <c r="A152" s="146"/>
      <c r="B152" s="146"/>
      <c r="C152" s="461" t="s">
        <v>229</v>
      </c>
      <c r="D152" s="473"/>
      <c r="E152" s="458"/>
      <c r="F152" s="436"/>
      <c r="G152" s="436"/>
      <c r="H152" s="437"/>
      <c r="I152" s="437"/>
      <c r="J152" s="437"/>
      <c r="K152" s="437"/>
      <c r="L152" s="437"/>
      <c r="M152" s="437"/>
      <c r="N152" s="437"/>
      <c r="O152" s="437"/>
    </row>
    <row r="153" spans="1:15" s="136" customFormat="1" ht="25.5" hidden="1" x14ac:dyDescent="0.2">
      <c r="A153" s="146" t="s">
        <v>96</v>
      </c>
      <c r="B153" s="146"/>
      <c r="C153" s="461" t="s">
        <v>329</v>
      </c>
      <c r="D153" s="460">
        <v>191102</v>
      </c>
      <c r="E153" s="437"/>
      <c r="F153" s="437"/>
      <c r="G153" s="437"/>
      <c r="H153" s="437"/>
      <c r="I153" s="437"/>
      <c r="J153" s="437"/>
      <c r="K153" s="437"/>
      <c r="L153" s="437"/>
      <c r="M153" s="437"/>
      <c r="N153" s="437"/>
      <c r="O153" s="437">
        <f t="shared" ref="O153:O157" si="12">SUM(E153:N153)</f>
        <v>0</v>
      </c>
    </row>
    <row r="154" spans="1:15" s="136" customFormat="1" ht="17.25" customHeight="1" x14ac:dyDescent="0.2">
      <c r="A154" s="146"/>
      <c r="B154" s="146"/>
      <c r="C154" s="459" t="s">
        <v>330</v>
      </c>
      <c r="D154" s="460">
        <v>191103</v>
      </c>
      <c r="E154" s="437"/>
      <c r="F154" s="437"/>
      <c r="G154" s="437"/>
      <c r="H154" s="437">
        <v>12082</v>
      </c>
      <c r="I154" s="437"/>
      <c r="J154" s="437"/>
      <c r="K154" s="437"/>
      <c r="L154" s="437"/>
      <c r="M154" s="437"/>
      <c r="N154" s="437"/>
      <c r="O154" s="437">
        <f t="shared" si="12"/>
        <v>12082</v>
      </c>
    </row>
    <row r="155" spans="1:15" s="136" customFormat="1" ht="17.25" hidden="1" customHeight="1" x14ac:dyDescent="0.2">
      <c r="A155" s="779"/>
      <c r="B155" s="779"/>
      <c r="C155" s="821" t="s">
        <v>1278</v>
      </c>
      <c r="D155" s="822">
        <v>191116</v>
      </c>
      <c r="E155" s="780"/>
      <c r="F155" s="780"/>
      <c r="G155" s="780"/>
      <c r="H155" s="780"/>
      <c r="I155" s="780"/>
      <c r="J155" s="780"/>
      <c r="K155" s="780"/>
      <c r="L155" s="780"/>
      <c r="M155" s="780"/>
      <c r="N155" s="780"/>
      <c r="O155" s="437">
        <f t="shared" si="12"/>
        <v>0</v>
      </c>
    </row>
    <row r="156" spans="1:15" s="136" customFormat="1" ht="28.5" customHeight="1" x14ac:dyDescent="0.2">
      <c r="A156" s="869"/>
      <c r="B156" s="869"/>
      <c r="C156" s="911" t="s">
        <v>1364</v>
      </c>
      <c r="D156" s="912">
        <v>192909</v>
      </c>
      <c r="E156" s="873"/>
      <c r="F156" s="873"/>
      <c r="G156" s="873"/>
      <c r="H156" s="873"/>
      <c r="I156" s="873"/>
      <c r="J156" s="873"/>
      <c r="K156" s="873">
        <v>500</v>
      </c>
      <c r="L156" s="873"/>
      <c r="M156" s="873"/>
      <c r="N156" s="873"/>
      <c r="O156" s="437">
        <f t="shared" si="12"/>
        <v>500</v>
      </c>
    </row>
    <row r="157" spans="1:15" s="136" customFormat="1" ht="25.5" hidden="1" x14ac:dyDescent="0.2">
      <c r="A157" s="146"/>
      <c r="B157" s="146"/>
      <c r="C157" s="461" t="s">
        <v>1107</v>
      </c>
      <c r="D157" s="470">
        <v>191196</v>
      </c>
      <c r="E157" s="437"/>
      <c r="F157" s="437"/>
      <c r="G157" s="437"/>
      <c r="H157" s="437"/>
      <c r="I157" s="437"/>
      <c r="J157" s="437"/>
      <c r="K157" s="437"/>
      <c r="L157" s="437"/>
      <c r="M157" s="478"/>
      <c r="N157" s="437"/>
      <c r="O157" s="437">
        <f t="shared" si="12"/>
        <v>0</v>
      </c>
    </row>
    <row r="158" spans="1:15" s="136" customFormat="1" ht="24.95" customHeight="1" x14ac:dyDescent="0.2">
      <c r="A158" s="146"/>
      <c r="B158" s="146"/>
      <c r="C158" s="461" t="s">
        <v>332</v>
      </c>
      <c r="D158" s="462"/>
      <c r="E158" s="437"/>
      <c r="F158" s="437"/>
      <c r="G158" s="437"/>
      <c r="H158" s="437"/>
      <c r="I158" s="437"/>
      <c r="J158" s="479"/>
      <c r="K158" s="437"/>
      <c r="L158" s="437"/>
      <c r="M158" s="437"/>
      <c r="N158" s="437"/>
      <c r="O158" s="437"/>
    </row>
    <row r="159" spans="1:15" s="136" customFormat="1" ht="38.25" x14ac:dyDescent="0.2">
      <c r="A159" s="146"/>
      <c r="B159" s="146"/>
      <c r="C159" s="576" t="s">
        <v>1108</v>
      </c>
      <c r="D159" s="457">
        <v>191901</v>
      </c>
      <c r="E159" s="437">
        <v>30672</v>
      </c>
      <c r="F159" s="437"/>
      <c r="G159" s="437"/>
      <c r="H159" s="437"/>
      <c r="I159" s="437"/>
      <c r="J159" s="480"/>
      <c r="K159" s="437"/>
      <c r="L159" s="437"/>
      <c r="M159" s="437"/>
      <c r="N159" s="437"/>
      <c r="O159" s="437">
        <f t="shared" ref="O159:O163" si="13">SUM(E159:N159)</f>
        <v>30672</v>
      </c>
    </row>
    <row r="160" spans="1:15" s="136" customFormat="1" ht="15" hidden="1" customHeight="1" x14ac:dyDescent="0.2">
      <c r="A160" s="779"/>
      <c r="B160" s="779"/>
      <c r="C160" s="795" t="s">
        <v>1279</v>
      </c>
      <c r="D160" s="823">
        <v>191901</v>
      </c>
      <c r="E160" s="780"/>
      <c r="F160" s="780"/>
      <c r="G160" s="780"/>
      <c r="H160" s="780"/>
      <c r="I160" s="780"/>
      <c r="J160" s="796"/>
      <c r="K160" s="780"/>
      <c r="L160" s="780"/>
      <c r="M160" s="780"/>
      <c r="N160" s="780"/>
      <c r="O160" s="437">
        <f t="shared" si="13"/>
        <v>0</v>
      </c>
    </row>
    <row r="161" spans="1:15" s="136" customFormat="1" ht="25.5" x14ac:dyDescent="0.2">
      <c r="A161" s="779"/>
      <c r="B161" s="779"/>
      <c r="C161" s="795" t="s">
        <v>1280</v>
      </c>
      <c r="D161" s="823">
        <v>191901</v>
      </c>
      <c r="E161" s="780"/>
      <c r="F161" s="780">
        <v>10017</v>
      </c>
      <c r="G161" s="780"/>
      <c r="H161" s="780"/>
      <c r="I161" s="780"/>
      <c r="J161" s="796"/>
      <c r="K161" s="780"/>
      <c r="L161" s="780"/>
      <c r="M161" s="780"/>
      <c r="N161" s="780"/>
      <c r="O161" s="437">
        <f t="shared" si="13"/>
        <v>10017</v>
      </c>
    </row>
    <row r="162" spans="1:15" s="136" customFormat="1" ht="16.5" hidden="1" customHeight="1" x14ac:dyDescent="0.2">
      <c r="A162" s="779"/>
      <c r="B162" s="779"/>
      <c r="C162" s="795" t="s">
        <v>1272</v>
      </c>
      <c r="D162" s="457">
        <v>191901</v>
      </c>
      <c r="E162" s="780"/>
      <c r="F162" s="780"/>
      <c r="G162" s="780"/>
      <c r="H162" s="780"/>
      <c r="I162" s="780"/>
      <c r="J162" s="796"/>
      <c r="K162" s="780"/>
      <c r="L162" s="780"/>
      <c r="M162" s="780"/>
      <c r="N162" s="780"/>
      <c r="O162" s="437">
        <f t="shared" si="13"/>
        <v>0</v>
      </c>
    </row>
    <row r="163" spans="1:15" s="136" customFormat="1" ht="27" customHeight="1" x14ac:dyDescent="0.2">
      <c r="A163" s="575"/>
      <c r="B163" s="575"/>
      <c r="C163" s="576" t="s">
        <v>1109</v>
      </c>
      <c r="D163" s="577">
        <v>191901</v>
      </c>
      <c r="E163" s="574">
        <v>-29920</v>
      </c>
      <c r="F163" s="574"/>
      <c r="G163" s="574"/>
      <c r="H163" s="574"/>
      <c r="I163" s="574"/>
      <c r="J163" s="574"/>
      <c r="K163" s="574"/>
      <c r="L163" s="574"/>
      <c r="M163" s="574"/>
      <c r="N163" s="574"/>
      <c r="O163" s="437">
        <f t="shared" si="13"/>
        <v>-29920</v>
      </c>
    </row>
    <row r="164" spans="1:15" s="136" customFormat="1" ht="28.5" customHeight="1" x14ac:dyDescent="0.2">
      <c r="A164" s="146"/>
      <c r="B164" s="146"/>
      <c r="C164" s="461" t="s">
        <v>333</v>
      </c>
      <c r="D164" s="462"/>
      <c r="E164" s="437"/>
      <c r="F164" s="437"/>
      <c r="G164" s="437"/>
      <c r="H164" s="437"/>
      <c r="I164" s="437"/>
      <c r="J164" s="437"/>
      <c r="K164" s="437"/>
      <c r="L164" s="437"/>
      <c r="M164" s="437"/>
      <c r="N164" s="437"/>
      <c r="O164" s="437"/>
    </row>
    <row r="165" spans="1:15" s="136" customFormat="1" ht="14.1" hidden="1" customHeight="1" x14ac:dyDescent="0.2">
      <c r="A165" s="146"/>
      <c r="B165" s="146"/>
      <c r="C165" s="459" t="s">
        <v>334</v>
      </c>
      <c r="D165" s="460">
        <v>191907</v>
      </c>
      <c r="E165" s="437"/>
      <c r="F165" s="437"/>
      <c r="G165" s="437"/>
      <c r="H165" s="437"/>
      <c r="I165" s="437"/>
      <c r="J165" s="437"/>
      <c r="K165" s="437"/>
      <c r="L165" s="437"/>
      <c r="M165" s="437"/>
      <c r="N165" s="437"/>
      <c r="O165" s="437">
        <f t="shared" ref="O165:O169" si="14">SUM(E165:N165)</f>
        <v>0</v>
      </c>
    </row>
    <row r="166" spans="1:15" s="136" customFormat="1" ht="14.1" hidden="1" customHeight="1" x14ac:dyDescent="0.2">
      <c r="A166" s="146"/>
      <c r="B166" s="146"/>
      <c r="C166" s="459" t="s">
        <v>336</v>
      </c>
      <c r="D166" s="460">
        <v>191907</v>
      </c>
      <c r="E166" s="437"/>
      <c r="F166" s="437"/>
      <c r="G166" s="437"/>
      <c r="H166" s="437"/>
      <c r="I166" s="437"/>
      <c r="J166" s="437"/>
      <c r="K166" s="437"/>
      <c r="L166" s="437"/>
      <c r="M166" s="437"/>
      <c r="N166" s="437"/>
      <c r="O166" s="437">
        <f t="shared" si="14"/>
        <v>0</v>
      </c>
    </row>
    <row r="167" spans="1:15" s="136" customFormat="1" ht="14.1" hidden="1" customHeight="1" x14ac:dyDescent="0.2">
      <c r="A167" s="146"/>
      <c r="B167" s="146"/>
      <c r="C167" s="459" t="s">
        <v>337</v>
      </c>
      <c r="D167" s="460">
        <v>191907</v>
      </c>
      <c r="E167" s="437"/>
      <c r="F167" s="437"/>
      <c r="G167" s="437"/>
      <c r="H167" s="437"/>
      <c r="I167" s="437"/>
      <c r="J167" s="437"/>
      <c r="K167" s="437"/>
      <c r="L167" s="437"/>
      <c r="M167" s="437"/>
      <c r="N167" s="437"/>
      <c r="O167" s="437">
        <f t="shared" si="14"/>
        <v>0</v>
      </c>
    </row>
    <row r="168" spans="1:15" s="136" customFormat="1" ht="14.1" hidden="1" customHeight="1" x14ac:dyDescent="0.2">
      <c r="A168" s="146"/>
      <c r="B168" s="146"/>
      <c r="C168" s="459" t="s">
        <v>338</v>
      </c>
      <c r="D168" s="460">
        <v>191907</v>
      </c>
      <c r="E168" s="437"/>
      <c r="F168" s="437"/>
      <c r="G168" s="437"/>
      <c r="H168" s="437"/>
      <c r="I168" s="437"/>
      <c r="J168" s="437"/>
      <c r="K168" s="437"/>
      <c r="L168" s="437"/>
      <c r="M168" s="437"/>
      <c r="N168" s="437"/>
      <c r="O168" s="437">
        <f t="shared" si="14"/>
        <v>0</v>
      </c>
    </row>
    <row r="169" spans="1:15" s="136" customFormat="1" ht="14.1" customHeight="1" x14ac:dyDescent="0.2">
      <c r="A169" s="658"/>
      <c r="B169" s="658"/>
      <c r="C169" s="459" t="s">
        <v>335</v>
      </c>
      <c r="D169" s="460">
        <v>191907</v>
      </c>
      <c r="E169" s="647"/>
      <c r="F169" s="647"/>
      <c r="G169" s="647">
        <v>16000</v>
      </c>
      <c r="H169" s="647"/>
      <c r="I169" s="647"/>
      <c r="J169" s="647"/>
      <c r="K169" s="647"/>
      <c r="L169" s="647"/>
      <c r="M169" s="647"/>
      <c r="N169" s="647"/>
      <c r="O169" s="437">
        <f t="shared" si="14"/>
        <v>16000</v>
      </c>
    </row>
    <row r="170" spans="1:15" s="136" customFormat="1" ht="24.75" hidden="1" customHeight="1" x14ac:dyDescent="0.2">
      <c r="A170" s="146"/>
      <c r="B170" s="146"/>
      <c r="C170" s="450" t="s">
        <v>339</v>
      </c>
      <c r="D170" s="481"/>
      <c r="E170" s="330"/>
      <c r="F170" s="437"/>
      <c r="G170" s="437"/>
      <c r="H170" s="437"/>
      <c r="I170" s="437"/>
      <c r="J170" s="437"/>
      <c r="K170" s="437"/>
      <c r="L170" s="437"/>
      <c r="M170" s="437"/>
      <c r="N170" s="437"/>
      <c r="O170" s="437"/>
    </row>
    <row r="171" spans="1:15" s="136" customFormat="1" ht="36.75" hidden="1" customHeight="1" x14ac:dyDescent="0.2">
      <c r="A171" s="146"/>
      <c r="B171" s="146"/>
      <c r="C171" s="446" t="s">
        <v>340</v>
      </c>
      <c r="D171" s="481">
        <v>191158</v>
      </c>
      <c r="E171" s="482"/>
      <c r="F171" s="437"/>
      <c r="G171" s="437"/>
      <c r="H171" s="437"/>
      <c r="I171" s="437"/>
      <c r="J171" s="437"/>
      <c r="K171" s="437"/>
      <c r="L171" s="437"/>
      <c r="M171" s="437"/>
      <c r="N171" s="437"/>
      <c r="O171" s="437">
        <f>SUM(E171:N171)</f>
        <v>0</v>
      </c>
    </row>
    <row r="172" spans="1:15" s="136" customFormat="1" ht="15" hidden="1" customHeight="1" x14ac:dyDescent="0.2">
      <c r="A172" s="146"/>
      <c r="B172" s="146"/>
      <c r="C172" s="446" t="s">
        <v>341</v>
      </c>
      <c r="D172" s="481"/>
      <c r="E172" s="482"/>
      <c r="F172" s="437"/>
      <c r="G172" s="437"/>
      <c r="H172" s="437"/>
      <c r="I172" s="437"/>
      <c r="J172" s="437"/>
      <c r="K172" s="437"/>
      <c r="L172" s="437"/>
      <c r="M172" s="437"/>
      <c r="N172" s="437"/>
      <c r="O172" s="437"/>
    </row>
    <row r="173" spans="1:15" s="136" customFormat="1" ht="24.95" hidden="1" customHeight="1" x14ac:dyDescent="0.2">
      <c r="A173" s="146"/>
      <c r="B173" s="146"/>
      <c r="C173" s="461" t="s">
        <v>342</v>
      </c>
      <c r="D173" s="470">
        <v>191906</v>
      </c>
      <c r="E173" s="437"/>
      <c r="F173" s="437"/>
      <c r="G173" s="437"/>
      <c r="H173" s="437"/>
      <c r="I173" s="437"/>
      <c r="J173" s="437"/>
      <c r="K173" s="437"/>
      <c r="L173" s="437"/>
      <c r="M173" s="437"/>
      <c r="N173" s="437"/>
      <c r="O173" s="437">
        <f>SUM(E173:N173)</f>
        <v>0</v>
      </c>
    </row>
    <row r="174" spans="1:15" s="136" customFormat="1" ht="19.5" customHeight="1" x14ac:dyDescent="0.2">
      <c r="A174" s="779"/>
      <c r="B174" s="779"/>
      <c r="C174" s="783" t="s">
        <v>238</v>
      </c>
      <c r="D174" s="786"/>
      <c r="E174" s="780"/>
      <c r="F174" s="780"/>
      <c r="G174" s="780"/>
      <c r="H174" s="780"/>
      <c r="I174" s="780"/>
      <c r="J174" s="780"/>
      <c r="K174" s="780"/>
      <c r="L174" s="780"/>
      <c r="M174" s="780"/>
      <c r="N174" s="780"/>
      <c r="O174" s="437"/>
    </row>
    <row r="175" spans="1:15" s="136" customFormat="1" ht="16.5" customHeight="1" x14ac:dyDescent="0.2">
      <c r="A175" s="779"/>
      <c r="B175" s="779"/>
      <c r="C175" s="787" t="s">
        <v>1264</v>
      </c>
      <c r="D175" s="788">
        <v>191193</v>
      </c>
      <c r="E175" s="780"/>
      <c r="F175" s="780"/>
      <c r="G175" s="780"/>
      <c r="H175" s="780"/>
      <c r="I175" s="780"/>
      <c r="J175" s="780">
        <v>6900</v>
      </c>
      <c r="K175" s="780"/>
      <c r="L175" s="780"/>
      <c r="M175" s="780"/>
      <c r="N175" s="780"/>
      <c r="O175" s="437">
        <f t="shared" ref="O175:O177" si="15">SUM(E175:N175)</f>
        <v>6900</v>
      </c>
    </row>
    <row r="176" spans="1:15" s="136" customFormat="1" ht="16.5" hidden="1" customHeight="1" x14ac:dyDescent="0.2">
      <c r="A176" s="779"/>
      <c r="B176" s="779"/>
      <c r="C176" s="783" t="s">
        <v>943</v>
      </c>
      <c r="D176" s="786"/>
      <c r="E176" s="780"/>
      <c r="F176" s="780"/>
      <c r="G176" s="780"/>
      <c r="H176" s="780"/>
      <c r="I176" s="780"/>
      <c r="J176" s="780"/>
      <c r="K176" s="780"/>
      <c r="L176" s="780"/>
      <c r="M176" s="780"/>
      <c r="N176" s="780"/>
      <c r="O176" s="437"/>
    </row>
    <row r="177" spans="1:15" s="136" customFormat="1" ht="16.5" hidden="1" customHeight="1" x14ac:dyDescent="0.2">
      <c r="A177" s="779"/>
      <c r="B177" s="779"/>
      <c r="C177" s="783" t="s">
        <v>944</v>
      </c>
      <c r="D177" s="786">
        <v>191111</v>
      </c>
      <c r="E177" s="780"/>
      <c r="F177" s="780"/>
      <c r="G177" s="780"/>
      <c r="H177" s="780"/>
      <c r="I177" s="780"/>
      <c r="J177" s="780"/>
      <c r="K177" s="780"/>
      <c r="L177" s="780"/>
      <c r="M177" s="780"/>
      <c r="N177" s="780"/>
      <c r="O177" s="437">
        <f t="shared" si="15"/>
        <v>0</v>
      </c>
    </row>
    <row r="178" spans="1:15" s="136" customFormat="1" ht="15.75" customHeight="1" x14ac:dyDescent="0.2">
      <c r="A178" s="158"/>
      <c r="B178" s="151"/>
      <c r="C178" s="452" t="s">
        <v>343</v>
      </c>
      <c r="D178" s="453"/>
      <c r="E178" s="454">
        <f>SUM(E150:E177)</f>
        <v>752</v>
      </c>
      <c r="F178" s="454">
        <f t="shared" ref="F178:O178" si="16">SUM(F150:F177)</f>
        <v>10017</v>
      </c>
      <c r="G178" s="454">
        <f t="shared" si="16"/>
        <v>16000</v>
      </c>
      <c r="H178" s="454">
        <f t="shared" si="16"/>
        <v>12082</v>
      </c>
      <c r="I178" s="454">
        <f t="shared" si="16"/>
        <v>0</v>
      </c>
      <c r="J178" s="454">
        <f t="shared" si="16"/>
        <v>6900</v>
      </c>
      <c r="K178" s="454">
        <f t="shared" si="16"/>
        <v>500</v>
      </c>
      <c r="L178" s="454">
        <f t="shared" si="16"/>
        <v>0</v>
      </c>
      <c r="M178" s="454">
        <f t="shared" si="16"/>
        <v>0</v>
      </c>
      <c r="N178" s="454">
        <f t="shared" si="16"/>
        <v>0</v>
      </c>
      <c r="O178" s="454">
        <f t="shared" si="16"/>
        <v>46251</v>
      </c>
    </row>
    <row r="179" spans="1:15" s="136" customFormat="1" ht="17.100000000000001" customHeight="1" x14ac:dyDescent="0.2">
      <c r="A179" s="146">
        <v>1</v>
      </c>
      <c r="B179" s="152">
        <v>22</v>
      </c>
      <c r="C179" s="455" t="s">
        <v>10</v>
      </c>
      <c r="D179" s="456"/>
      <c r="E179" s="474"/>
      <c r="F179" s="474"/>
      <c r="G179" s="474"/>
      <c r="H179" s="474"/>
      <c r="I179" s="474"/>
      <c r="J179" s="474"/>
      <c r="K179" s="474"/>
      <c r="L179" s="474"/>
      <c r="M179" s="474"/>
      <c r="N179" s="474"/>
      <c r="O179" s="474"/>
    </row>
    <row r="180" spans="1:15" s="136" customFormat="1" ht="17.100000000000001" hidden="1" customHeight="1" x14ac:dyDescent="0.2">
      <c r="A180" s="146"/>
      <c r="B180" s="152"/>
      <c r="C180" s="154" t="s">
        <v>229</v>
      </c>
      <c r="D180" s="456"/>
      <c r="E180" s="474"/>
      <c r="F180" s="474"/>
      <c r="G180" s="474"/>
      <c r="H180" s="474"/>
      <c r="I180" s="474"/>
      <c r="J180" s="474"/>
      <c r="K180" s="474"/>
      <c r="L180" s="474"/>
      <c r="M180" s="474"/>
      <c r="N180" s="474"/>
      <c r="O180" s="474"/>
    </row>
    <row r="181" spans="1:15" s="136" customFormat="1" ht="24" hidden="1" customHeight="1" x14ac:dyDescent="0.2">
      <c r="A181" s="779"/>
      <c r="B181" s="789"/>
      <c r="C181" s="791" t="s">
        <v>1265</v>
      </c>
      <c r="D181" s="575">
        <v>222919</v>
      </c>
      <c r="E181" s="790"/>
      <c r="F181" s="790"/>
      <c r="G181" s="790"/>
      <c r="H181" s="790"/>
      <c r="I181" s="790"/>
      <c r="J181" s="793"/>
      <c r="K181" s="800"/>
      <c r="L181" s="790"/>
      <c r="M181" s="790"/>
      <c r="N181" s="790"/>
      <c r="O181" s="793">
        <f>SUM(E181:N181)</f>
        <v>0</v>
      </c>
    </row>
    <row r="182" spans="1:15" s="136" customFormat="1" ht="17.100000000000001" hidden="1" customHeight="1" x14ac:dyDescent="0.2">
      <c r="A182" s="779"/>
      <c r="B182" s="789"/>
      <c r="C182" s="694" t="s">
        <v>955</v>
      </c>
      <c r="D182" s="575">
        <v>221939</v>
      </c>
      <c r="E182" s="793"/>
      <c r="F182" s="790"/>
      <c r="G182" s="790"/>
      <c r="H182" s="790"/>
      <c r="I182" s="790"/>
      <c r="J182" s="790"/>
      <c r="K182" s="790"/>
      <c r="L182" s="790"/>
      <c r="M182" s="790"/>
      <c r="N182" s="790"/>
      <c r="O182" s="793">
        <f t="shared" ref="O182:O186" si="17">SUM(E182:N182)</f>
        <v>0</v>
      </c>
    </row>
    <row r="183" spans="1:15" s="136" customFormat="1" ht="17.100000000000001" hidden="1" customHeight="1" x14ac:dyDescent="0.2">
      <c r="A183" s="779"/>
      <c r="B183" s="789"/>
      <c r="C183" s="784" t="s">
        <v>952</v>
      </c>
      <c r="D183" s="779">
        <v>221916</v>
      </c>
      <c r="E183" s="793"/>
      <c r="F183" s="790"/>
      <c r="G183" s="790"/>
      <c r="H183" s="790"/>
      <c r="I183" s="790"/>
      <c r="J183" s="793"/>
      <c r="K183" s="790"/>
      <c r="L183" s="790"/>
      <c r="M183" s="790"/>
      <c r="N183" s="790"/>
      <c r="O183" s="793">
        <f t="shared" si="17"/>
        <v>0</v>
      </c>
    </row>
    <row r="184" spans="1:15" s="136" customFormat="1" ht="24" customHeight="1" x14ac:dyDescent="0.2">
      <c r="A184" s="869"/>
      <c r="B184" s="874"/>
      <c r="C184" s="877" t="s">
        <v>310</v>
      </c>
      <c r="D184" s="874"/>
      <c r="E184" s="875"/>
      <c r="F184" s="876"/>
      <c r="G184" s="876"/>
      <c r="H184" s="876"/>
      <c r="I184" s="876"/>
      <c r="J184" s="875"/>
      <c r="K184" s="876"/>
      <c r="L184" s="876"/>
      <c r="M184" s="876"/>
      <c r="N184" s="876"/>
      <c r="O184" s="793">
        <f t="shared" si="17"/>
        <v>0</v>
      </c>
    </row>
    <row r="185" spans="1:15" s="136" customFormat="1" ht="24.75" customHeight="1" x14ac:dyDescent="0.2">
      <c r="A185" s="869"/>
      <c r="B185" s="874"/>
      <c r="C185" s="878" t="s">
        <v>1333</v>
      </c>
      <c r="D185" s="888">
        <v>221964</v>
      </c>
      <c r="E185" s="875"/>
      <c r="F185" s="876"/>
      <c r="G185" s="876"/>
      <c r="H185" s="876"/>
      <c r="I185" s="876"/>
      <c r="J185" s="875">
        <v>-3500</v>
      </c>
      <c r="K185" s="875">
        <v>3500</v>
      </c>
      <c r="L185" s="876"/>
      <c r="M185" s="876"/>
      <c r="N185" s="876"/>
      <c r="O185" s="793">
        <f t="shared" si="17"/>
        <v>0</v>
      </c>
    </row>
    <row r="186" spans="1:15" s="136" customFormat="1" ht="17.100000000000001" hidden="1" customHeight="1" x14ac:dyDescent="0.2">
      <c r="A186" s="779"/>
      <c r="B186" s="789"/>
      <c r="C186" s="797" t="s">
        <v>1266</v>
      </c>
      <c r="D186" s="575" t="s">
        <v>1267</v>
      </c>
      <c r="E186" s="793"/>
      <c r="F186" s="790"/>
      <c r="G186" s="790"/>
      <c r="H186" s="793"/>
      <c r="I186" s="790"/>
      <c r="J186" s="790"/>
      <c r="K186" s="790"/>
      <c r="L186" s="790"/>
      <c r="M186" s="790"/>
      <c r="N186" s="790"/>
      <c r="O186" s="793">
        <f t="shared" si="17"/>
        <v>0</v>
      </c>
    </row>
    <row r="187" spans="1:15" s="136" customFormat="1" ht="17.100000000000001" customHeight="1" x14ac:dyDescent="0.2">
      <c r="A187" s="158"/>
      <c r="B187" s="151"/>
      <c r="C187" s="452" t="s">
        <v>344</v>
      </c>
      <c r="D187" s="453"/>
      <c r="E187" s="454">
        <f>SUM(E179:E186)</f>
        <v>0</v>
      </c>
      <c r="F187" s="454">
        <f t="shared" ref="F187:O187" si="18">SUM(F179:F186)</f>
        <v>0</v>
      </c>
      <c r="G187" s="454">
        <f t="shared" si="18"/>
        <v>0</v>
      </c>
      <c r="H187" s="454">
        <f t="shared" si="18"/>
        <v>0</v>
      </c>
      <c r="I187" s="454">
        <f t="shared" si="18"/>
        <v>0</v>
      </c>
      <c r="J187" s="454">
        <f t="shared" si="18"/>
        <v>-3500</v>
      </c>
      <c r="K187" s="454">
        <f t="shared" si="18"/>
        <v>3500</v>
      </c>
      <c r="L187" s="454">
        <f t="shared" si="18"/>
        <v>0</v>
      </c>
      <c r="M187" s="454">
        <f t="shared" si="18"/>
        <v>0</v>
      </c>
      <c r="N187" s="454">
        <f t="shared" si="18"/>
        <v>0</v>
      </c>
      <c r="O187" s="454">
        <f t="shared" si="18"/>
        <v>0</v>
      </c>
    </row>
    <row r="188" spans="1:15" s="136" customFormat="1" ht="24.95" customHeight="1" x14ac:dyDescent="0.2">
      <c r="A188" s="151"/>
      <c r="B188" s="151"/>
      <c r="C188" s="483" t="s">
        <v>13</v>
      </c>
      <c r="D188" s="484"/>
      <c r="E188" s="454">
        <f t="shared" ref="E188:O188" si="19">SUM(E10+E34+E39+E57+E112+E140+E148+E178+E187)</f>
        <v>584877</v>
      </c>
      <c r="F188" s="454">
        <f t="shared" si="19"/>
        <v>7793506</v>
      </c>
      <c r="G188" s="454">
        <f t="shared" si="19"/>
        <v>16000</v>
      </c>
      <c r="H188" s="454">
        <f t="shared" si="19"/>
        <v>356212</v>
      </c>
      <c r="I188" s="454">
        <f t="shared" si="19"/>
        <v>83288</v>
      </c>
      <c r="J188" s="454">
        <f t="shared" si="19"/>
        <v>3400</v>
      </c>
      <c r="K188" s="454">
        <f t="shared" si="19"/>
        <v>4000</v>
      </c>
      <c r="L188" s="454">
        <f t="shared" si="19"/>
        <v>0</v>
      </c>
      <c r="M188" s="454">
        <f t="shared" si="19"/>
        <v>0</v>
      </c>
      <c r="N188" s="454">
        <f t="shared" si="19"/>
        <v>15000</v>
      </c>
      <c r="O188" s="454">
        <f t="shared" si="19"/>
        <v>8856283</v>
      </c>
    </row>
    <row r="189" spans="1:15" s="136" customFormat="1" ht="15.95" customHeight="1" x14ac:dyDescent="0.2">
      <c r="A189" s="146">
        <v>2</v>
      </c>
      <c r="B189" s="146"/>
      <c r="C189" s="485" t="s">
        <v>196</v>
      </c>
      <c r="D189" s="486"/>
      <c r="E189" s="437">
        <f>táj.3!C21</f>
        <v>24519</v>
      </c>
      <c r="F189" s="437">
        <f>táj.3!D21</f>
        <v>7085</v>
      </c>
      <c r="G189" s="437">
        <f>táj.3!E21</f>
        <v>0</v>
      </c>
      <c r="H189" s="437">
        <f>táj.3!F21</f>
        <v>-87108</v>
      </c>
      <c r="I189" s="437">
        <f>táj.3!G21</f>
        <v>0</v>
      </c>
      <c r="J189" s="437">
        <f>táj.3!H21</f>
        <v>0</v>
      </c>
      <c r="K189" s="437">
        <f>táj.3!I21</f>
        <v>250</v>
      </c>
      <c r="L189" s="437"/>
      <c r="M189" s="437">
        <f>táj.3!J21</f>
        <v>0</v>
      </c>
      <c r="N189" s="437"/>
      <c r="O189" s="437">
        <f>SUM(E189:N189)</f>
        <v>-55254</v>
      </c>
    </row>
    <row r="190" spans="1:15" s="136" customFormat="1" ht="15.95" customHeight="1" x14ac:dyDescent="0.2">
      <c r="A190" s="151"/>
      <c r="B190" s="151"/>
      <c r="C190" s="487" t="s">
        <v>186</v>
      </c>
      <c r="D190" s="453"/>
      <c r="E190" s="454">
        <f>SUM(E188:E189)</f>
        <v>609396</v>
      </c>
      <c r="F190" s="454">
        <f t="shared" ref="F190:O190" si="20">SUM(F188:F189)</f>
        <v>7800591</v>
      </c>
      <c r="G190" s="454">
        <f t="shared" si="20"/>
        <v>16000</v>
      </c>
      <c r="H190" s="454">
        <f t="shared" si="20"/>
        <v>269104</v>
      </c>
      <c r="I190" s="454">
        <f t="shared" si="20"/>
        <v>83288</v>
      </c>
      <c r="J190" s="454">
        <f t="shared" si="20"/>
        <v>3400</v>
      </c>
      <c r="K190" s="454">
        <f t="shared" si="20"/>
        <v>4250</v>
      </c>
      <c r="L190" s="454">
        <f t="shared" si="20"/>
        <v>0</v>
      </c>
      <c r="M190" s="454">
        <f t="shared" si="20"/>
        <v>0</v>
      </c>
      <c r="N190" s="454">
        <f t="shared" si="20"/>
        <v>15000</v>
      </c>
      <c r="O190" s="454">
        <f t="shared" si="20"/>
        <v>8801029</v>
      </c>
    </row>
    <row r="191" spans="1:15" x14ac:dyDescent="0.2">
      <c r="O191" s="161"/>
    </row>
    <row r="192" spans="1:15" x14ac:dyDescent="0.2">
      <c r="O192" s="161"/>
    </row>
    <row r="193" spans="13:15" x14ac:dyDescent="0.2">
      <c r="M193" s="952"/>
      <c r="N193" s="952"/>
      <c r="O193" s="161"/>
    </row>
    <row r="194" spans="13:15" x14ac:dyDescent="0.2">
      <c r="M194" s="952"/>
      <c r="N194" s="952"/>
      <c r="O194" s="161"/>
    </row>
    <row r="195" spans="13:15" x14ac:dyDescent="0.2">
      <c r="M195" s="952"/>
      <c r="N195" s="952"/>
    </row>
    <row r="196" spans="13:15" x14ac:dyDescent="0.2">
      <c r="O196" s="161"/>
    </row>
  </sheetData>
  <mergeCells count="10">
    <mergeCell ref="O1:O2"/>
    <mergeCell ref="M193:N193"/>
    <mergeCell ref="M194:N194"/>
    <mergeCell ref="M195:N195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 2021. ÉVI 
BEVÉTELI ELŐIRÁNYZATAINAK MÓDOSÍTÁSA A III. NEGYEDÉVBEN&amp;R&amp;"Times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773"/>
  <sheetViews>
    <sheetView tabSelected="1" topLeftCell="C1" zoomScale="98" zoomScaleNormal="98" zoomScaleSheetLayoutView="120" workbookViewId="0">
      <pane ySplit="2" topLeftCell="A461" activePane="bottomLeft" state="frozen"/>
      <selection activeCell="H32" sqref="H32"/>
      <selection pane="bottomLeft" activeCell="C238" sqref="A238:XFD238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385" customWidth="1"/>
    <col min="14" max="14" width="8.83203125" style="385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8" ht="25.5" customHeight="1" x14ac:dyDescent="0.2">
      <c r="A1" s="966" t="s">
        <v>97</v>
      </c>
      <c r="B1" s="966" t="s">
        <v>98</v>
      </c>
      <c r="C1" s="966" t="s">
        <v>21</v>
      </c>
      <c r="D1" s="968" t="s">
        <v>137</v>
      </c>
      <c r="E1" s="970" t="s">
        <v>345</v>
      </c>
      <c r="F1" s="972" t="s">
        <v>228</v>
      </c>
      <c r="G1" s="959" t="s">
        <v>143</v>
      </c>
      <c r="H1" s="960"/>
      <c r="I1" s="960"/>
      <c r="J1" s="960"/>
      <c r="K1" s="960"/>
      <c r="L1" s="960"/>
      <c r="M1" s="960"/>
      <c r="N1" s="961"/>
      <c r="O1" s="962" t="s">
        <v>142</v>
      </c>
      <c r="P1" s="961"/>
      <c r="Q1" s="982" t="s">
        <v>346</v>
      </c>
      <c r="R1" s="980" t="s">
        <v>1023</v>
      </c>
    </row>
    <row r="2" spans="1:18" ht="57.95" customHeight="1" thickBot="1" x14ac:dyDescent="0.25">
      <c r="A2" s="967"/>
      <c r="B2" s="967"/>
      <c r="C2" s="967"/>
      <c r="D2" s="969"/>
      <c r="E2" s="971"/>
      <c r="F2" s="973"/>
      <c r="G2" s="537" t="s">
        <v>121</v>
      </c>
      <c r="H2" s="163" t="s">
        <v>212</v>
      </c>
      <c r="I2" s="163" t="s">
        <v>206</v>
      </c>
      <c r="J2" s="163" t="s">
        <v>18</v>
      </c>
      <c r="K2" s="163" t="s">
        <v>33</v>
      </c>
      <c r="L2" s="163" t="s">
        <v>24</v>
      </c>
      <c r="M2" s="163" t="s">
        <v>23</v>
      </c>
      <c r="N2" s="163" t="s">
        <v>19</v>
      </c>
      <c r="O2" s="164" t="s">
        <v>147</v>
      </c>
      <c r="P2" s="165" t="s">
        <v>149</v>
      </c>
      <c r="Q2" s="983"/>
      <c r="R2" s="981"/>
    </row>
    <row r="3" spans="1:18" ht="16.5" customHeight="1" x14ac:dyDescent="0.2">
      <c r="A3" s="166">
        <v>1</v>
      </c>
      <c r="B3" s="167"/>
      <c r="C3" s="168"/>
      <c r="D3" s="169" t="s">
        <v>347</v>
      </c>
      <c r="E3" s="170"/>
      <c r="F3" s="171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3"/>
      <c r="R3" s="598"/>
    </row>
    <row r="4" spans="1:18" ht="12.75" customHeight="1" x14ac:dyDescent="0.2">
      <c r="A4" s="167">
        <v>1</v>
      </c>
      <c r="B4" s="167">
        <v>1</v>
      </c>
      <c r="C4" s="167"/>
      <c r="D4" s="169" t="s">
        <v>6</v>
      </c>
      <c r="E4" s="148"/>
      <c r="F4" s="174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598"/>
    </row>
    <row r="5" spans="1:18" ht="12" customHeight="1" x14ac:dyDescent="0.2">
      <c r="A5" s="175">
        <v>1</v>
      </c>
      <c r="B5" s="175">
        <v>12</v>
      </c>
      <c r="C5" s="175"/>
      <c r="D5" s="176" t="s">
        <v>108</v>
      </c>
      <c r="E5" s="177"/>
      <c r="F5" s="178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598"/>
    </row>
    <row r="6" spans="1:18" ht="14.45" hidden="1" customHeight="1" x14ac:dyDescent="0.2">
      <c r="A6" s="175"/>
      <c r="B6" s="175"/>
      <c r="C6" s="180"/>
      <c r="D6" s="181" t="s">
        <v>348</v>
      </c>
      <c r="E6" s="182"/>
      <c r="F6" s="183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598"/>
    </row>
    <row r="7" spans="1:18" ht="14.45" hidden="1" customHeight="1" x14ac:dyDescent="0.2">
      <c r="A7" s="175"/>
      <c r="B7" s="175"/>
      <c r="C7" s="180"/>
      <c r="D7" s="184" t="s">
        <v>349</v>
      </c>
      <c r="E7" s="185">
        <v>2</v>
      </c>
      <c r="F7" s="186">
        <v>121103</v>
      </c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>
        <f>SUM(G7:P7)</f>
        <v>0</v>
      </c>
      <c r="R7" s="598"/>
    </row>
    <row r="8" spans="1:18" ht="14.45" hidden="1" customHeight="1" x14ac:dyDescent="0.2">
      <c r="A8" s="175"/>
      <c r="B8" s="175"/>
      <c r="C8" s="180"/>
      <c r="D8" s="184" t="s">
        <v>350</v>
      </c>
      <c r="E8" s="185"/>
      <c r="F8" s="186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598"/>
    </row>
    <row r="9" spans="1:18" ht="14.45" hidden="1" customHeight="1" x14ac:dyDescent="0.2">
      <c r="A9" s="175"/>
      <c r="B9" s="175"/>
      <c r="C9" s="180"/>
      <c r="D9" s="184" t="s">
        <v>351</v>
      </c>
      <c r="E9" s="185">
        <v>2</v>
      </c>
      <c r="F9" s="186">
        <v>121104</v>
      </c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>
        <f>SUM(G9:P9)</f>
        <v>0</v>
      </c>
      <c r="R9" s="598"/>
    </row>
    <row r="10" spans="1:18" ht="24" hidden="1" customHeight="1" x14ac:dyDescent="0.2">
      <c r="A10" s="175"/>
      <c r="B10" s="175"/>
      <c r="C10" s="180"/>
      <c r="D10" s="492" t="s">
        <v>352</v>
      </c>
      <c r="E10" s="185">
        <v>2</v>
      </c>
      <c r="F10" s="186">
        <v>121117</v>
      </c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>
        <f>SUM(G10:P10)</f>
        <v>0</v>
      </c>
      <c r="R10" s="598"/>
    </row>
    <row r="11" spans="1:18" ht="14.45" hidden="1" customHeight="1" x14ac:dyDescent="0.2">
      <c r="A11" s="175"/>
      <c r="B11" s="175"/>
      <c r="C11" s="180"/>
      <c r="D11" s="493" t="s">
        <v>353</v>
      </c>
      <c r="E11" s="185"/>
      <c r="F11" s="186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598"/>
    </row>
    <row r="12" spans="1:18" ht="14.45" hidden="1" customHeight="1" x14ac:dyDescent="0.2">
      <c r="A12" s="175"/>
      <c r="B12" s="175"/>
      <c r="C12" s="180"/>
      <c r="D12" s="493" t="s">
        <v>354</v>
      </c>
      <c r="E12" s="185">
        <v>2</v>
      </c>
      <c r="F12" s="186">
        <v>121111</v>
      </c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>
        <f t="shared" ref="Q12:Q16" si="0">SUM(G12:P12)</f>
        <v>0</v>
      </c>
      <c r="R12" s="598"/>
    </row>
    <row r="13" spans="1:18" ht="14.45" hidden="1" customHeight="1" x14ac:dyDescent="0.2">
      <c r="A13" s="175"/>
      <c r="B13" s="175"/>
      <c r="C13" s="180"/>
      <c r="D13" s="493" t="s">
        <v>355</v>
      </c>
      <c r="E13" s="185">
        <v>2</v>
      </c>
      <c r="F13" s="185">
        <v>121127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>
        <f t="shared" si="0"/>
        <v>0</v>
      </c>
      <c r="R13" s="598"/>
    </row>
    <row r="14" spans="1:18" ht="14.45" hidden="1" customHeight="1" x14ac:dyDescent="0.2">
      <c r="A14" s="175"/>
      <c r="B14" s="175"/>
      <c r="C14" s="180"/>
      <c r="D14" s="493" t="s">
        <v>356</v>
      </c>
      <c r="E14" s="185">
        <v>2</v>
      </c>
      <c r="F14" s="185">
        <v>121115</v>
      </c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>
        <f t="shared" si="0"/>
        <v>0</v>
      </c>
      <c r="R14" s="598"/>
    </row>
    <row r="15" spans="1:18" ht="14.45" hidden="1" customHeight="1" x14ac:dyDescent="0.2">
      <c r="A15" s="175"/>
      <c r="B15" s="175"/>
      <c r="C15" s="180"/>
      <c r="D15" s="493" t="s">
        <v>357</v>
      </c>
      <c r="E15" s="185">
        <v>2</v>
      </c>
      <c r="F15" s="185">
        <v>121129</v>
      </c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>
        <f t="shared" si="0"/>
        <v>0</v>
      </c>
      <c r="R15" s="598"/>
    </row>
    <row r="16" spans="1:18" ht="14.45" hidden="1" customHeight="1" x14ac:dyDescent="0.2">
      <c r="A16" s="175"/>
      <c r="B16" s="175"/>
      <c r="C16" s="180"/>
      <c r="D16" s="494" t="s">
        <v>358</v>
      </c>
      <c r="E16" s="185">
        <v>2</v>
      </c>
      <c r="F16" s="185">
        <v>121106</v>
      </c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>
        <f t="shared" si="0"/>
        <v>0</v>
      </c>
      <c r="R16" s="598"/>
    </row>
    <row r="17" spans="1:18" ht="27" hidden="1" customHeight="1" x14ac:dyDescent="0.2">
      <c r="A17" s="175"/>
      <c r="B17" s="175"/>
      <c r="C17" s="180"/>
      <c r="D17" s="495" t="s">
        <v>359</v>
      </c>
      <c r="E17" s="185"/>
      <c r="F17" s="185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598"/>
    </row>
    <row r="18" spans="1:18" ht="14.45" hidden="1" customHeight="1" x14ac:dyDescent="0.2">
      <c r="A18" s="175"/>
      <c r="B18" s="175"/>
      <c r="C18" s="180"/>
      <c r="D18" s="493" t="s">
        <v>360</v>
      </c>
      <c r="E18" s="185">
        <v>2</v>
      </c>
      <c r="F18" s="185">
        <v>121131</v>
      </c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>
        <f>SUM(G18:P18)</f>
        <v>0</v>
      </c>
      <c r="R18" s="598"/>
    </row>
    <row r="19" spans="1:18" ht="14.45" hidden="1" customHeight="1" x14ac:dyDescent="0.2">
      <c r="A19" s="175"/>
      <c r="B19" s="175"/>
      <c r="C19" s="180"/>
      <c r="D19" s="493" t="s">
        <v>350</v>
      </c>
      <c r="E19" s="185"/>
      <c r="F19" s="185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598"/>
    </row>
    <row r="20" spans="1:18" ht="14.45" hidden="1" customHeight="1" x14ac:dyDescent="0.2">
      <c r="A20" s="175"/>
      <c r="B20" s="175"/>
      <c r="C20" s="180"/>
      <c r="D20" s="493" t="s">
        <v>361</v>
      </c>
      <c r="E20" s="185">
        <v>2</v>
      </c>
      <c r="F20" s="185">
        <v>121130</v>
      </c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>
        <f>SUM(G20:P20)</f>
        <v>0</v>
      </c>
      <c r="R20" s="598"/>
    </row>
    <row r="21" spans="1:18" ht="14.45" customHeight="1" x14ac:dyDescent="0.2">
      <c r="A21" s="175"/>
      <c r="B21" s="175"/>
      <c r="C21" s="180"/>
      <c r="D21" s="184" t="s">
        <v>353</v>
      </c>
      <c r="E21" s="185"/>
      <c r="F21" s="185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598"/>
    </row>
    <row r="22" spans="1:18" ht="14.45" hidden="1" customHeight="1" x14ac:dyDescent="0.2">
      <c r="A22" s="175"/>
      <c r="B22" s="175"/>
      <c r="C22" s="180"/>
      <c r="D22" s="184" t="s">
        <v>362</v>
      </c>
      <c r="E22" s="185">
        <v>1</v>
      </c>
      <c r="F22" s="186">
        <v>121204</v>
      </c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>
        <f>SUM(G22:P22)</f>
        <v>0</v>
      </c>
      <c r="R22" s="598"/>
    </row>
    <row r="23" spans="1:18" ht="14.45" hidden="1" customHeight="1" x14ac:dyDescent="0.2">
      <c r="A23" s="175"/>
      <c r="B23" s="175"/>
      <c r="C23" s="180"/>
      <c r="D23" s="187" t="s">
        <v>363</v>
      </c>
      <c r="E23" s="188">
        <v>1</v>
      </c>
      <c r="F23" s="186">
        <v>121132</v>
      </c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>
        <f>SUM(G23:P23)</f>
        <v>0</v>
      </c>
      <c r="R23" s="598"/>
    </row>
    <row r="24" spans="1:18" ht="14.45" customHeight="1" x14ac:dyDescent="0.2">
      <c r="A24" s="175"/>
      <c r="B24" s="175"/>
      <c r="C24" s="180"/>
      <c r="D24" s="189" t="s">
        <v>364</v>
      </c>
      <c r="E24" s="185">
        <v>1</v>
      </c>
      <c r="F24" s="186">
        <v>121203</v>
      </c>
      <c r="G24" s="179"/>
      <c r="H24" s="179"/>
      <c r="I24" s="179">
        <v>500</v>
      </c>
      <c r="J24" s="179">
        <v>-500</v>
      </c>
      <c r="K24" s="179"/>
      <c r="L24" s="179"/>
      <c r="M24" s="179"/>
      <c r="N24" s="179"/>
      <c r="O24" s="179"/>
      <c r="P24" s="179"/>
      <c r="Q24" s="179">
        <f>SUM(G24:P24)</f>
        <v>0</v>
      </c>
      <c r="R24" s="598" t="s">
        <v>1365</v>
      </c>
    </row>
    <row r="25" spans="1:18" ht="14.45" hidden="1" customHeight="1" x14ac:dyDescent="0.2">
      <c r="A25" s="175"/>
      <c r="B25" s="175"/>
      <c r="C25" s="180"/>
      <c r="D25" s="190" t="s">
        <v>365</v>
      </c>
      <c r="E25" s="185"/>
      <c r="F25" s="148"/>
      <c r="G25" s="148"/>
      <c r="H25" s="179"/>
      <c r="I25" s="179"/>
      <c r="J25" s="179"/>
      <c r="K25" s="179"/>
      <c r="L25" s="179"/>
      <c r="M25" s="186"/>
      <c r="N25" s="186"/>
      <c r="O25" s="186"/>
      <c r="P25" s="186"/>
      <c r="Q25" s="179"/>
      <c r="R25" s="598"/>
    </row>
    <row r="26" spans="1:18" ht="14.45" hidden="1" customHeight="1" x14ac:dyDescent="0.2">
      <c r="A26" s="175"/>
      <c r="B26" s="175"/>
      <c r="C26" s="180"/>
      <c r="D26" s="184" t="s">
        <v>366</v>
      </c>
      <c r="E26" s="185">
        <v>2</v>
      </c>
      <c r="F26" s="186">
        <v>121504</v>
      </c>
      <c r="G26" s="179"/>
      <c r="H26" s="179"/>
      <c r="I26" s="179"/>
      <c r="J26" s="179"/>
      <c r="K26" s="179"/>
      <c r="L26" s="179"/>
      <c r="M26" s="179"/>
      <c r="N26" s="179"/>
      <c r="O26" s="186"/>
      <c r="P26" s="186"/>
      <c r="Q26" s="179">
        <f>SUM(G26:P26)</f>
        <v>0</v>
      </c>
      <c r="R26" s="598"/>
    </row>
    <row r="27" spans="1:18" ht="14.45" hidden="1" customHeight="1" x14ac:dyDescent="0.2">
      <c r="A27" s="175"/>
      <c r="B27" s="175"/>
      <c r="C27" s="180"/>
      <c r="D27" s="184" t="s">
        <v>315</v>
      </c>
      <c r="E27" s="185"/>
      <c r="F27" s="186"/>
      <c r="G27" s="186"/>
      <c r="H27" s="179"/>
      <c r="I27" s="179"/>
      <c r="J27" s="179"/>
      <c r="K27" s="179"/>
      <c r="L27" s="179"/>
      <c r="M27" s="186"/>
      <c r="N27" s="186"/>
      <c r="O27" s="191"/>
      <c r="P27" s="191"/>
      <c r="Q27" s="179"/>
      <c r="R27" s="598"/>
    </row>
    <row r="28" spans="1:18" ht="12.6" hidden="1" customHeight="1" x14ac:dyDescent="0.2">
      <c r="A28" s="174"/>
      <c r="B28" s="192"/>
      <c r="C28" s="193"/>
      <c r="D28" s="148" t="s">
        <v>367</v>
      </c>
      <c r="E28" s="185">
        <v>1</v>
      </c>
      <c r="F28" s="148">
        <v>121403</v>
      </c>
      <c r="G28" s="148"/>
      <c r="H28" s="179"/>
      <c r="I28" s="179"/>
      <c r="J28" s="179"/>
      <c r="K28" s="179"/>
      <c r="L28" s="179"/>
      <c r="M28" s="148"/>
      <c r="N28" s="148"/>
      <c r="O28" s="148"/>
      <c r="P28" s="148"/>
      <c r="Q28" s="179">
        <f>SUM(G28:P28)</f>
        <v>0</v>
      </c>
      <c r="R28" s="598"/>
    </row>
    <row r="29" spans="1:18" ht="12.6" hidden="1" customHeight="1" x14ac:dyDescent="0.2">
      <c r="A29" s="174"/>
      <c r="B29" s="192"/>
      <c r="C29" s="193"/>
      <c r="D29" s="148" t="s">
        <v>368</v>
      </c>
      <c r="E29" s="148"/>
      <c r="F29" s="148"/>
      <c r="G29" s="148"/>
      <c r="H29" s="179"/>
      <c r="I29" s="179"/>
      <c r="J29" s="179"/>
      <c r="K29" s="179"/>
      <c r="L29" s="179"/>
      <c r="M29" s="148"/>
      <c r="N29" s="148"/>
      <c r="O29" s="148"/>
      <c r="P29" s="148"/>
      <c r="Q29" s="179"/>
      <c r="R29" s="598"/>
    </row>
    <row r="30" spans="1:18" ht="12.6" hidden="1" customHeight="1" x14ac:dyDescent="0.2">
      <c r="A30" s="174"/>
      <c r="B30" s="174"/>
      <c r="C30" s="194"/>
      <c r="D30" s="190" t="s">
        <v>369</v>
      </c>
      <c r="E30" s="148">
        <v>1</v>
      </c>
      <c r="F30" s="148">
        <v>121301</v>
      </c>
      <c r="G30" s="148"/>
      <c r="H30" s="179"/>
      <c r="I30" s="179"/>
      <c r="J30" s="179"/>
      <c r="K30" s="179"/>
      <c r="L30" s="179"/>
      <c r="M30" s="148"/>
      <c r="N30" s="148"/>
      <c r="O30" s="148"/>
      <c r="P30" s="148"/>
      <c r="Q30" s="179">
        <f>SUM(G30:P30)</f>
        <v>0</v>
      </c>
      <c r="R30" s="598"/>
    </row>
    <row r="31" spans="1:18" ht="12.6" customHeight="1" x14ac:dyDescent="0.2">
      <c r="A31" s="174"/>
      <c r="B31" s="174"/>
      <c r="C31" s="194"/>
      <c r="D31" s="195" t="s">
        <v>229</v>
      </c>
      <c r="E31" s="185"/>
      <c r="F31" s="148"/>
      <c r="G31" s="148"/>
      <c r="H31" s="179"/>
      <c r="I31" s="179"/>
      <c r="J31" s="179"/>
      <c r="K31" s="179"/>
      <c r="L31" s="179"/>
      <c r="M31" s="148"/>
      <c r="N31" s="148"/>
      <c r="O31" s="148"/>
      <c r="P31" s="148"/>
      <c r="Q31" s="179"/>
      <c r="R31" s="598"/>
    </row>
    <row r="32" spans="1:18" ht="12.6" hidden="1" customHeight="1" x14ac:dyDescent="0.2">
      <c r="A32" s="174"/>
      <c r="B32" s="174"/>
      <c r="C32" s="194"/>
      <c r="D32" s="196" t="s">
        <v>370</v>
      </c>
      <c r="E32" s="185">
        <v>2</v>
      </c>
      <c r="F32" s="148">
        <v>221902</v>
      </c>
      <c r="G32" s="148"/>
      <c r="H32" s="179"/>
      <c r="I32" s="179"/>
      <c r="J32" s="179"/>
      <c r="K32" s="179"/>
      <c r="L32" s="179"/>
      <c r="M32" s="148"/>
      <c r="N32" s="148"/>
      <c r="O32" s="148"/>
      <c r="P32" s="148"/>
      <c r="Q32" s="179">
        <f>SUM(G32:P32)</f>
        <v>0</v>
      </c>
      <c r="R32" s="598"/>
    </row>
    <row r="33" spans="1:18" ht="12.6" customHeight="1" x14ac:dyDescent="0.2">
      <c r="A33" s="174"/>
      <c r="B33" s="174"/>
      <c r="C33" s="194"/>
      <c r="D33" s="197" t="s">
        <v>371</v>
      </c>
      <c r="E33" s="185">
        <v>2</v>
      </c>
      <c r="F33" s="148" t="s">
        <v>372</v>
      </c>
      <c r="G33" s="198"/>
      <c r="H33" s="179"/>
      <c r="I33" s="179">
        <v>150</v>
      </c>
      <c r="J33" s="179">
        <v>-150</v>
      </c>
      <c r="K33" s="179"/>
      <c r="L33" s="179"/>
      <c r="M33" s="148"/>
      <c r="N33" s="148"/>
      <c r="O33" s="148"/>
      <c r="P33" s="148"/>
      <c r="Q33" s="179">
        <f>SUM(G33:P33)</f>
        <v>0</v>
      </c>
      <c r="R33" s="598" t="s">
        <v>1365</v>
      </c>
    </row>
    <row r="34" spans="1:18" ht="12.6" hidden="1" customHeight="1" x14ac:dyDescent="0.2">
      <c r="A34" s="676"/>
      <c r="B34" s="676"/>
      <c r="C34" s="579"/>
      <c r="D34" s="677" t="s">
        <v>1110</v>
      </c>
      <c r="E34" s="678">
        <v>1</v>
      </c>
      <c r="F34" s="504">
        <v>121118</v>
      </c>
      <c r="G34" s="505"/>
      <c r="H34" s="591"/>
      <c r="I34" s="591"/>
      <c r="J34" s="591"/>
      <c r="K34" s="591"/>
      <c r="L34" s="591"/>
      <c r="M34" s="504"/>
      <c r="N34" s="504"/>
      <c r="O34" s="504"/>
      <c r="P34" s="504"/>
      <c r="Q34" s="179">
        <f t="shared" ref="Q34:Q35" si="1">SUM(G34:P34)</f>
        <v>0</v>
      </c>
      <c r="R34" s="679"/>
    </row>
    <row r="35" spans="1:18" ht="12.6" hidden="1" customHeight="1" x14ac:dyDescent="0.2">
      <c r="A35" s="676"/>
      <c r="B35" s="676"/>
      <c r="C35" s="579"/>
      <c r="D35" s="680" t="s">
        <v>1111</v>
      </c>
      <c r="E35" s="678">
        <v>1</v>
      </c>
      <c r="F35" s="504">
        <v>121515</v>
      </c>
      <c r="G35" s="505"/>
      <c r="H35" s="591"/>
      <c r="I35" s="591"/>
      <c r="J35" s="591"/>
      <c r="K35" s="591"/>
      <c r="L35" s="591"/>
      <c r="M35" s="504"/>
      <c r="N35" s="504"/>
      <c r="O35" s="504"/>
      <c r="P35" s="504"/>
      <c r="Q35" s="179">
        <f t="shared" si="1"/>
        <v>0</v>
      </c>
      <c r="R35" s="679"/>
    </row>
    <row r="36" spans="1:18" ht="14.1" hidden="1" customHeight="1" x14ac:dyDescent="0.2">
      <c r="A36" s="174"/>
      <c r="B36" s="174"/>
      <c r="C36" s="194"/>
      <c r="D36" s="181" t="s">
        <v>373</v>
      </c>
      <c r="E36" s="185"/>
      <c r="F36" s="148"/>
      <c r="G36" s="148"/>
      <c r="H36" s="179"/>
      <c r="I36" s="179"/>
      <c r="J36" s="179"/>
      <c r="K36" s="179"/>
      <c r="L36" s="179"/>
      <c r="M36" s="148"/>
      <c r="N36" s="148"/>
      <c r="O36" s="148"/>
      <c r="P36" s="148"/>
      <c r="Q36" s="179"/>
      <c r="R36" s="598"/>
    </row>
    <row r="37" spans="1:18" ht="14.1" hidden="1" customHeight="1" x14ac:dyDescent="0.2">
      <c r="A37" s="174"/>
      <c r="B37" s="174"/>
      <c r="C37" s="194"/>
      <c r="D37" s="190" t="s">
        <v>374</v>
      </c>
      <c r="E37" s="185">
        <v>1</v>
      </c>
      <c r="F37" s="148">
        <v>121601</v>
      </c>
      <c r="G37" s="148"/>
      <c r="H37" s="179"/>
      <c r="I37" s="179"/>
      <c r="J37" s="179"/>
      <c r="K37" s="179"/>
      <c r="L37" s="179"/>
      <c r="M37" s="148"/>
      <c r="N37" s="148"/>
      <c r="O37" s="148"/>
      <c r="P37" s="148"/>
      <c r="Q37" s="179">
        <f>SUM(G37:P37)</f>
        <v>0</v>
      </c>
      <c r="R37" s="598"/>
    </row>
    <row r="38" spans="1:18" ht="14.1" hidden="1" customHeight="1" x14ac:dyDescent="0.2">
      <c r="A38" s="174"/>
      <c r="B38" s="174"/>
      <c r="C38" s="194"/>
      <c r="D38" s="199" t="s">
        <v>375</v>
      </c>
      <c r="E38" s="185"/>
      <c r="F38" s="185"/>
      <c r="G38" s="148"/>
      <c r="H38" s="179"/>
      <c r="I38" s="179"/>
      <c r="J38" s="179"/>
      <c r="K38" s="179"/>
      <c r="L38" s="179"/>
      <c r="M38" s="148"/>
      <c r="N38" s="148"/>
      <c r="O38" s="148"/>
      <c r="P38" s="148"/>
      <c r="Q38" s="179"/>
      <c r="R38" s="598"/>
    </row>
    <row r="39" spans="1:18" ht="14.1" hidden="1" customHeight="1" x14ac:dyDescent="0.2">
      <c r="A39" s="174"/>
      <c r="B39" s="174"/>
      <c r="C39" s="194"/>
      <c r="D39" s="190" t="s">
        <v>376</v>
      </c>
      <c r="E39" s="153">
        <v>2</v>
      </c>
      <c r="F39" s="148">
        <v>121517</v>
      </c>
      <c r="G39" s="148"/>
      <c r="H39" s="179"/>
      <c r="I39" s="179"/>
      <c r="J39" s="179"/>
      <c r="K39" s="179"/>
      <c r="L39" s="179"/>
      <c r="M39" s="148"/>
      <c r="N39" s="148"/>
      <c r="O39" s="148"/>
      <c r="P39" s="148"/>
      <c r="Q39" s="179">
        <f>SUM(G39:P39)</f>
        <v>0</v>
      </c>
      <c r="R39" s="598"/>
    </row>
    <row r="40" spans="1:18" ht="13.5" x14ac:dyDescent="0.2">
      <c r="A40" s="200"/>
      <c r="B40" s="200"/>
      <c r="C40" s="201"/>
      <c r="D40" s="202" t="s">
        <v>377</v>
      </c>
      <c r="E40" s="203"/>
      <c r="F40" s="204"/>
      <c r="G40" s="205">
        <f t="shared" ref="G40:Q40" si="2">SUM(G7:G39)</f>
        <v>0</v>
      </c>
      <c r="H40" s="205">
        <f t="shared" si="2"/>
        <v>0</v>
      </c>
      <c r="I40" s="205">
        <f t="shared" si="2"/>
        <v>650</v>
      </c>
      <c r="J40" s="205">
        <f t="shared" si="2"/>
        <v>-650</v>
      </c>
      <c r="K40" s="205">
        <f t="shared" si="2"/>
        <v>0</v>
      </c>
      <c r="L40" s="205">
        <f t="shared" si="2"/>
        <v>0</v>
      </c>
      <c r="M40" s="205">
        <f t="shared" si="2"/>
        <v>0</v>
      </c>
      <c r="N40" s="205">
        <f t="shared" si="2"/>
        <v>0</v>
      </c>
      <c r="O40" s="205">
        <f t="shared" si="2"/>
        <v>0</v>
      </c>
      <c r="P40" s="205">
        <f t="shared" si="2"/>
        <v>0</v>
      </c>
      <c r="Q40" s="205">
        <f t="shared" si="2"/>
        <v>0</v>
      </c>
      <c r="R40" s="599"/>
    </row>
    <row r="41" spans="1:18" ht="13.5" x14ac:dyDescent="0.2">
      <c r="A41" s="206"/>
      <c r="B41" s="206"/>
      <c r="C41" s="194"/>
      <c r="D41" s="190" t="s">
        <v>378</v>
      </c>
      <c r="E41" s="207"/>
      <c r="F41" s="14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598"/>
    </row>
    <row r="42" spans="1:18" ht="24" hidden="1" x14ac:dyDescent="0.2">
      <c r="A42" s="206"/>
      <c r="B42" s="206"/>
      <c r="C42" s="194" t="s">
        <v>379</v>
      </c>
      <c r="D42" s="496" t="s">
        <v>380</v>
      </c>
      <c r="E42" s="207"/>
      <c r="F42" s="148">
        <v>121401</v>
      </c>
      <c r="G42" s="208"/>
      <c r="H42" s="208"/>
      <c r="I42" s="208"/>
      <c r="J42" s="208"/>
      <c r="K42" s="208"/>
      <c r="L42" s="208"/>
      <c r="M42" s="208"/>
      <c r="N42" s="148"/>
      <c r="O42" s="148"/>
      <c r="P42" s="148"/>
      <c r="Q42" s="148">
        <f>SUM(G42:P42)</f>
        <v>0</v>
      </c>
      <c r="R42" s="598"/>
    </row>
    <row r="43" spans="1:18" ht="13.5" hidden="1" x14ac:dyDescent="0.2">
      <c r="A43" s="206"/>
      <c r="B43" s="206"/>
      <c r="C43" s="194"/>
      <c r="D43" s="497" t="s">
        <v>381</v>
      </c>
      <c r="E43" s="207"/>
      <c r="F43" s="148"/>
      <c r="G43" s="208"/>
      <c r="H43" s="208"/>
      <c r="I43" s="208"/>
      <c r="J43" s="208"/>
      <c r="K43" s="208"/>
      <c r="L43" s="208"/>
      <c r="M43" s="208"/>
      <c r="N43" s="148"/>
      <c r="O43" s="148"/>
      <c r="P43" s="148"/>
      <c r="Q43" s="148"/>
      <c r="R43" s="598"/>
    </row>
    <row r="44" spans="1:18" ht="13.5" hidden="1" x14ac:dyDescent="0.2">
      <c r="A44" s="206"/>
      <c r="B44" s="206"/>
      <c r="C44" s="194" t="s">
        <v>382</v>
      </c>
      <c r="D44" s="498" t="s">
        <v>383</v>
      </c>
      <c r="E44" s="207"/>
      <c r="F44" s="148">
        <v>121405</v>
      </c>
      <c r="G44" s="208"/>
      <c r="H44" s="208"/>
      <c r="I44" s="208"/>
      <c r="J44" s="208"/>
      <c r="K44" s="208"/>
      <c r="L44" s="208"/>
      <c r="M44" s="208"/>
      <c r="N44" s="148"/>
      <c r="O44" s="148"/>
      <c r="P44" s="148"/>
      <c r="Q44" s="148">
        <f>SUM(G44:P44)</f>
        <v>0</v>
      </c>
      <c r="R44" s="598"/>
    </row>
    <row r="45" spans="1:18" ht="24" hidden="1" x14ac:dyDescent="0.2">
      <c r="A45" s="206"/>
      <c r="B45" s="206"/>
      <c r="C45" s="194" t="s">
        <v>384</v>
      </c>
      <c r="D45" s="499" t="s">
        <v>385</v>
      </c>
      <c r="E45" s="207"/>
      <c r="F45" s="148">
        <v>121402</v>
      </c>
      <c r="G45" s="208"/>
      <c r="H45" s="208"/>
      <c r="I45" s="208"/>
      <c r="J45" s="208"/>
      <c r="K45" s="208"/>
      <c r="L45" s="208"/>
      <c r="M45" s="208"/>
      <c r="N45" s="148"/>
      <c r="O45" s="148"/>
      <c r="P45" s="148"/>
      <c r="Q45" s="148">
        <f>SUM(G45:P45)</f>
        <v>0</v>
      </c>
      <c r="R45" s="598"/>
    </row>
    <row r="46" spans="1:18" ht="13.5" x14ac:dyDescent="0.2">
      <c r="A46" s="200"/>
      <c r="B46" s="200"/>
      <c r="C46" s="201"/>
      <c r="D46" s="202" t="s">
        <v>386</v>
      </c>
      <c r="E46" s="203"/>
      <c r="F46" s="204"/>
      <c r="G46" s="205">
        <f t="shared" ref="G46:Q46" si="3">SUM(G40:G45)</f>
        <v>0</v>
      </c>
      <c r="H46" s="205">
        <f t="shared" si="3"/>
        <v>0</v>
      </c>
      <c r="I46" s="205">
        <f t="shared" si="3"/>
        <v>650</v>
      </c>
      <c r="J46" s="205">
        <f t="shared" si="3"/>
        <v>-650</v>
      </c>
      <c r="K46" s="205">
        <f t="shared" si="3"/>
        <v>0</v>
      </c>
      <c r="L46" s="205">
        <f t="shared" si="3"/>
        <v>0</v>
      </c>
      <c r="M46" s="205">
        <f t="shared" si="3"/>
        <v>0</v>
      </c>
      <c r="N46" s="205">
        <f t="shared" si="3"/>
        <v>0</v>
      </c>
      <c r="O46" s="205">
        <f t="shared" si="3"/>
        <v>0</v>
      </c>
      <c r="P46" s="205">
        <f t="shared" si="3"/>
        <v>0</v>
      </c>
      <c r="Q46" s="205">
        <f t="shared" si="3"/>
        <v>0</v>
      </c>
      <c r="R46" s="599"/>
    </row>
    <row r="47" spans="1:18" ht="12" customHeight="1" x14ac:dyDescent="0.2">
      <c r="A47" s="174">
        <v>1</v>
      </c>
      <c r="B47" s="174">
        <v>13</v>
      </c>
      <c r="C47" s="174"/>
      <c r="D47" s="176" t="s">
        <v>109</v>
      </c>
      <c r="E47" s="209" t="s">
        <v>387</v>
      </c>
      <c r="F47" s="210"/>
      <c r="G47" s="210"/>
      <c r="H47" s="179"/>
      <c r="I47" s="179"/>
      <c r="J47" s="179"/>
      <c r="K47" s="179"/>
      <c r="L47" s="179"/>
      <c r="M47" s="210"/>
      <c r="N47" s="210"/>
      <c r="O47" s="210"/>
      <c r="P47" s="210"/>
      <c r="Q47" s="210"/>
      <c r="R47" s="598"/>
    </row>
    <row r="48" spans="1:18" hidden="1" x14ac:dyDescent="0.2">
      <c r="A48" s="174"/>
      <c r="B48" s="174"/>
      <c r="C48" s="194"/>
      <c r="D48" s="211" t="s">
        <v>388</v>
      </c>
      <c r="E48" s="209"/>
      <c r="F48" s="210"/>
      <c r="G48" s="210"/>
      <c r="H48" s="179"/>
      <c r="I48" s="179"/>
      <c r="J48" s="179"/>
      <c r="K48" s="179"/>
      <c r="L48" s="179"/>
      <c r="M48" s="210"/>
      <c r="N48" s="210"/>
      <c r="O48" s="210"/>
      <c r="P48" s="210"/>
      <c r="Q48" s="210"/>
      <c r="R48" s="598"/>
    </row>
    <row r="49" spans="1:18" ht="12" hidden="1" customHeight="1" x14ac:dyDescent="0.2">
      <c r="A49" s="174"/>
      <c r="B49" s="174"/>
      <c r="C49" s="194"/>
      <c r="D49" s="189" t="s">
        <v>389</v>
      </c>
      <c r="E49" s="212"/>
      <c r="F49" s="185"/>
      <c r="G49" s="148"/>
      <c r="H49" s="179"/>
      <c r="I49" s="179"/>
      <c r="J49" s="179"/>
      <c r="K49" s="179"/>
      <c r="L49" s="179"/>
      <c r="M49" s="148"/>
      <c r="N49" s="148"/>
      <c r="O49" s="148"/>
      <c r="P49" s="148"/>
      <c r="Q49" s="148"/>
      <c r="R49" s="598"/>
    </row>
    <row r="50" spans="1:18" ht="27" hidden="1" customHeight="1" x14ac:dyDescent="0.2">
      <c r="A50" s="174"/>
      <c r="B50" s="174"/>
      <c r="C50" s="194"/>
      <c r="D50" s="199" t="s">
        <v>390</v>
      </c>
      <c r="E50" s="148">
        <v>2</v>
      </c>
      <c r="F50" s="148">
        <v>131112</v>
      </c>
      <c r="G50" s="148"/>
      <c r="H50" s="179"/>
      <c r="I50" s="179"/>
      <c r="J50" s="179"/>
      <c r="K50" s="179"/>
      <c r="L50" s="179"/>
      <c r="M50" s="148"/>
      <c r="N50" s="148"/>
      <c r="O50" s="148"/>
      <c r="P50" s="148"/>
      <c r="Q50" s="148">
        <f t="shared" ref="Q50:Q56" si="4">SUM(G50:P50)</f>
        <v>0</v>
      </c>
      <c r="R50" s="598"/>
    </row>
    <row r="51" spans="1:18" ht="24.75" hidden="1" customHeight="1" x14ac:dyDescent="0.2">
      <c r="A51" s="174"/>
      <c r="B51" s="174"/>
      <c r="C51" s="194"/>
      <c r="D51" s="213" t="s">
        <v>391</v>
      </c>
      <c r="E51" s="148">
        <v>2</v>
      </c>
      <c r="F51" s="148">
        <v>131123</v>
      </c>
      <c r="G51" s="148"/>
      <c r="H51" s="179"/>
      <c r="I51" s="179"/>
      <c r="J51" s="179"/>
      <c r="K51" s="179"/>
      <c r="L51" s="179"/>
      <c r="M51" s="148"/>
      <c r="N51" s="148"/>
      <c r="O51" s="148"/>
      <c r="P51" s="148"/>
      <c r="Q51" s="148">
        <f t="shared" si="4"/>
        <v>0</v>
      </c>
      <c r="R51" s="598"/>
    </row>
    <row r="52" spans="1:18" ht="15" hidden="1" customHeight="1" x14ac:dyDescent="0.2">
      <c r="A52" s="174"/>
      <c r="B52" s="174"/>
      <c r="C52" s="194"/>
      <c r="D52" s="213" t="s">
        <v>392</v>
      </c>
      <c r="E52" s="148">
        <v>2</v>
      </c>
      <c r="F52" s="148">
        <v>131122</v>
      </c>
      <c r="G52" s="148"/>
      <c r="H52" s="179"/>
      <c r="I52" s="179"/>
      <c r="J52" s="179"/>
      <c r="K52" s="179"/>
      <c r="L52" s="179"/>
      <c r="M52" s="148"/>
      <c r="N52" s="148"/>
      <c r="O52" s="148"/>
      <c r="P52" s="148"/>
      <c r="Q52" s="148">
        <f t="shared" si="4"/>
        <v>0</v>
      </c>
      <c r="R52" s="598"/>
    </row>
    <row r="53" spans="1:18" ht="24" hidden="1" customHeight="1" x14ac:dyDescent="0.2">
      <c r="A53" s="676"/>
      <c r="B53" s="676"/>
      <c r="C53" s="579"/>
      <c r="D53" s="681" t="s">
        <v>1112</v>
      </c>
      <c r="E53" s="504">
        <v>2</v>
      </c>
      <c r="F53" s="504">
        <v>131124</v>
      </c>
      <c r="G53" s="504"/>
      <c r="H53" s="591"/>
      <c r="I53" s="591"/>
      <c r="J53" s="591"/>
      <c r="K53" s="591"/>
      <c r="L53" s="591"/>
      <c r="M53" s="504"/>
      <c r="N53" s="504"/>
      <c r="O53" s="504"/>
      <c r="P53" s="504"/>
      <c r="Q53" s="148">
        <f t="shared" si="4"/>
        <v>0</v>
      </c>
      <c r="R53" s="679"/>
    </row>
    <row r="54" spans="1:18" ht="15" hidden="1" customHeight="1" x14ac:dyDescent="0.2">
      <c r="A54" s="174"/>
      <c r="B54" s="174"/>
      <c r="C54" s="194"/>
      <c r="D54" s="190" t="s">
        <v>393</v>
      </c>
      <c r="E54" s="148">
        <v>2</v>
      </c>
      <c r="F54" s="148">
        <v>131107</v>
      </c>
      <c r="G54" s="148"/>
      <c r="H54" s="179"/>
      <c r="I54" s="179"/>
      <c r="J54" s="179"/>
      <c r="K54" s="179"/>
      <c r="L54" s="179"/>
      <c r="M54" s="148"/>
      <c r="N54" s="148"/>
      <c r="O54" s="148"/>
      <c r="P54" s="148"/>
      <c r="Q54" s="148">
        <f t="shared" si="4"/>
        <v>0</v>
      </c>
      <c r="R54" s="598"/>
    </row>
    <row r="55" spans="1:18" ht="15" hidden="1" customHeight="1" x14ac:dyDescent="0.2">
      <c r="A55" s="174"/>
      <c r="B55" s="174"/>
      <c r="C55" s="194"/>
      <c r="D55" s="190" t="s">
        <v>394</v>
      </c>
      <c r="E55" s="148">
        <v>2</v>
      </c>
      <c r="F55" s="148">
        <v>131128</v>
      </c>
      <c r="G55" s="148"/>
      <c r="H55" s="179"/>
      <c r="I55" s="179"/>
      <c r="J55" s="179"/>
      <c r="K55" s="179"/>
      <c r="L55" s="179"/>
      <c r="M55" s="148"/>
      <c r="N55" s="148"/>
      <c r="O55" s="148"/>
      <c r="P55" s="148"/>
      <c r="Q55" s="148">
        <f t="shared" si="4"/>
        <v>0</v>
      </c>
      <c r="R55" s="598"/>
    </row>
    <row r="56" spans="1:18" ht="15" hidden="1" customHeight="1" x14ac:dyDescent="0.2">
      <c r="A56" s="824"/>
      <c r="B56" s="824"/>
      <c r="C56" s="825"/>
      <c r="D56" s="783" t="s">
        <v>1281</v>
      </c>
      <c r="E56" s="784">
        <v>2</v>
      </c>
      <c r="F56" s="784">
        <v>131212</v>
      </c>
      <c r="G56" s="784"/>
      <c r="H56" s="826"/>
      <c r="I56" s="826"/>
      <c r="J56" s="826"/>
      <c r="K56" s="826"/>
      <c r="L56" s="826"/>
      <c r="M56" s="784"/>
      <c r="N56" s="784"/>
      <c r="O56" s="784"/>
      <c r="P56" s="784"/>
      <c r="Q56" s="148">
        <f t="shared" si="4"/>
        <v>0</v>
      </c>
      <c r="R56" s="598"/>
    </row>
    <row r="57" spans="1:18" ht="14.1" customHeight="1" x14ac:dyDescent="0.2">
      <c r="A57" s="174"/>
      <c r="B57" s="174"/>
      <c r="C57" s="194"/>
      <c r="D57" s="214" t="s">
        <v>395</v>
      </c>
      <c r="E57" s="215"/>
      <c r="F57" s="216"/>
      <c r="G57" s="148"/>
      <c r="H57" s="179"/>
      <c r="I57" s="179"/>
      <c r="J57" s="179"/>
      <c r="K57" s="179"/>
      <c r="L57" s="179"/>
      <c r="M57" s="148"/>
      <c r="N57" s="148"/>
      <c r="O57" s="148"/>
      <c r="P57" s="148"/>
      <c r="Q57" s="148"/>
      <c r="R57" s="598"/>
    </row>
    <row r="58" spans="1:18" ht="24.95" customHeight="1" x14ac:dyDescent="0.2">
      <c r="A58" s="174"/>
      <c r="B58" s="174"/>
      <c r="C58" s="194"/>
      <c r="D58" s="213" t="s">
        <v>396</v>
      </c>
      <c r="E58" s="217"/>
      <c r="F58" s="217"/>
      <c r="G58" s="148"/>
      <c r="H58" s="179"/>
      <c r="I58" s="179"/>
      <c r="J58" s="179"/>
      <c r="K58" s="179"/>
      <c r="L58" s="179"/>
      <c r="M58" s="148"/>
      <c r="N58" s="148"/>
      <c r="O58" s="148"/>
      <c r="P58" s="148"/>
      <c r="Q58" s="148"/>
      <c r="R58" s="598"/>
    </row>
    <row r="59" spans="1:18" ht="15" customHeight="1" x14ac:dyDescent="0.2">
      <c r="A59" s="174"/>
      <c r="B59" s="174"/>
      <c r="C59" s="194"/>
      <c r="D59" s="190" t="s">
        <v>397</v>
      </c>
      <c r="E59" s="148">
        <v>2</v>
      </c>
      <c r="F59" s="148">
        <v>131201</v>
      </c>
      <c r="G59" s="148">
        <v>-100</v>
      </c>
      <c r="H59" s="179">
        <v>-40</v>
      </c>
      <c r="I59" s="179">
        <v>140</v>
      </c>
      <c r="J59" s="179"/>
      <c r="K59" s="179"/>
      <c r="L59" s="179"/>
      <c r="M59" s="148"/>
      <c r="N59" s="148"/>
      <c r="O59" s="148"/>
      <c r="P59" s="148"/>
      <c r="Q59" s="148">
        <f t="shared" ref="Q59:Q64" si="5">SUM(G59:P59)</f>
        <v>0</v>
      </c>
      <c r="R59" s="598" t="s">
        <v>1366</v>
      </c>
    </row>
    <row r="60" spans="1:18" ht="15" hidden="1" customHeight="1" x14ac:dyDescent="0.2">
      <c r="A60" s="174"/>
      <c r="B60" s="174"/>
      <c r="C60" s="194"/>
      <c r="D60" s="190" t="s">
        <v>398</v>
      </c>
      <c r="E60" s="148">
        <v>2</v>
      </c>
      <c r="F60" s="148">
        <v>131202</v>
      </c>
      <c r="G60" s="148"/>
      <c r="H60" s="179"/>
      <c r="I60" s="179"/>
      <c r="J60" s="179"/>
      <c r="K60" s="179"/>
      <c r="L60" s="179"/>
      <c r="M60" s="148"/>
      <c r="N60" s="148"/>
      <c r="O60" s="148"/>
      <c r="P60" s="148"/>
      <c r="Q60" s="148">
        <f t="shared" si="5"/>
        <v>0</v>
      </c>
      <c r="R60" s="598"/>
    </row>
    <row r="61" spans="1:18" ht="15" customHeight="1" x14ac:dyDescent="0.2">
      <c r="A61" s="174"/>
      <c r="B61" s="174"/>
      <c r="C61" s="194"/>
      <c r="D61" s="190" t="s">
        <v>399</v>
      </c>
      <c r="E61" s="148">
        <v>2</v>
      </c>
      <c r="F61" s="148">
        <v>131205</v>
      </c>
      <c r="G61" s="179"/>
      <c r="H61" s="179"/>
      <c r="I61" s="179"/>
      <c r="J61" s="179"/>
      <c r="K61" s="179">
        <v>-920</v>
      </c>
      <c r="L61" s="179"/>
      <c r="M61" s="148"/>
      <c r="N61" s="148"/>
      <c r="O61" s="148"/>
      <c r="P61" s="148"/>
      <c r="Q61" s="148">
        <f t="shared" si="5"/>
        <v>-920</v>
      </c>
      <c r="R61" s="598" t="s">
        <v>1366</v>
      </c>
    </row>
    <row r="62" spans="1:18" ht="15" hidden="1" customHeight="1" x14ac:dyDescent="0.2">
      <c r="A62" s="174"/>
      <c r="B62" s="174"/>
      <c r="C62" s="194"/>
      <c r="D62" s="190" t="s">
        <v>400</v>
      </c>
      <c r="E62" s="148">
        <v>2</v>
      </c>
      <c r="F62" s="148">
        <v>131206</v>
      </c>
      <c r="G62" s="148"/>
      <c r="H62" s="179"/>
      <c r="I62" s="179"/>
      <c r="J62" s="179"/>
      <c r="K62" s="179"/>
      <c r="L62" s="179"/>
      <c r="M62" s="148"/>
      <c r="N62" s="148"/>
      <c r="O62" s="148"/>
      <c r="P62" s="148"/>
      <c r="Q62" s="148">
        <f t="shared" si="5"/>
        <v>0</v>
      </c>
      <c r="R62" s="598"/>
    </row>
    <row r="63" spans="1:18" ht="15" hidden="1" customHeight="1" x14ac:dyDescent="0.2">
      <c r="A63" s="174"/>
      <c r="B63" s="174"/>
      <c r="C63" s="194"/>
      <c r="D63" s="189" t="s">
        <v>401</v>
      </c>
      <c r="E63" s="148">
        <v>2</v>
      </c>
      <c r="F63" s="148">
        <v>131209</v>
      </c>
      <c r="G63" s="148"/>
      <c r="H63" s="179"/>
      <c r="I63" s="179"/>
      <c r="J63" s="179"/>
      <c r="K63" s="179"/>
      <c r="L63" s="179"/>
      <c r="M63" s="148"/>
      <c r="N63" s="148"/>
      <c r="O63" s="148"/>
      <c r="P63" s="148"/>
      <c r="Q63" s="148">
        <f t="shared" si="5"/>
        <v>0</v>
      </c>
      <c r="R63" s="598"/>
    </row>
    <row r="64" spans="1:18" ht="15" hidden="1" customHeight="1" x14ac:dyDescent="0.2">
      <c r="A64" s="174"/>
      <c r="B64" s="174"/>
      <c r="C64" s="194"/>
      <c r="D64" s="190" t="s">
        <v>402</v>
      </c>
      <c r="E64" s="148">
        <v>2</v>
      </c>
      <c r="F64" s="148">
        <v>131211</v>
      </c>
      <c r="G64" s="148"/>
      <c r="H64" s="179"/>
      <c r="I64" s="179"/>
      <c r="J64" s="179"/>
      <c r="K64" s="179"/>
      <c r="L64" s="179"/>
      <c r="M64" s="148"/>
      <c r="N64" s="148"/>
      <c r="O64" s="148"/>
      <c r="P64" s="148"/>
      <c r="Q64" s="148">
        <f t="shared" si="5"/>
        <v>0</v>
      </c>
      <c r="R64" s="598"/>
    </row>
    <row r="65" spans="1:18" ht="14.1" hidden="1" customHeight="1" x14ac:dyDescent="0.2">
      <c r="A65" s="174"/>
      <c r="B65" s="174"/>
      <c r="C65" s="194"/>
      <c r="D65" s="190" t="s">
        <v>365</v>
      </c>
      <c r="E65" s="148"/>
      <c r="F65" s="148"/>
      <c r="G65" s="148"/>
      <c r="H65" s="179"/>
      <c r="I65" s="179"/>
      <c r="J65" s="179"/>
      <c r="K65" s="179"/>
      <c r="L65" s="179"/>
      <c r="M65" s="148"/>
      <c r="N65" s="148"/>
      <c r="O65" s="148"/>
      <c r="P65" s="148"/>
      <c r="Q65" s="148"/>
      <c r="R65" s="598"/>
    </row>
    <row r="66" spans="1:18" ht="14.1" hidden="1" customHeight="1" x14ac:dyDescent="0.2">
      <c r="A66" s="174"/>
      <c r="B66" s="174"/>
      <c r="C66" s="194"/>
      <c r="D66" s="189" t="s">
        <v>403</v>
      </c>
      <c r="E66" s="148">
        <v>2</v>
      </c>
      <c r="F66" s="148">
        <v>131101</v>
      </c>
      <c r="G66" s="148"/>
      <c r="H66" s="179"/>
      <c r="I66" s="179"/>
      <c r="J66" s="179"/>
      <c r="K66" s="179"/>
      <c r="L66" s="179"/>
      <c r="M66" s="148"/>
      <c r="N66" s="148"/>
      <c r="O66" s="148"/>
      <c r="P66" s="148"/>
      <c r="Q66" s="148">
        <f>SUM(G66:P66)</f>
        <v>0</v>
      </c>
      <c r="R66" s="598"/>
    </row>
    <row r="67" spans="1:18" ht="14.1" hidden="1" customHeight="1" x14ac:dyDescent="0.2">
      <c r="A67" s="174"/>
      <c r="B67" s="174"/>
      <c r="C67" s="194"/>
      <c r="D67" s="189" t="s">
        <v>404</v>
      </c>
      <c r="E67" s="148"/>
      <c r="F67" s="148"/>
      <c r="G67" s="148"/>
      <c r="H67" s="179"/>
      <c r="I67" s="179"/>
      <c r="J67" s="179"/>
      <c r="K67" s="179"/>
      <c r="L67" s="179"/>
      <c r="M67" s="148"/>
      <c r="N67" s="148"/>
      <c r="O67" s="148"/>
      <c r="P67" s="148"/>
      <c r="Q67" s="148"/>
      <c r="R67" s="598"/>
    </row>
    <row r="68" spans="1:18" ht="14.1" hidden="1" customHeight="1" x14ac:dyDescent="0.2">
      <c r="A68" s="174"/>
      <c r="B68" s="174"/>
      <c r="C68" s="194"/>
      <c r="D68" s="190" t="s">
        <v>405</v>
      </c>
      <c r="E68" s="148">
        <v>2</v>
      </c>
      <c r="F68" s="148">
        <v>131120</v>
      </c>
      <c r="G68" s="148"/>
      <c r="H68" s="179"/>
      <c r="I68" s="179"/>
      <c r="J68" s="179"/>
      <c r="K68" s="179"/>
      <c r="L68" s="179"/>
      <c r="M68" s="148"/>
      <c r="N68" s="148"/>
      <c r="O68" s="148"/>
      <c r="P68" s="148"/>
      <c r="Q68" s="148">
        <f>SUM(G68:P68)</f>
        <v>0</v>
      </c>
      <c r="R68" s="598"/>
    </row>
    <row r="69" spans="1:18" ht="14.1" hidden="1" customHeight="1" x14ac:dyDescent="0.2">
      <c r="A69" s="174"/>
      <c r="B69" s="174"/>
      <c r="C69" s="194"/>
      <c r="D69" s="190" t="s">
        <v>406</v>
      </c>
      <c r="E69" s="185"/>
      <c r="F69" s="185"/>
      <c r="G69" s="148"/>
      <c r="H69" s="179"/>
      <c r="I69" s="179"/>
      <c r="J69" s="179"/>
      <c r="K69" s="179"/>
      <c r="L69" s="179"/>
      <c r="M69" s="148"/>
      <c r="N69" s="148"/>
      <c r="O69" s="148"/>
      <c r="P69" s="148"/>
      <c r="Q69" s="148"/>
      <c r="R69" s="598"/>
    </row>
    <row r="70" spans="1:18" ht="14.1" hidden="1" customHeight="1" x14ac:dyDescent="0.2">
      <c r="A70" s="174"/>
      <c r="B70" s="174"/>
      <c r="C70" s="194"/>
      <c r="D70" s="190" t="s">
        <v>407</v>
      </c>
      <c r="E70" s="148">
        <v>2</v>
      </c>
      <c r="F70" s="148">
        <v>131346</v>
      </c>
      <c r="G70" s="148"/>
      <c r="H70" s="179"/>
      <c r="I70" s="179"/>
      <c r="J70" s="179"/>
      <c r="K70" s="179"/>
      <c r="L70" s="179"/>
      <c r="M70" s="148"/>
      <c r="N70" s="148"/>
      <c r="O70" s="148"/>
      <c r="P70" s="148"/>
      <c r="Q70" s="148">
        <f t="shared" ref="Q70:Q86" si="6">SUM(G70:P70)</f>
        <v>0</v>
      </c>
      <c r="R70" s="598"/>
    </row>
    <row r="71" spans="1:18" ht="14.1" hidden="1" customHeight="1" x14ac:dyDescent="0.2">
      <c r="A71" s="174"/>
      <c r="B71" s="174"/>
      <c r="C71" s="194"/>
      <c r="D71" s="190" t="s">
        <v>408</v>
      </c>
      <c r="E71" s="148">
        <v>2</v>
      </c>
      <c r="F71" s="148">
        <v>131305</v>
      </c>
      <c r="G71" s="148"/>
      <c r="H71" s="179"/>
      <c r="I71" s="179"/>
      <c r="J71" s="179"/>
      <c r="K71" s="179"/>
      <c r="L71" s="179"/>
      <c r="M71" s="148"/>
      <c r="N71" s="148"/>
      <c r="O71" s="148"/>
      <c r="P71" s="148"/>
      <c r="Q71" s="148">
        <f t="shared" si="6"/>
        <v>0</v>
      </c>
      <c r="R71" s="598"/>
    </row>
    <row r="72" spans="1:18" ht="14.1" hidden="1" customHeight="1" x14ac:dyDescent="0.2">
      <c r="A72" s="174"/>
      <c r="B72" s="174"/>
      <c r="C72" s="194"/>
      <c r="D72" s="190" t="s">
        <v>409</v>
      </c>
      <c r="E72" s="148">
        <v>2</v>
      </c>
      <c r="F72" s="148">
        <v>131306</v>
      </c>
      <c r="G72" s="148"/>
      <c r="H72" s="179"/>
      <c r="I72" s="179"/>
      <c r="J72" s="179"/>
      <c r="K72" s="179"/>
      <c r="L72" s="179"/>
      <c r="M72" s="148"/>
      <c r="N72" s="148"/>
      <c r="O72" s="148"/>
      <c r="P72" s="148"/>
      <c r="Q72" s="148">
        <f t="shared" si="6"/>
        <v>0</v>
      </c>
      <c r="R72" s="598"/>
    </row>
    <row r="73" spans="1:18" ht="14.1" hidden="1" customHeight="1" x14ac:dyDescent="0.2">
      <c r="A73" s="174"/>
      <c r="B73" s="174"/>
      <c r="C73" s="194"/>
      <c r="D73" s="199" t="s">
        <v>410</v>
      </c>
      <c r="E73" s="148">
        <v>2</v>
      </c>
      <c r="F73" s="148">
        <v>131325</v>
      </c>
      <c r="G73" s="148"/>
      <c r="H73" s="179"/>
      <c r="I73" s="179"/>
      <c r="J73" s="179"/>
      <c r="K73" s="179"/>
      <c r="L73" s="179"/>
      <c r="M73" s="148"/>
      <c r="N73" s="148"/>
      <c r="O73" s="148"/>
      <c r="P73" s="148"/>
      <c r="Q73" s="148">
        <f t="shared" si="6"/>
        <v>0</v>
      </c>
      <c r="R73" s="598"/>
    </row>
    <row r="74" spans="1:18" ht="14.1" hidden="1" customHeight="1" x14ac:dyDescent="0.2">
      <c r="A74" s="174"/>
      <c r="B74" s="174"/>
      <c r="C74" s="194"/>
      <c r="D74" s="199" t="s">
        <v>1003</v>
      </c>
      <c r="E74" s="148">
        <v>2</v>
      </c>
      <c r="F74" s="148">
        <v>131321</v>
      </c>
      <c r="G74" s="148"/>
      <c r="H74" s="179"/>
      <c r="I74" s="179"/>
      <c r="J74" s="179"/>
      <c r="K74" s="179"/>
      <c r="L74" s="179"/>
      <c r="M74" s="148"/>
      <c r="N74" s="148"/>
      <c r="O74" s="148"/>
      <c r="P74" s="148"/>
      <c r="Q74" s="148">
        <f t="shared" si="6"/>
        <v>0</v>
      </c>
      <c r="R74" s="598"/>
    </row>
    <row r="75" spans="1:18" ht="23.25" hidden="1" customHeight="1" x14ac:dyDescent="0.2">
      <c r="A75" s="174"/>
      <c r="B75" s="174"/>
      <c r="C75" s="194"/>
      <c r="D75" s="199" t="s">
        <v>411</v>
      </c>
      <c r="E75" s="148">
        <v>2</v>
      </c>
      <c r="F75" s="148">
        <v>131313</v>
      </c>
      <c r="G75" s="148"/>
      <c r="H75" s="179"/>
      <c r="I75" s="179"/>
      <c r="J75" s="179"/>
      <c r="K75" s="179"/>
      <c r="L75" s="179"/>
      <c r="M75" s="148"/>
      <c r="N75" s="148"/>
      <c r="O75" s="148"/>
      <c r="P75" s="148"/>
      <c r="Q75" s="148">
        <f t="shared" si="6"/>
        <v>0</v>
      </c>
      <c r="R75" s="598"/>
    </row>
    <row r="76" spans="1:18" ht="14.1" hidden="1" customHeight="1" x14ac:dyDescent="0.2">
      <c r="A76" s="174"/>
      <c r="B76" s="174"/>
      <c r="C76" s="194"/>
      <c r="D76" s="213" t="s">
        <v>412</v>
      </c>
      <c r="E76" s="148">
        <v>2</v>
      </c>
      <c r="F76" s="148">
        <v>131501</v>
      </c>
      <c r="G76" s="148"/>
      <c r="H76" s="179"/>
      <c r="I76" s="179"/>
      <c r="J76" s="179"/>
      <c r="K76" s="179"/>
      <c r="L76" s="179"/>
      <c r="M76" s="148"/>
      <c r="N76" s="148"/>
      <c r="O76" s="148"/>
      <c r="P76" s="148"/>
      <c r="Q76" s="148">
        <f t="shared" si="6"/>
        <v>0</v>
      </c>
      <c r="R76" s="598"/>
    </row>
    <row r="77" spans="1:18" ht="14.1" hidden="1" customHeight="1" x14ac:dyDescent="0.2">
      <c r="A77" s="174"/>
      <c r="B77" s="174"/>
      <c r="C77" s="194"/>
      <c r="D77" s="213" t="s">
        <v>413</v>
      </c>
      <c r="E77" s="148">
        <v>2</v>
      </c>
      <c r="F77" s="148">
        <v>131307</v>
      </c>
      <c r="G77" s="148"/>
      <c r="H77" s="179"/>
      <c r="I77" s="179"/>
      <c r="J77" s="179"/>
      <c r="K77" s="179"/>
      <c r="L77" s="179"/>
      <c r="M77" s="148"/>
      <c r="N77" s="148"/>
      <c r="O77" s="148"/>
      <c r="P77" s="148"/>
      <c r="Q77" s="148">
        <f t="shared" si="6"/>
        <v>0</v>
      </c>
      <c r="R77" s="598"/>
    </row>
    <row r="78" spans="1:18" ht="15" hidden="1" customHeight="1" x14ac:dyDescent="0.2">
      <c r="A78" s="174"/>
      <c r="B78" s="174"/>
      <c r="C78" s="194"/>
      <c r="D78" s="218" t="s">
        <v>414</v>
      </c>
      <c r="E78" s="148">
        <v>2</v>
      </c>
      <c r="F78" s="148">
        <v>131340</v>
      </c>
      <c r="G78" s="148"/>
      <c r="H78" s="179"/>
      <c r="I78" s="179"/>
      <c r="J78" s="179"/>
      <c r="K78" s="179"/>
      <c r="L78" s="179"/>
      <c r="M78" s="148"/>
      <c r="N78" s="148"/>
      <c r="O78" s="148"/>
      <c r="P78" s="148"/>
      <c r="Q78" s="148">
        <f t="shared" si="6"/>
        <v>0</v>
      </c>
      <c r="R78" s="598"/>
    </row>
    <row r="79" spans="1:18" ht="15" hidden="1" customHeight="1" x14ac:dyDescent="0.2">
      <c r="A79" s="174"/>
      <c r="B79" s="174"/>
      <c r="C79" s="194"/>
      <c r="D79" s="218" t="s">
        <v>415</v>
      </c>
      <c r="E79" s="148">
        <v>2</v>
      </c>
      <c r="F79" s="148">
        <v>131343</v>
      </c>
      <c r="G79" s="148"/>
      <c r="H79" s="179"/>
      <c r="I79" s="179"/>
      <c r="J79" s="179"/>
      <c r="K79" s="179"/>
      <c r="L79" s="179"/>
      <c r="M79" s="148"/>
      <c r="N79" s="148"/>
      <c r="O79" s="148"/>
      <c r="P79" s="148"/>
      <c r="Q79" s="148">
        <f t="shared" si="6"/>
        <v>0</v>
      </c>
      <c r="R79" s="598"/>
    </row>
    <row r="80" spans="1:18" ht="15" hidden="1" customHeight="1" x14ac:dyDescent="0.2">
      <c r="A80" s="174"/>
      <c r="B80" s="174"/>
      <c r="C80" s="194"/>
      <c r="D80" s="218" t="s">
        <v>1113</v>
      </c>
      <c r="E80" s="148">
        <v>2</v>
      </c>
      <c r="F80" s="388">
        <v>131351</v>
      </c>
      <c r="G80" s="148"/>
      <c r="H80" s="179"/>
      <c r="I80" s="179"/>
      <c r="J80" s="179"/>
      <c r="K80" s="179"/>
      <c r="L80" s="179"/>
      <c r="M80" s="148"/>
      <c r="N80" s="148"/>
      <c r="O80" s="148"/>
      <c r="P80" s="148"/>
      <c r="Q80" s="148">
        <f t="shared" si="6"/>
        <v>0</v>
      </c>
      <c r="R80" s="598"/>
    </row>
    <row r="81" spans="1:18" ht="15" hidden="1" customHeight="1" x14ac:dyDescent="0.2">
      <c r="A81" s="174"/>
      <c r="B81" s="174"/>
      <c r="C81" s="194"/>
      <c r="D81" s="219" t="s">
        <v>416</v>
      </c>
      <c r="E81" s="148">
        <v>2</v>
      </c>
      <c r="F81" s="148">
        <v>131310</v>
      </c>
      <c r="G81" s="148"/>
      <c r="H81" s="179"/>
      <c r="I81" s="179"/>
      <c r="J81" s="179"/>
      <c r="K81" s="179"/>
      <c r="L81" s="179"/>
      <c r="M81" s="148"/>
      <c r="N81" s="148"/>
      <c r="O81" s="148"/>
      <c r="P81" s="148"/>
      <c r="Q81" s="148">
        <f t="shared" si="6"/>
        <v>0</v>
      </c>
      <c r="R81" s="598"/>
    </row>
    <row r="82" spans="1:18" ht="15" hidden="1" customHeight="1" x14ac:dyDescent="0.2">
      <c r="A82" s="174"/>
      <c r="B82" s="174"/>
      <c r="C82" s="194"/>
      <c r="D82" s="219" t="s">
        <v>1007</v>
      </c>
      <c r="E82" s="148">
        <v>2</v>
      </c>
      <c r="F82" s="148">
        <v>131315</v>
      </c>
      <c r="G82" s="148"/>
      <c r="H82" s="179"/>
      <c r="I82" s="179"/>
      <c r="J82" s="179"/>
      <c r="K82" s="179"/>
      <c r="L82" s="179"/>
      <c r="M82" s="148"/>
      <c r="N82" s="148"/>
      <c r="O82" s="148"/>
      <c r="P82" s="148"/>
      <c r="Q82" s="148">
        <f t="shared" si="6"/>
        <v>0</v>
      </c>
      <c r="R82" s="598"/>
    </row>
    <row r="83" spans="1:18" ht="15" hidden="1" customHeight="1" x14ac:dyDescent="0.2">
      <c r="A83" s="174"/>
      <c r="B83" s="174"/>
      <c r="C83" s="194"/>
      <c r="D83" s="682" t="s">
        <v>1115</v>
      </c>
      <c r="E83" s="148">
        <v>2</v>
      </c>
      <c r="F83" s="148">
        <v>131314</v>
      </c>
      <c r="G83" s="148"/>
      <c r="H83" s="179"/>
      <c r="I83" s="179"/>
      <c r="J83" s="179"/>
      <c r="K83" s="179"/>
      <c r="L83" s="179"/>
      <c r="M83" s="148"/>
      <c r="N83" s="148"/>
      <c r="O83" s="148"/>
      <c r="P83" s="148"/>
      <c r="Q83" s="148">
        <f t="shared" si="6"/>
        <v>0</v>
      </c>
      <c r="R83" s="598"/>
    </row>
    <row r="84" spans="1:18" ht="15" hidden="1" customHeight="1" x14ac:dyDescent="0.2">
      <c r="A84" s="174"/>
      <c r="B84" s="174"/>
      <c r="C84" s="194"/>
      <c r="D84" s="218" t="s">
        <v>417</v>
      </c>
      <c r="E84" s="148">
        <v>2</v>
      </c>
      <c r="F84" s="148">
        <v>131348</v>
      </c>
      <c r="G84" s="148"/>
      <c r="H84" s="179"/>
      <c r="I84" s="179"/>
      <c r="J84" s="179"/>
      <c r="K84" s="179"/>
      <c r="L84" s="179"/>
      <c r="M84" s="148"/>
      <c r="N84" s="148"/>
      <c r="O84" s="148"/>
      <c r="P84" s="148"/>
      <c r="Q84" s="148">
        <f t="shared" si="6"/>
        <v>0</v>
      </c>
      <c r="R84" s="598"/>
    </row>
    <row r="85" spans="1:18" ht="23.25" hidden="1" customHeight="1" x14ac:dyDescent="0.2">
      <c r="A85" s="174"/>
      <c r="B85" s="174"/>
      <c r="C85" s="194"/>
      <c r="D85" s="220" t="s">
        <v>418</v>
      </c>
      <c r="E85" s="148">
        <v>2</v>
      </c>
      <c r="F85" s="148">
        <v>131345</v>
      </c>
      <c r="G85" s="148"/>
      <c r="H85" s="179"/>
      <c r="I85" s="179"/>
      <c r="J85" s="179"/>
      <c r="K85" s="179"/>
      <c r="L85" s="179"/>
      <c r="M85" s="148"/>
      <c r="N85" s="148"/>
      <c r="O85" s="148"/>
      <c r="P85" s="148"/>
      <c r="Q85" s="148">
        <f t="shared" si="6"/>
        <v>0</v>
      </c>
      <c r="R85" s="598"/>
    </row>
    <row r="86" spans="1:18" ht="17.25" hidden="1" customHeight="1" x14ac:dyDescent="0.2">
      <c r="A86" s="174"/>
      <c r="B86" s="174"/>
      <c r="C86" s="194"/>
      <c r="D86" s="513" t="s">
        <v>1116</v>
      </c>
      <c r="E86" s="207">
        <v>2</v>
      </c>
      <c r="F86" s="148">
        <v>131326</v>
      </c>
      <c r="G86" s="148"/>
      <c r="H86" s="179"/>
      <c r="I86" s="179"/>
      <c r="J86" s="179"/>
      <c r="K86" s="179"/>
      <c r="L86" s="179"/>
      <c r="M86" s="148"/>
      <c r="N86" s="148"/>
      <c r="O86" s="148"/>
      <c r="P86" s="148"/>
      <c r="Q86" s="148">
        <f t="shared" si="6"/>
        <v>0</v>
      </c>
      <c r="R86" s="598"/>
    </row>
    <row r="87" spans="1:18" ht="14.1" hidden="1" customHeight="1" x14ac:dyDescent="0.2">
      <c r="A87" s="174"/>
      <c r="B87" s="174"/>
      <c r="C87" s="194"/>
      <c r="D87" s="148" t="s">
        <v>419</v>
      </c>
      <c r="E87" s="212"/>
      <c r="F87" s="185"/>
      <c r="G87" s="148"/>
      <c r="H87" s="179"/>
      <c r="I87" s="179"/>
      <c r="J87" s="179"/>
      <c r="K87" s="179"/>
      <c r="L87" s="179"/>
      <c r="M87" s="148"/>
      <c r="N87" s="148"/>
      <c r="O87" s="148"/>
      <c r="P87" s="148"/>
      <c r="Q87" s="148"/>
      <c r="R87" s="598"/>
    </row>
    <row r="88" spans="1:18" ht="24.95" hidden="1" customHeight="1" x14ac:dyDescent="0.2">
      <c r="A88" s="174"/>
      <c r="B88" s="174"/>
      <c r="C88" s="194"/>
      <c r="D88" s="199" t="s">
        <v>420</v>
      </c>
      <c r="E88" s="185">
        <v>2</v>
      </c>
      <c r="F88" s="148">
        <v>131401</v>
      </c>
      <c r="G88" s="148"/>
      <c r="H88" s="179"/>
      <c r="I88" s="179"/>
      <c r="J88" s="179"/>
      <c r="K88" s="179"/>
      <c r="L88" s="179"/>
      <c r="M88" s="148"/>
      <c r="N88" s="148"/>
      <c r="O88" s="148"/>
      <c r="P88" s="148"/>
      <c r="Q88" s="148">
        <f t="shared" ref="Q88:Q94" si="7">SUM(G88:P88)</f>
        <v>0</v>
      </c>
      <c r="R88" s="598"/>
    </row>
    <row r="89" spans="1:18" ht="14.1" hidden="1" customHeight="1" x14ac:dyDescent="0.2">
      <c r="A89" s="174"/>
      <c r="B89" s="174"/>
      <c r="C89" s="222"/>
      <c r="D89" s="223" t="s">
        <v>421</v>
      </c>
      <c r="E89" s="185">
        <v>2</v>
      </c>
      <c r="F89" s="148">
        <v>131402</v>
      </c>
      <c r="G89" s="148"/>
      <c r="H89" s="179"/>
      <c r="I89" s="179"/>
      <c r="J89" s="179"/>
      <c r="K89" s="179"/>
      <c r="L89" s="179"/>
      <c r="M89" s="148"/>
      <c r="N89" s="148"/>
      <c r="O89" s="148"/>
      <c r="P89" s="148"/>
      <c r="Q89" s="148">
        <f t="shared" si="7"/>
        <v>0</v>
      </c>
      <c r="R89" s="598"/>
    </row>
    <row r="90" spans="1:18" ht="14.1" hidden="1" customHeight="1" x14ac:dyDescent="0.2">
      <c r="A90" s="174"/>
      <c r="B90" s="174"/>
      <c r="C90" s="194"/>
      <c r="D90" s="190" t="s">
        <v>422</v>
      </c>
      <c r="E90" s="185">
        <v>2</v>
      </c>
      <c r="F90" s="148">
        <v>131403</v>
      </c>
      <c r="G90" s="148"/>
      <c r="H90" s="179"/>
      <c r="I90" s="179"/>
      <c r="J90" s="179"/>
      <c r="K90" s="179"/>
      <c r="L90" s="179"/>
      <c r="M90" s="148"/>
      <c r="N90" s="148"/>
      <c r="O90" s="148"/>
      <c r="P90" s="148"/>
      <c r="Q90" s="148">
        <f t="shared" si="7"/>
        <v>0</v>
      </c>
      <c r="R90" s="598"/>
    </row>
    <row r="91" spans="1:18" ht="14.1" hidden="1" customHeight="1" x14ac:dyDescent="0.2">
      <c r="A91" s="174"/>
      <c r="B91" s="174"/>
      <c r="C91" s="194"/>
      <c r="D91" s="190" t="s">
        <v>423</v>
      </c>
      <c r="E91" s="185">
        <v>2</v>
      </c>
      <c r="F91" s="148">
        <v>131404</v>
      </c>
      <c r="G91" s="148"/>
      <c r="H91" s="179"/>
      <c r="I91" s="179"/>
      <c r="J91" s="179"/>
      <c r="K91" s="179"/>
      <c r="L91" s="179"/>
      <c r="M91" s="148"/>
      <c r="N91" s="148"/>
      <c r="O91" s="148"/>
      <c r="P91" s="148"/>
      <c r="Q91" s="148">
        <f t="shared" si="7"/>
        <v>0</v>
      </c>
      <c r="R91" s="598"/>
    </row>
    <row r="92" spans="1:18" ht="14.1" hidden="1" customHeight="1" x14ac:dyDescent="0.2">
      <c r="A92" s="174"/>
      <c r="B92" s="174"/>
      <c r="C92" s="194"/>
      <c r="D92" s="190" t="s">
        <v>424</v>
      </c>
      <c r="E92" s="185">
        <v>2</v>
      </c>
      <c r="F92" s="148">
        <v>131330</v>
      </c>
      <c r="G92" s="148"/>
      <c r="H92" s="179"/>
      <c r="I92" s="179"/>
      <c r="J92" s="179"/>
      <c r="K92" s="179"/>
      <c r="L92" s="179"/>
      <c r="M92" s="148"/>
      <c r="N92" s="148"/>
      <c r="O92" s="148"/>
      <c r="P92" s="148"/>
      <c r="Q92" s="148">
        <f t="shared" si="7"/>
        <v>0</v>
      </c>
      <c r="R92" s="598"/>
    </row>
    <row r="93" spans="1:18" ht="14.1" hidden="1" customHeight="1" x14ac:dyDescent="0.2">
      <c r="A93" s="174"/>
      <c r="B93" s="174"/>
      <c r="C93" s="194"/>
      <c r="D93" s="190" t="s">
        <v>425</v>
      </c>
      <c r="E93" s="185">
        <v>2</v>
      </c>
      <c r="F93" s="148">
        <v>131507</v>
      </c>
      <c r="G93" s="148"/>
      <c r="H93" s="179"/>
      <c r="I93" s="179"/>
      <c r="J93" s="179"/>
      <c r="K93" s="179"/>
      <c r="L93" s="179"/>
      <c r="M93" s="148"/>
      <c r="N93" s="148"/>
      <c r="O93" s="148"/>
      <c r="P93" s="148"/>
      <c r="Q93" s="148">
        <f t="shared" si="7"/>
        <v>0</v>
      </c>
      <c r="R93" s="598"/>
    </row>
    <row r="94" spans="1:18" ht="14.1" hidden="1" customHeight="1" x14ac:dyDescent="0.2">
      <c r="A94" s="174"/>
      <c r="B94" s="174"/>
      <c r="C94" s="222"/>
      <c r="D94" s="224" t="s">
        <v>426</v>
      </c>
      <c r="E94" s="185">
        <v>2</v>
      </c>
      <c r="F94" s="148">
        <v>171943</v>
      </c>
      <c r="G94" s="148"/>
      <c r="H94" s="179"/>
      <c r="I94" s="179"/>
      <c r="J94" s="179"/>
      <c r="K94" s="179"/>
      <c r="L94" s="179"/>
      <c r="M94" s="148"/>
      <c r="N94" s="148"/>
      <c r="O94" s="148"/>
      <c r="P94" s="148"/>
      <c r="Q94" s="148">
        <f t="shared" si="7"/>
        <v>0</v>
      </c>
      <c r="R94" s="598"/>
    </row>
    <row r="95" spans="1:18" ht="14.1" customHeight="1" x14ac:dyDescent="0.2">
      <c r="A95" s="174"/>
      <c r="B95" s="174"/>
      <c r="C95" s="194"/>
      <c r="D95" s="213" t="s">
        <v>427</v>
      </c>
      <c r="E95" s="217"/>
      <c r="F95" s="217"/>
      <c r="G95" s="148"/>
      <c r="H95" s="179"/>
      <c r="I95" s="179"/>
      <c r="J95" s="179"/>
      <c r="K95" s="179"/>
      <c r="L95" s="179"/>
      <c r="M95" s="148"/>
      <c r="N95" s="148"/>
      <c r="O95" s="148"/>
      <c r="P95" s="148"/>
      <c r="Q95" s="148"/>
      <c r="R95" s="598"/>
    </row>
    <row r="96" spans="1:18" ht="14.1" hidden="1" customHeight="1" x14ac:dyDescent="0.2">
      <c r="A96" s="174"/>
      <c r="B96" s="174"/>
      <c r="C96" s="194"/>
      <c r="D96" s="213" t="s">
        <v>428</v>
      </c>
      <c r="E96" s="225">
        <v>2</v>
      </c>
      <c r="F96" s="226">
        <v>131502</v>
      </c>
      <c r="G96" s="148"/>
      <c r="H96" s="179"/>
      <c r="I96" s="179"/>
      <c r="J96" s="179"/>
      <c r="K96" s="179"/>
      <c r="L96" s="179"/>
      <c r="M96" s="148"/>
      <c r="N96" s="148"/>
      <c r="O96" s="148"/>
      <c r="P96" s="148"/>
      <c r="Q96" s="148">
        <f>SUM(G96:P96)</f>
        <v>0</v>
      </c>
      <c r="R96" s="598"/>
    </row>
    <row r="97" spans="1:18" ht="14.1" customHeight="1" x14ac:dyDescent="0.2">
      <c r="A97" s="915"/>
      <c r="B97" s="915"/>
      <c r="C97" s="879"/>
      <c r="D97" s="904" t="s">
        <v>1351</v>
      </c>
      <c r="E97" s="916">
        <v>2</v>
      </c>
      <c r="F97" s="878">
        <v>131304</v>
      </c>
      <c r="G97" s="866"/>
      <c r="H97" s="917"/>
      <c r="I97" s="917"/>
      <c r="J97" s="917"/>
      <c r="K97" s="917">
        <v>7500</v>
      </c>
      <c r="L97" s="917"/>
      <c r="M97" s="866"/>
      <c r="N97" s="866"/>
      <c r="O97" s="866"/>
      <c r="P97" s="866"/>
      <c r="Q97" s="148">
        <f>SUM(G97:P97)</f>
        <v>7500</v>
      </c>
      <c r="R97" s="867" t="s">
        <v>1366</v>
      </c>
    </row>
    <row r="98" spans="1:18" ht="14.1" hidden="1" customHeight="1" x14ac:dyDescent="0.2">
      <c r="A98" s="174"/>
      <c r="B98" s="174"/>
      <c r="C98" s="194"/>
      <c r="D98" s="683" t="s">
        <v>1093</v>
      </c>
      <c r="E98" s="225"/>
      <c r="F98" s="226"/>
      <c r="G98" s="148"/>
      <c r="H98" s="179"/>
      <c r="I98" s="179"/>
      <c r="J98" s="179"/>
      <c r="K98" s="179"/>
      <c r="L98" s="179"/>
      <c r="M98" s="148"/>
      <c r="N98" s="148"/>
      <c r="O98" s="148"/>
      <c r="P98" s="148"/>
      <c r="Q98" s="148"/>
      <c r="R98" s="303"/>
    </row>
    <row r="99" spans="1:18" ht="20.25" hidden="1" customHeight="1" x14ac:dyDescent="0.2">
      <c r="A99" s="174"/>
      <c r="B99" s="174"/>
      <c r="C99" s="194"/>
      <c r="D99" s="213" t="s">
        <v>1117</v>
      </c>
      <c r="E99" s="225">
        <v>1</v>
      </c>
      <c r="F99" s="226">
        <v>131508</v>
      </c>
      <c r="G99" s="148"/>
      <c r="H99" s="179"/>
      <c r="I99" s="179"/>
      <c r="J99" s="179"/>
      <c r="K99" s="179"/>
      <c r="L99" s="179"/>
      <c r="M99" s="148"/>
      <c r="N99" s="148"/>
      <c r="O99" s="148"/>
      <c r="P99" s="148"/>
      <c r="Q99" s="148">
        <f t="shared" ref="Q99:Q100" si="8">SUM(G99:P99)</f>
        <v>0</v>
      </c>
      <c r="R99" s="303"/>
    </row>
    <row r="100" spans="1:18" ht="14.1" hidden="1" customHeight="1" x14ac:dyDescent="0.2">
      <c r="A100" s="174"/>
      <c r="B100" s="174"/>
      <c r="C100" s="194"/>
      <c r="D100" s="213" t="s">
        <v>1118</v>
      </c>
      <c r="E100" s="225">
        <v>1</v>
      </c>
      <c r="F100" s="226">
        <v>131509</v>
      </c>
      <c r="G100" s="148"/>
      <c r="H100" s="179"/>
      <c r="I100" s="179"/>
      <c r="J100" s="179"/>
      <c r="K100" s="179"/>
      <c r="L100" s="179"/>
      <c r="M100" s="148"/>
      <c r="N100" s="148"/>
      <c r="O100" s="148"/>
      <c r="P100" s="148"/>
      <c r="Q100" s="148">
        <f t="shared" si="8"/>
        <v>0</v>
      </c>
      <c r="R100" s="303"/>
    </row>
    <row r="101" spans="1:18" ht="14.1" customHeight="1" x14ac:dyDescent="0.2">
      <c r="A101" s="174"/>
      <c r="B101" s="174"/>
      <c r="C101" s="194"/>
      <c r="D101" s="514" t="s">
        <v>429</v>
      </c>
      <c r="E101" s="227"/>
      <c r="F101" s="228"/>
      <c r="G101" s="229"/>
      <c r="H101" s="230"/>
      <c r="I101" s="230"/>
      <c r="J101" s="230"/>
      <c r="K101" s="230"/>
      <c r="L101" s="230"/>
      <c r="M101" s="229"/>
      <c r="N101" s="229"/>
      <c r="O101" s="229"/>
      <c r="P101" s="229"/>
      <c r="Q101" s="229"/>
      <c r="R101" s="598"/>
    </row>
    <row r="102" spans="1:18" ht="14.1" hidden="1" customHeight="1" x14ac:dyDescent="0.2">
      <c r="A102" s="231"/>
      <c r="B102" s="231"/>
      <c r="C102" s="232"/>
      <c r="D102" s="186" t="s">
        <v>430</v>
      </c>
      <c r="E102" s="234"/>
      <c r="F102" s="235"/>
      <c r="G102" s="229"/>
      <c r="H102" s="230"/>
      <c r="I102" s="230"/>
      <c r="J102" s="230"/>
      <c r="K102" s="230"/>
      <c r="L102" s="230"/>
      <c r="M102" s="229"/>
      <c r="N102" s="229"/>
      <c r="O102" s="229"/>
      <c r="P102" s="229"/>
      <c r="Q102" s="229"/>
      <c r="R102" s="598"/>
    </row>
    <row r="103" spans="1:18" ht="14.1" hidden="1" customHeight="1" x14ac:dyDescent="0.2">
      <c r="A103" s="231"/>
      <c r="B103" s="231"/>
      <c r="C103" s="232"/>
      <c r="D103" s="233" t="s">
        <v>431</v>
      </c>
      <c r="E103" s="235">
        <v>1</v>
      </c>
      <c r="F103" s="229">
        <v>131703</v>
      </c>
      <c r="G103" s="229"/>
      <c r="H103" s="230"/>
      <c r="I103" s="230"/>
      <c r="J103" s="230"/>
      <c r="K103" s="230"/>
      <c r="L103" s="230"/>
      <c r="M103" s="229"/>
      <c r="N103" s="229"/>
      <c r="O103" s="229"/>
      <c r="P103" s="229"/>
      <c r="Q103" s="229">
        <f>SUM(G103:P103)</f>
        <v>0</v>
      </c>
      <c r="R103" s="598"/>
    </row>
    <row r="104" spans="1:18" ht="15" hidden="1" customHeight="1" x14ac:dyDescent="0.2">
      <c r="A104" s="231"/>
      <c r="B104" s="231"/>
      <c r="C104" s="232"/>
      <c r="D104" s="236" t="s">
        <v>432</v>
      </c>
      <c r="E104" s="235">
        <v>1</v>
      </c>
      <c r="F104" s="229">
        <v>121319</v>
      </c>
      <c r="G104" s="229"/>
      <c r="H104" s="230"/>
      <c r="I104" s="230"/>
      <c r="J104" s="230"/>
      <c r="K104" s="230"/>
      <c r="L104" s="230"/>
      <c r="M104" s="229"/>
      <c r="N104" s="229"/>
      <c r="O104" s="229"/>
      <c r="P104" s="229"/>
      <c r="Q104" s="229">
        <f>SUM(G104:P104)</f>
        <v>0</v>
      </c>
      <c r="R104" s="598"/>
    </row>
    <row r="105" spans="1:18" ht="27" hidden="1" customHeight="1" x14ac:dyDescent="0.2">
      <c r="A105" s="231"/>
      <c r="B105" s="231"/>
      <c r="C105" s="232"/>
      <c r="D105" s="237" t="s">
        <v>433</v>
      </c>
      <c r="E105" s="229"/>
      <c r="F105" s="229"/>
      <c r="G105" s="229"/>
      <c r="H105" s="230"/>
      <c r="I105" s="230"/>
      <c r="J105" s="230"/>
      <c r="K105" s="230"/>
      <c r="L105" s="230"/>
      <c r="M105" s="238"/>
      <c r="N105" s="238"/>
      <c r="O105" s="238"/>
      <c r="P105" s="238"/>
      <c r="Q105" s="229"/>
      <c r="R105" s="598"/>
    </row>
    <row r="106" spans="1:18" ht="16.5" hidden="1" customHeight="1" x14ac:dyDescent="0.2">
      <c r="A106" s="231"/>
      <c r="B106" s="231"/>
      <c r="C106" s="232"/>
      <c r="D106" s="237" t="s">
        <v>434</v>
      </c>
      <c r="E106" s="229">
        <v>2</v>
      </c>
      <c r="F106" s="229">
        <v>131506</v>
      </c>
      <c r="G106" s="229"/>
      <c r="H106" s="230"/>
      <c r="I106" s="230"/>
      <c r="J106" s="230"/>
      <c r="K106" s="230"/>
      <c r="L106" s="230"/>
      <c r="M106" s="238"/>
      <c r="N106" s="238"/>
      <c r="O106" s="238"/>
      <c r="P106" s="238"/>
      <c r="Q106" s="229">
        <f>SUM(G106:P106)</f>
        <v>0</v>
      </c>
      <c r="R106" s="598"/>
    </row>
    <row r="107" spans="1:18" ht="15" hidden="1" customHeight="1" x14ac:dyDescent="0.2">
      <c r="A107" s="231"/>
      <c r="B107" s="231"/>
      <c r="C107" s="232"/>
      <c r="D107" s="239" t="s">
        <v>435</v>
      </c>
      <c r="E107" s="229"/>
      <c r="F107" s="229"/>
      <c r="G107" s="229"/>
      <c r="H107" s="230"/>
      <c r="I107" s="230"/>
      <c r="J107" s="230"/>
      <c r="K107" s="230"/>
      <c r="L107" s="230"/>
      <c r="M107" s="238"/>
      <c r="N107" s="238"/>
      <c r="O107" s="238"/>
      <c r="P107" s="238"/>
      <c r="Q107" s="229"/>
      <c r="R107" s="598"/>
    </row>
    <row r="108" spans="1:18" ht="15" hidden="1" customHeight="1" x14ac:dyDescent="0.2">
      <c r="A108" s="231"/>
      <c r="B108" s="231"/>
      <c r="C108" s="232"/>
      <c r="D108" s="239" t="s">
        <v>1009</v>
      </c>
      <c r="E108" s="229">
        <v>2</v>
      </c>
      <c r="F108" s="229">
        <v>131707</v>
      </c>
      <c r="G108" s="229"/>
      <c r="H108" s="230"/>
      <c r="I108" s="230"/>
      <c r="J108" s="230"/>
      <c r="K108" s="230"/>
      <c r="L108" s="230"/>
      <c r="M108" s="238"/>
      <c r="N108" s="238"/>
      <c r="O108" s="238"/>
      <c r="P108" s="238"/>
      <c r="Q108" s="229">
        <f>SUM(G108:P108)</f>
        <v>0</v>
      </c>
      <c r="R108" s="598"/>
    </row>
    <row r="109" spans="1:18" ht="15" hidden="1" customHeight="1" x14ac:dyDescent="0.2">
      <c r="A109" s="231"/>
      <c r="B109" s="231"/>
      <c r="C109" s="232"/>
      <c r="D109" s="239" t="s">
        <v>436</v>
      </c>
      <c r="E109" s="229">
        <v>2</v>
      </c>
      <c r="F109" s="229">
        <v>131713</v>
      </c>
      <c r="G109" s="229"/>
      <c r="H109" s="230"/>
      <c r="I109" s="230"/>
      <c r="J109" s="230"/>
      <c r="K109" s="230"/>
      <c r="L109" s="230"/>
      <c r="M109" s="238"/>
      <c r="N109" s="238"/>
      <c r="O109" s="238"/>
      <c r="P109" s="238"/>
      <c r="Q109" s="229">
        <f>SUM(G109:P109)</f>
        <v>0</v>
      </c>
      <c r="R109" s="598"/>
    </row>
    <row r="110" spans="1:18" ht="16.5" hidden="1" customHeight="1" x14ac:dyDescent="0.2">
      <c r="A110" s="231"/>
      <c r="B110" s="231"/>
      <c r="C110" s="232"/>
      <c r="D110" s="145" t="s">
        <v>375</v>
      </c>
      <c r="E110" s="240"/>
      <c r="F110" s="241"/>
      <c r="G110" s="229"/>
      <c r="H110" s="230"/>
      <c r="I110" s="230"/>
      <c r="J110" s="230"/>
      <c r="K110" s="230"/>
      <c r="L110" s="230"/>
      <c r="M110" s="229"/>
      <c r="N110" s="229"/>
      <c r="O110" s="229"/>
      <c r="P110" s="229"/>
      <c r="Q110" s="229"/>
      <c r="R110" s="598"/>
    </row>
    <row r="111" spans="1:18" ht="15" hidden="1" customHeight="1" x14ac:dyDescent="0.2">
      <c r="A111" s="231"/>
      <c r="B111" s="231"/>
      <c r="C111" s="232"/>
      <c r="D111" s="239" t="s">
        <v>437</v>
      </c>
      <c r="E111" s="143">
        <v>2</v>
      </c>
      <c r="F111" s="229">
        <v>131706</v>
      </c>
      <c r="G111" s="229"/>
      <c r="H111" s="230"/>
      <c r="I111" s="230"/>
      <c r="J111" s="230"/>
      <c r="K111" s="230"/>
      <c r="L111" s="230"/>
      <c r="M111" s="229"/>
      <c r="N111" s="229"/>
      <c r="O111" s="229"/>
      <c r="P111" s="229"/>
      <c r="Q111" s="229">
        <f>SUM(G111:P111)</f>
        <v>0</v>
      </c>
      <c r="R111" s="598"/>
    </row>
    <row r="112" spans="1:18" ht="15" hidden="1" customHeight="1" x14ac:dyDescent="0.2">
      <c r="A112" s="231"/>
      <c r="B112" s="231"/>
      <c r="C112" s="232"/>
      <c r="D112" s="239" t="s">
        <v>438</v>
      </c>
      <c r="E112" s="143">
        <v>2</v>
      </c>
      <c r="F112" s="229">
        <v>131712</v>
      </c>
      <c r="G112" s="229"/>
      <c r="H112" s="230"/>
      <c r="I112" s="230"/>
      <c r="J112" s="230"/>
      <c r="K112" s="230"/>
      <c r="L112" s="230"/>
      <c r="M112" s="229"/>
      <c r="N112" s="229"/>
      <c r="O112" s="229"/>
      <c r="P112" s="229"/>
      <c r="Q112" s="229">
        <f>SUM(G112:P112)</f>
        <v>0</v>
      </c>
      <c r="R112" s="598"/>
    </row>
    <row r="113" spans="1:18" ht="15" hidden="1" customHeight="1" x14ac:dyDescent="0.2">
      <c r="A113" s="231"/>
      <c r="B113" s="231"/>
      <c r="C113" s="232"/>
      <c r="D113" s="145" t="s">
        <v>439</v>
      </c>
      <c r="E113" s="143">
        <v>2</v>
      </c>
      <c r="F113" s="229">
        <v>131714</v>
      </c>
      <c r="G113" s="229"/>
      <c r="H113" s="230"/>
      <c r="I113" s="230"/>
      <c r="J113" s="230"/>
      <c r="K113" s="230"/>
      <c r="L113" s="230"/>
      <c r="M113" s="229"/>
      <c r="N113" s="229"/>
      <c r="O113" s="229"/>
      <c r="P113" s="229"/>
      <c r="Q113" s="229">
        <f>SUM(G113:P113)</f>
        <v>0</v>
      </c>
      <c r="R113" s="598"/>
    </row>
    <row r="114" spans="1:18" ht="25.5" hidden="1" customHeight="1" x14ac:dyDescent="0.2">
      <c r="A114" s="578"/>
      <c r="B114" s="578"/>
      <c r="C114" s="579"/>
      <c r="D114" s="580" t="s">
        <v>1026</v>
      </c>
      <c r="E114" s="581"/>
      <c r="F114" s="582"/>
      <c r="G114" s="582"/>
      <c r="H114" s="583"/>
      <c r="I114" s="583"/>
      <c r="J114" s="583"/>
      <c r="K114" s="583"/>
      <c r="L114" s="583"/>
      <c r="M114" s="582"/>
      <c r="N114" s="582"/>
      <c r="O114" s="582"/>
      <c r="P114" s="582"/>
      <c r="Q114" s="229"/>
      <c r="R114" s="598"/>
    </row>
    <row r="115" spans="1:18" ht="15" hidden="1" customHeight="1" x14ac:dyDescent="0.2">
      <c r="A115" s="578"/>
      <c r="B115" s="578"/>
      <c r="C115" s="579"/>
      <c r="D115" s="580" t="s">
        <v>1020</v>
      </c>
      <c r="E115" s="581"/>
      <c r="F115" s="610">
        <v>131716</v>
      </c>
      <c r="G115" s="582"/>
      <c r="H115" s="583"/>
      <c r="I115" s="583"/>
      <c r="J115" s="583"/>
      <c r="K115" s="595"/>
      <c r="L115" s="583"/>
      <c r="M115" s="582"/>
      <c r="N115" s="582"/>
      <c r="O115" s="582"/>
      <c r="P115" s="582"/>
      <c r="Q115" s="229">
        <f t="shared" ref="Q115" si="9">SUM(G115:P115)</f>
        <v>0</v>
      </c>
      <c r="R115" s="598"/>
    </row>
    <row r="116" spans="1:18" ht="15" customHeight="1" x14ac:dyDescent="0.2">
      <c r="A116" s="231"/>
      <c r="B116" s="231"/>
      <c r="C116" s="232"/>
      <c r="D116" s="148" t="s">
        <v>419</v>
      </c>
      <c r="E116" s="242"/>
      <c r="F116" s="229"/>
      <c r="G116" s="229"/>
      <c r="H116" s="230"/>
      <c r="I116" s="230"/>
      <c r="J116" s="230"/>
      <c r="K116" s="230"/>
      <c r="L116" s="230"/>
      <c r="M116" s="229"/>
      <c r="N116" s="229"/>
      <c r="O116" s="229"/>
      <c r="P116" s="229"/>
      <c r="Q116" s="229"/>
      <c r="R116" s="598"/>
    </row>
    <row r="117" spans="1:18" ht="15" customHeight="1" x14ac:dyDescent="0.2">
      <c r="A117" s="231"/>
      <c r="B117" s="231"/>
      <c r="C117" s="232"/>
      <c r="D117" s="239" t="s">
        <v>440</v>
      </c>
      <c r="E117" s="143">
        <v>2</v>
      </c>
      <c r="F117" s="229">
        <v>128901</v>
      </c>
      <c r="G117" s="229"/>
      <c r="H117" s="230"/>
      <c r="I117" s="230"/>
      <c r="J117" s="230"/>
      <c r="K117" s="230">
        <v>-120</v>
      </c>
      <c r="L117" s="230"/>
      <c r="M117" s="229"/>
      <c r="N117" s="229">
        <v>120</v>
      </c>
      <c r="O117" s="229"/>
      <c r="P117" s="229"/>
      <c r="Q117" s="229">
        <f>SUM(G117:P117)</f>
        <v>0</v>
      </c>
      <c r="R117" s="598" t="s">
        <v>1366</v>
      </c>
    </row>
    <row r="118" spans="1:18" ht="15" customHeight="1" x14ac:dyDescent="0.2">
      <c r="A118" s="231"/>
      <c r="B118" s="231"/>
      <c r="C118" s="232"/>
      <c r="D118" s="243" t="s">
        <v>441</v>
      </c>
      <c r="E118" s="229"/>
      <c r="F118" s="229"/>
      <c r="G118" s="229"/>
      <c r="H118" s="230"/>
      <c r="I118" s="230"/>
      <c r="J118" s="230"/>
      <c r="K118" s="230"/>
      <c r="L118" s="230"/>
      <c r="M118" s="229"/>
      <c r="N118" s="229"/>
      <c r="O118" s="229"/>
      <c r="P118" s="229"/>
      <c r="Q118" s="229"/>
      <c r="R118" s="598"/>
    </row>
    <row r="119" spans="1:18" ht="15" hidden="1" customHeight="1" x14ac:dyDescent="0.2">
      <c r="A119" s="231"/>
      <c r="B119" s="231"/>
      <c r="C119" s="232"/>
      <c r="D119" s="236" t="s">
        <v>442</v>
      </c>
      <c r="E119" s="235"/>
      <c r="F119" s="235"/>
      <c r="G119" s="229"/>
      <c r="H119" s="230"/>
      <c r="I119" s="230"/>
      <c r="J119" s="230"/>
      <c r="K119" s="230"/>
      <c r="L119" s="230"/>
      <c r="M119" s="229"/>
      <c r="N119" s="229"/>
      <c r="O119" s="229"/>
      <c r="P119" s="229"/>
      <c r="Q119" s="229"/>
      <c r="R119" s="598"/>
    </row>
    <row r="120" spans="1:18" ht="15" hidden="1" customHeight="1" x14ac:dyDescent="0.2">
      <c r="A120" s="231"/>
      <c r="B120" s="231"/>
      <c r="C120" s="232"/>
      <c r="D120" s="239" t="s">
        <v>443</v>
      </c>
      <c r="E120" s="229">
        <v>2</v>
      </c>
      <c r="F120" s="229">
        <v>131803</v>
      </c>
      <c r="G120" s="244"/>
      <c r="H120" s="230"/>
      <c r="I120" s="230"/>
      <c r="J120" s="230"/>
      <c r="K120" s="230"/>
      <c r="L120" s="230"/>
      <c r="M120" s="229"/>
      <c r="N120" s="229"/>
      <c r="O120" s="229"/>
      <c r="P120" s="229"/>
      <c r="Q120" s="229">
        <f>SUM(G120:P120)</f>
        <v>0</v>
      </c>
      <c r="R120" s="598"/>
    </row>
    <row r="121" spans="1:18" ht="15" hidden="1" customHeight="1" x14ac:dyDescent="0.2">
      <c r="A121" s="231"/>
      <c r="B121" s="231"/>
      <c r="C121" s="232"/>
      <c r="D121" s="239" t="s">
        <v>444</v>
      </c>
      <c r="E121" s="229">
        <v>2</v>
      </c>
      <c r="F121" s="229">
        <v>131804</v>
      </c>
      <c r="G121" s="244"/>
      <c r="H121" s="230"/>
      <c r="I121" s="230"/>
      <c r="J121" s="230"/>
      <c r="K121" s="230"/>
      <c r="L121" s="230"/>
      <c r="M121" s="229"/>
      <c r="N121" s="229"/>
      <c r="O121" s="229"/>
      <c r="P121" s="229"/>
      <c r="Q121" s="229">
        <f>SUM(G121:P121)</f>
        <v>0</v>
      </c>
      <c r="R121" s="598"/>
    </row>
    <row r="122" spans="1:18" ht="15" hidden="1" customHeight="1" x14ac:dyDescent="0.2">
      <c r="A122" s="231"/>
      <c r="B122" s="231"/>
      <c r="C122" s="232"/>
      <c r="D122" s="239" t="s">
        <v>445</v>
      </c>
      <c r="E122" s="229">
        <v>2</v>
      </c>
      <c r="F122" s="229">
        <v>131805</v>
      </c>
      <c r="G122" s="244"/>
      <c r="H122" s="230"/>
      <c r="I122" s="230"/>
      <c r="J122" s="230"/>
      <c r="K122" s="230"/>
      <c r="L122" s="230"/>
      <c r="M122" s="229"/>
      <c r="N122" s="229"/>
      <c r="O122" s="229"/>
      <c r="P122" s="229"/>
      <c r="Q122" s="229">
        <f>SUM(G122:P122)</f>
        <v>0</v>
      </c>
      <c r="R122" s="598"/>
    </row>
    <row r="123" spans="1:18" ht="15" hidden="1" customHeight="1" x14ac:dyDescent="0.2">
      <c r="A123" s="231"/>
      <c r="B123" s="231"/>
      <c r="C123" s="232"/>
      <c r="D123" s="236" t="s">
        <v>446</v>
      </c>
      <c r="E123" s="235"/>
      <c r="F123" s="235"/>
      <c r="G123" s="244"/>
      <c r="H123" s="230"/>
      <c r="I123" s="230"/>
      <c r="J123" s="230"/>
      <c r="K123" s="230"/>
      <c r="L123" s="230"/>
      <c r="M123" s="229"/>
      <c r="N123" s="229"/>
      <c r="O123" s="229"/>
      <c r="P123" s="229"/>
      <c r="Q123" s="229"/>
      <c r="R123" s="598"/>
    </row>
    <row r="124" spans="1:18" ht="15" hidden="1" customHeight="1" x14ac:dyDescent="0.2">
      <c r="A124" s="231"/>
      <c r="B124" s="231"/>
      <c r="C124" s="232"/>
      <c r="D124" s="239" t="s">
        <v>447</v>
      </c>
      <c r="E124" s="235">
        <v>1</v>
      </c>
      <c r="F124" s="229">
        <v>131808</v>
      </c>
      <c r="G124" s="244"/>
      <c r="H124" s="230"/>
      <c r="I124" s="230"/>
      <c r="J124" s="230"/>
      <c r="K124" s="230"/>
      <c r="L124" s="230"/>
      <c r="M124" s="229"/>
      <c r="N124" s="229"/>
      <c r="O124" s="229"/>
      <c r="P124" s="229"/>
      <c r="Q124" s="229">
        <f>SUM(G124:P124)</f>
        <v>0</v>
      </c>
      <c r="R124" s="598"/>
    </row>
    <row r="125" spans="1:18" ht="15" hidden="1" customHeight="1" x14ac:dyDescent="0.2">
      <c r="A125" s="231"/>
      <c r="B125" s="231"/>
      <c r="C125" s="232"/>
      <c r="D125" s="239" t="s">
        <v>448</v>
      </c>
      <c r="E125" s="229">
        <v>1</v>
      </c>
      <c r="F125" s="229">
        <v>131807</v>
      </c>
      <c r="G125" s="244"/>
      <c r="H125" s="230"/>
      <c r="I125" s="230"/>
      <c r="J125" s="230"/>
      <c r="K125" s="230"/>
      <c r="L125" s="230"/>
      <c r="M125" s="229"/>
      <c r="N125" s="229"/>
      <c r="O125" s="229"/>
      <c r="P125" s="229"/>
      <c r="Q125" s="229">
        <f>SUM(G125:P125)</f>
        <v>0</v>
      </c>
      <c r="R125" s="598"/>
    </row>
    <row r="126" spans="1:18" ht="15" hidden="1" customHeight="1" x14ac:dyDescent="0.2">
      <c r="A126" s="231"/>
      <c r="B126" s="231"/>
      <c r="C126" s="232"/>
      <c r="D126" s="239" t="s">
        <v>449</v>
      </c>
      <c r="E126" s="235">
        <v>1</v>
      </c>
      <c r="F126" s="229">
        <v>131809</v>
      </c>
      <c r="G126" s="244"/>
      <c r="H126" s="230"/>
      <c r="I126" s="230"/>
      <c r="J126" s="230"/>
      <c r="K126" s="230"/>
      <c r="L126" s="230"/>
      <c r="M126" s="229"/>
      <c r="N126" s="229"/>
      <c r="O126" s="229"/>
      <c r="P126" s="229"/>
      <c r="Q126" s="229">
        <f>SUM(G126:P126)</f>
        <v>0</v>
      </c>
      <c r="R126" s="598"/>
    </row>
    <row r="127" spans="1:18" ht="15" customHeight="1" x14ac:dyDescent="0.2">
      <c r="A127" s="231"/>
      <c r="B127" s="231"/>
      <c r="C127" s="232"/>
      <c r="D127" s="236" t="s">
        <v>450</v>
      </c>
      <c r="E127" s="235"/>
      <c r="F127" s="235"/>
      <c r="G127" s="244"/>
      <c r="H127" s="230"/>
      <c r="I127" s="230"/>
      <c r="J127" s="230"/>
      <c r="K127" s="230"/>
      <c r="L127" s="230"/>
      <c r="M127" s="229"/>
      <c r="N127" s="229"/>
      <c r="O127" s="229"/>
      <c r="P127" s="229"/>
      <c r="Q127" s="229"/>
      <c r="R127" s="598"/>
    </row>
    <row r="128" spans="1:18" ht="15" hidden="1" customHeight="1" x14ac:dyDescent="0.2">
      <c r="A128" s="231"/>
      <c r="B128" s="231"/>
      <c r="C128" s="232"/>
      <c r="D128" s="239" t="s">
        <v>451</v>
      </c>
      <c r="E128" s="229">
        <v>1</v>
      </c>
      <c r="F128" s="229">
        <v>131811</v>
      </c>
      <c r="G128" s="244"/>
      <c r="H128" s="230"/>
      <c r="I128" s="230"/>
      <c r="J128" s="230"/>
      <c r="K128" s="230"/>
      <c r="L128" s="230"/>
      <c r="M128" s="229"/>
      <c r="N128" s="229"/>
      <c r="O128" s="229"/>
      <c r="P128" s="229"/>
      <c r="Q128" s="229">
        <f t="shared" ref="Q128:Q136" si="10">SUM(G128:P128)</f>
        <v>0</v>
      </c>
      <c r="R128" s="598"/>
    </row>
    <row r="129" spans="1:18" ht="15" hidden="1" customHeight="1" x14ac:dyDescent="0.2">
      <c r="A129" s="231"/>
      <c r="B129" s="231"/>
      <c r="C129" s="232"/>
      <c r="D129" s="239" t="s">
        <v>452</v>
      </c>
      <c r="E129" s="229">
        <v>1</v>
      </c>
      <c r="F129" s="229">
        <v>131812</v>
      </c>
      <c r="G129" s="244"/>
      <c r="H129" s="230"/>
      <c r="I129" s="230"/>
      <c r="J129" s="230"/>
      <c r="K129" s="230"/>
      <c r="L129" s="230"/>
      <c r="M129" s="229"/>
      <c r="N129" s="229"/>
      <c r="O129" s="229"/>
      <c r="P129" s="229"/>
      <c r="Q129" s="229">
        <f t="shared" si="10"/>
        <v>0</v>
      </c>
      <c r="R129" s="598"/>
    </row>
    <row r="130" spans="1:18" ht="15" hidden="1" customHeight="1" x14ac:dyDescent="0.2">
      <c r="A130" s="231"/>
      <c r="B130" s="231"/>
      <c r="C130" s="232"/>
      <c r="D130" s="239" t="s">
        <v>453</v>
      </c>
      <c r="E130" s="229">
        <v>1</v>
      </c>
      <c r="F130" s="229">
        <v>131813</v>
      </c>
      <c r="G130" s="244"/>
      <c r="H130" s="230"/>
      <c r="I130" s="230"/>
      <c r="J130" s="230"/>
      <c r="K130" s="229"/>
      <c r="L130" s="230"/>
      <c r="M130" s="229"/>
      <c r="N130" s="229"/>
      <c r="O130" s="229"/>
      <c r="P130" s="229"/>
      <c r="Q130" s="229">
        <f t="shared" si="10"/>
        <v>0</v>
      </c>
      <c r="R130" s="598"/>
    </row>
    <row r="131" spans="1:18" ht="15" customHeight="1" x14ac:dyDescent="0.2">
      <c r="A131" s="231"/>
      <c r="B131" s="231"/>
      <c r="C131" s="232"/>
      <c r="D131" s="239" t="s">
        <v>1367</v>
      </c>
      <c r="E131" s="229">
        <v>1</v>
      </c>
      <c r="F131" s="229">
        <v>131816</v>
      </c>
      <c r="G131" s="244"/>
      <c r="H131" s="230"/>
      <c r="I131" s="230"/>
      <c r="J131" s="230"/>
      <c r="K131" s="229">
        <v>2500</v>
      </c>
      <c r="L131" s="230"/>
      <c r="M131" s="229"/>
      <c r="N131" s="229"/>
      <c r="O131" s="229"/>
      <c r="P131" s="229"/>
      <c r="Q131" s="229">
        <f t="shared" si="10"/>
        <v>2500</v>
      </c>
      <c r="R131" s="598" t="s">
        <v>1366</v>
      </c>
    </row>
    <row r="132" spans="1:18" ht="15" hidden="1" customHeight="1" x14ac:dyDescent="0.2">
      <c r="A132" s="231"/>
      <c r="B132" s="231"/>
      <c r="C132" s="232"/>
      <c r="D132" s="239" t="s">
        <v>455</v>
      </c>
      <c r="E132" s="229">
        <v>1</v>
      </c>
      <c r="F132" s="229">
        <v>131817</v>
      </c>
      <c r="G132" s="244"/>
      <c r="H132" s="230"/>
      <c r="I132" s="230"/>
      <c r="J132" s="230"/>
      <c r="K132" s="229"/>
      <c r="L132" s="230"/>
      <c r="M132" s="229"/>
      <c r="N132" s="229"/>
      <c r="O132" s="229"/>
      <c r="P132" s="229"/>
      <c r="Q132" s="229">
        <f t="shared" si="10"/>
        <v>0</v>
      </c>
      <c r="R132" s="598"/>
    </row>
    <row r="133" spans="1:18" ht="15" hidden="1" customHeight="1" x14ac:dyDescent="0.2">
      <c r="A133" s="231"/>
      <c r="B133" s="231"/>
      <c r="C133" s="232"/>
      <c r="D133" s="239" t="s">
        <v>456</v>
      </c>
      <c r="E133" s="229">
        <v>1</v>
      </c>
      <c r="F133" s="229">
        <v>131818</v>
      </c>
      <c r="G133" s="244"/>
      <c r="H133" s="230"/>
      <c r="I133" s="230"/>
      <c r="J133" s="230"/>
      <c r="K133" s="229"/>
      <c r="L133" s="230"/>
      <c r="M133" s="229"/>
      <c r="N133" s="229"/>
      <c r="O133" s="229"/>
      <c r="P133" s="229"/>
      <c r="Q133" s="229">
        <f t="shared" si="10"/>
        <v>0</v>
      </c>
      <c r="R133" s="598"/>
    </row>
    <row r="134" spans="1:18" ht="15" hidden="1" customHeight="1" x14ac:dyDescent="0.2">
      <c r="A134" s="231"/>
      <c r="B134" s="231"/>
      <c r="C134" s="232"/>
      <c r="D134" s="239" t="s">
        <v>457</v>
      </c>
      <c r="E134" s="229">
        <v>1</v>
      </c>
      <c r="F134" s="229">
        <v>131819</v>
      </c>
      <c r="G134" s="244"/>
      <c r="H134" s="230"/>
      <c r="I134" s="230"/>
      <c r="J134" s="230"/>
      <c r="K134" s="229"/>
      <c r="L134" s="230"/>
      <c r="M134" s="229"/>
      <c r="N134" s="229"/>
      <c r="O134" s="229"/>
      <c r="P134" s="229"/>
      <c r="Q134" s="229">
        <f t="shared" si="10"/>
        <v>0</v>
      </c>
      <c r="R134" s="598"/>
    </row>
    <row r="135" spans="1:18" ht="15" hidden="1" customHeight="1" x14ac:dyDescent="0.2">
      <c r="A135" s="231"/>
      <c r="B135" s="231"/>
      <c r="C135" s="232"/>
      <c r="D135" s="239" t="s">
        <v>458</v>
      </c>
      <c r="E135" s="229">
        <v>1</v>
      </c>
      <c r="F135" s="229">
        <v>131832</v>
      </c>
      <c r="G135" s="244"/>
      <c r="H135" s="230"/>
      <c r="I135" s="230"/>
      <c r="J135" s="230"/>
      <c r="K135" s="229"/>
      <c r="L135" s="230"/>
      <c r="M135" s="229"/>
      <c r="N135" s="229"/>
      <c r="O135" s="229"/>
      <c r="P135" s="229"/>
      <c r="Q135" s="229">
        <f t="shared" si="10"/>
        <v>0</v>
      </c>
      <c r="R135" s="598"/>
    </row>
    <row r="136" spans="1:18" ht="15" customHeight="1" x14ac:dyDescent="0.2">
      <c r="A136" s="231"/>
      <c r="B136" s="231"/>
      <c r="C136" s="232"/>
      <c r="D136" s="239" t="s">
        <v>459</v>
      </c>
      <c r="E136" s="229">
        <v>1</v>
      </c>
      <c r="F136" s="229">
        <v>131820</v>
      </c>
      <c r="G136" s="244"/>
      <c r="H136" s="230"/>
      <c r="I136" s="230">
        <v>-50</v>
      </c>
      <c r="J136" s="230"/>
      <c r="K136" s="229">
        <v>50</v>
      </c>
      <c r="L136" s="230"/>
      <c r="M136" s="229"/>
      <c r="N136" s="229"/>
      <c r="O136" s="229"/>
      <c r="P136" s="229"/>
      <c r="Q136" s="229">
        <f t="shared" si="10"/>
        <v>0</v>
      </c>
      <c r="R136" s="598" t="s">
        <v>1366</v>
      </c>
    </row>
    <row r="137" spans="1:18" ht="15" customHeight="1" x14ac:dyDescent="0.2">
      <c r="A137" s="231"/>
      <c r="B137" s="231"/>
      <c r="C137" s="232"/>
      <c r="D137" s="239" t="s">
        <v>460</v>
      </c>
      <c r="E137" s="229"/>
      <c r="F137" s="229"/>
      <c r="G137" s="244"/>
      <c r="H137" s="230"/>
      <c r="I137" s="230"/>
      <c r="J137" s="230"/>
      <c r="K137" s="229"/>
      <c r="L137" s="230"/>
      <c r="M137" s="229"/>
      <c r="N137" s="229"/>
      <c r="O137" s="229"/>
      <c r="P137" s="229"/>
      <c r="Q137" s="229"/>
      <c r="R137" s="598"/>
    </row>
    <row r="138" spans="1:18" ht="15" hidden="1" customHeight="1" x14ac:dyDescent="0.2">
      <c r="A138" s="231"/>
      <c r="B138" s="231"/>
      <c r="C138" s="232"/>
      <c r="D138" s="239" t="s">
        <v>461</v>
      </c>
      <c r="E138" s="235">
        <v>2</v>
      </c>
      <c r="F138" s="229">
        <v>131821</v>
      </c>
      <c r="G138" s="244"/>
      <c r="H138" s="230"/>
      <c r="I138" s="230"/>
      <c r="J138" s="230"/>
      <c r="K138" s="229"/>
      <c r="L138" s="230"/>
      <c r="M138" s="229"/>
      <c r="N138" s="229"/>
      <c r="O138" s="229"/>
      <c r="P138" s="229"/>
      <c r="Q138" s="229">
        <f t="shared" ref="Q138:Q165" si="11">SUM(G138:P138)</f>
        <v>0</v>
      </c>
      <c r="R138" s="598"/>
    </row>
    <row r="139" spans="1:18" ht="15" hidden="1" customHeight="1" x14ac:dyDescent="0.2">
      <c r="A139" s="231"/>
      <c r="B139" s="231"/>
      <c r="C139" s="232"/>
      <c r="D139" s="239" t="s">
        <v>462</v>
      </c>
      <c r="E139" s="235">
        <v>2</v>
      </c>
      <c r="F139" s="229">
        <v>131822</v>
      </c>
      <c r="G139" s="244"/>
      <c r="H139" s="230"/>
      <c r="I139" s="230"/>
      <c r="J139" s="230"/>
      <c r="K139" s="229"/>
      <c r="L139" s="230"/>
      <c r="M139" s="229"/>
      <c r="N139" s="229"/>
      <c r="O139" s="229"/>
      <c r="P139" s="229"/>
      <c r="Q139" s="229">
        <f t="shared" si="11"/>
        <v>0</v>
      </c>
      <c r="R139" s="598"/>
    </row>
    <row r="140" spans="1:18" ht="15" customHeight="1" x14ac:dyDescent="0.2">
      <c r="A140" s="231"/>
      <c r="B140" s="231"/>
      <c r="C140" s="232"/>
      <c r="D140" s="245" t="s">
        <v>463</v>
      </c>
      <c r="E140" s="246">
        <v>2</v>
      </c>
      <c r="F140" s="229">
        <v>131823</v>
      </c>
      <c r="G140" s="244"/>
      <c r="H140" s="230"/>
      <c r="I140" s="230"/>
      <c r="J140" s="230"/>
      <c r="K140" s="229">
        <v>1250</v>
      </c>
      <c r="L140" s="230"/>
      <c r="M140" s="229"/>
      <c r="N140" s="229"/>
      <c r="O140" s="229"/>
      <c r="P140" s="229"/>
      <c r="Q140" s="229">
        <f t="shared" si="11"/>
        <v>1250</v>
      </c>
      <c r="R140" s="598" t="s">
        <v>1365</v>
      </c>
    </row>
    <row r="141" spans="1:18" ht="15" customHeight="1" x14ac:dyDescent="0.2">
      <c r="A141" s="231"/>
      <c r="B141" s="231"/>
      <c r="C141" s="232"/>
      <c r="D141" s="245" t="s">
        <v>464</v>
      </c>
      <c r="E141" s="246">
        <v>2</v>
      </c>
      <c r="F141" s="229">
        <v>131846</v>
      </c>
      <c r="G141" s="244"/>
      <c r="H141" s="230"/>
      <c r="I141" s="230"/>
      <c r="J141" s="230"/>
      <c r="K141" s="229">
        <v>-2500</v>
      </c>
      <c r="L141" s="230"/>
      <c r="M141" s="229"/>
      <c r="N141" s="229"/>
      <c r="O141" s="229"/>
      <c r="P141" s="229"/>
      <c r="Q141" s="229">
        <f t="shared" si="11"/>
        <v>-2500</v>
      </c>
      <c r="R141" s="598" t="s">
        <v>1365</v>
      </c>
    </row>
    <row r="142" spans="1:18" ht="15" hidden="1" customHeight="1" x14ac:dyDescent="0.2">
      <c r="A142" s="231"/>
      <c r="B142" s="231"/>
      <c r="C142" s="232"/>
      <c r="D142" s="245" t="s">
        <v>465</v>
      </c>
      <c r="E142" s="247">
        <v>2</v>
      </c>
      <c r="F142" s="229">
        <v>131824</v>
      </c>
      <c r="G142" s="244"/>
      <c r="H142" s="230"/>
      <c r="I142" s="230"/>
      <c r="J142" s="230"/>
      <c r="K142" s="229"/>
      <c r="L142" s="230"/>
      <c r="M142" s="229"/>
      <c r="N142" s="229"/>
      <c r="O142" s="229"/>
      <c r="P142" s="229"/>
      <c r="Q142" s="229">
        <f t="shared" si="11"/>
        <v>0</v>
      </c>
      <c r="R142" s="598"/>
    </row>
    <row r="143" spans="1:18" ht="15" hidden="1" customHeight="1" x14ac:dyDescent="0.2">
      <c r="A143" s="231"/>
      <c r="B143" s="231"/>
      <c r="C143" s="232"/>
      <c r="D143" s="245" t="s">
        <v>466</v>
      </c>
      <c r="E143" s="247">
        <v>2</v>
      </c>
      <c r="F143" s="248">
        <v>131833</v>
      </c>
      <c r="G143" s="249"/>
      <c r="H143" s="230"/>
      <c r="I143" s="230"/>
      <c r="J143" s="230"/>
      <c r="K143" s="229"/>
      <c r="L143" s="230"/>
      <c r="M143" s="229"/>
      <c r="N143" s="229"/>
      <c r="O143" s="229"/>
      <c r="P143" s="229"/>
      <c r="Q143" s="229">
        <f t="shared" si="11"/>
        <v>0</v>
      </c>
      <c r="R143" s="598"/>
    </row>
    <row r="144" spans="1:18" ht="15" hidden="1" customHeight="1" x14ac:dyDescent="0.2">
      <c r="A144" s="231"/>
      <c r="B144" s="231"/>
      <c r="C144" s="232"/>
      <c r="D144" s="245" t="s">
        <v>467</v>
      </c>
      <c r="E144" s="247">
        <v>2</v>
      </c>
      <c r="F144" s="248">
        <v>131834</v>
      </c>
      <c r="G144" s="249"/>
      <c r="H144" s="230"/>
      <c r="I144" s="230"/>
      <c r="J144" s="230"/>
      <c r="K144" s="229"/>
      <c r="L144" s="230"/>
      <c r="M144" s="229"/>
      <c r="N144" s="229"/>
      <c r="O144" s="229"/>
      <c r="P144" s="229"/>
      <c r="Q144" s="229">
        <f t="shared" si="11"/>
        <v>0</v>
      </c>
      <c r="R144" s="598"/>
    </row>
    <row r="145" spans="1:18" ht="15" hidden="1" customHeight="1" x14ac:dyDescent="0.2">
      <c r="A145" s="231"/>
      <c r="B145" s="231"/>
      <c r="C145" s="232"/>
      <c r="D145" s="245" t="s">
        <v>468</v>
      </c>
      <c r="E145" s="247">
        <v>2</v>
      </c>
      <c r="F145" s="248">
        <v>131836</v>
      </c>
      <c r="G145" s="249"/>
      <c r="H145" s="230"/>
      <c r="I145" s="230"/>
      <c r="J145" s="230"/>
      <c r="K145" s="229"/>
      <c r="L145" s="230"/>
      <c r="M145" s="229"/>
      <c r="N145" s="229"/>
      <c r="O145" s="229"/>
      <c r="P145" s="229"/>
      <c r="Q145" s="229">
        <f t="shared" si="11"/>
        <v>0</v>
      </c>
      <c r="R145" s="598"/>
    </row>
    <row r="146" spans="1:18" ht="15" hidden="1" customHeight="1" x14ac:dyDescent="0.2">
      <c r="A146" s="231"/>
      <c r="B146" s="231"/>
      <c r="C146" s="232"/>
      <c r="D146" s="245" t="s">
        <v>469</v>
      </c>
      <c r="E146" s="247">
        <v>2</v>
      </c>
      <c r="F146" s="248">
        <v>131837</v>
      </c>
      <c r="G146" s="249"/>
      <c r="H146" s="230"/>
      <c r="I146" s="230"/>
      <c r="J146" s="230"/>
      <c r="K146" s="229"/>
      <c r="L146" s="230"/>
      <c r="M146" s="229"/>
      <c r="N146" s="229"/>
      <c r="O146" s="229"/>
      <c r="P146" s="229"/>
      <c r="Q146" s="229">
        <f t="shared" si="11"/>
        <v>0</v>
      </c>
      <c r="R146" s="598"/>
    </row>
    <row r="147" spans="1:18" ht="15" hidden="1" customHeight="1" x14ac:dyDescent="0.2">
      <c r="A147" s="231"/>
      <c r="B147" s="231"/>
      <c r="C147" s="232"/>
      <c r="D147" s="245" t="s">
        <v>470</v>
      </c>
      <c r="E147" s="247">
        <v>2</v>
      </c>
      <c r="F147" s="248">
        <v>131838</v>
      </c>
      <c r="G147" s="249"/>
      <c r="H147" s="230"/>
      <c r="I147" s="230"/>
      <c r="J147" s="230"/>
      <c r="K147" s="229"/>
      <c r="L147" s="230"/>
      <c r="M147" s="229"/>
      <c r="N147" s="229"/>
      <c r="O147" s="229"/>
      <c r="P147" s="229"/>
      <c r="Q147" s="229">
        <f t="shared" si="11"/>
        <v>0</v>
      </c>
      <c r="R147" s="598"/>
    </row>
    <row r="148" spans="1:18" ht="15" hidden="1" customHeight="1" x14ac:dyDescent="0.2">
      <c r="A148" s="231"/>
      <c r="B148" s="231"/>
      <c r="C148" s="232"/>
      <c r="D148" s="245" t="s">
        <v>471</v>
      </c>
      <c r="E148" s="247">
        <v>2</v>
      </c>
      <c r="F148" s="248">
        <v>131840</v>
      </c>
      <c r="G148" s="249"/>
      <c r="H148" s="230"/>
      <c r="I148" s="230"/>
      <c r="J148" s="230"/>
      <c r="K148" s="229"/>
      <c r="L148" s="230"/>
      <c r="M148" s="229"/>
      <c r="N148" s="229"/>
      <c r="O148" s="229"/>
      <c r="P148" s="229"/>
      <c r="Q148" s="229">
        <f t="shared" si="11"/>
        <v>0</v>
      </c>
      <c r="R148" s="598"/>
    </row>
    <row r="149" spans="1:18" ht="15" hidden="1" customHeight="1" x14ac:dyDescent="0.2">
      <c r="A149" s="231"/>
      <c r="B149" s="231"/>
      <c r="C149" s="232"/>
      <c r="D149" s="245" t="s">
        <v>472</v>
      </c>
      <c r="E149" s="247">
        <v>2</v>
      </c>
      <c r="F149" s="248">
        <v>131841</v>
      </c>
      <c r="G149" s="249"/>
      <c r="H149" s="230"/>
      <c r="I149" s="230"/>
      <c r="J149" s="230"/>
      <c r="K149" s="229"/>
      <c r="L149" s="230"/>
      <c r="M149" s="229"/>
      <c r="N149" s="229"/>
      <c r="O149" s="229"/>
      <c r="P149" s="229"/>
      <c r="Q149" s="229">
        <f t="shared" si="11"/>
        <v>0</v>
      </c>
      <c r="R149" s="598"/>
    </row>
    <row r="150" spans="1:18" ht="15" hidden="1" customHeight="1" x14ac:dyDescent="0.2">
      <c r="A150" s="231"/>
      <c r="B150" s="231"/>
      <c r="C150" s="232"/>
      <c r="D150" s="245" t="s">
        <v>473</v>
      </c>
      <c r="E150" s="247">
        <v>2</v>
      </c>
      <c r="F150" s="248">
        <v>131842</v>
      </c>
      <c r="G150" s="249"/>
      <c r="H150" s="230"/>
      <c r="I150" s="230"/>
      <c r="J150" s="230"/>
      <c r="K150" s="229"/>
      <c r="L150" s="230"/>
      <c r="M150" s="229"/>
      <c r="N150" s="229"/>
      <c r="O150" s="229"/>
      <c r="P150" s="229"/>
      <c r="Q150" s="229">
        <f t="shared" si="11"/>
        <v>0</v>
      </c>
      <c r="R150" s="598"/>
    </row>
    <row r="151" spans="1:18" ht="15" hidden="1" customHeight="1" x14ac:dyDescent="0.2">
      <c r="A151" s="231"/>
      <c r="B151" s="231"/>
      <c r="C151" s="232"/>
      <c r="D151" s="245" t="s">
        <v>474</v>
      </c>
      <c r="E151" s="247">
        <v>2</v>
      </c>
      <c r="F151" s="248">
        <v>131843</v>
      </c>
      <c r="G151" s="249"/>
      <c r="H151" s="230"/>
      <c r="I151" s="230"/>
      <c r="J151" s="230"/>
      <c r="K151" s="229"/>
      <c r="L151" s="230"/>
      <c r="M151" s="229"/>
      <c r="N151" s="229"/>
      <c r="O151" s="229"/>
      <c r="P151" s="229"/>
      <c r="Q151" s="229">
        <f t="shared" si="11"/>
        <v>0</v>
      </c>
      <c r="R151" s="598"/>
    </row>
    <row r="152" spans="1:18" ht="15" hidden="1" customHeight="1" x14ac:dyDescent="0.2">
      <c r="A152" s="231"/>
      <c r="B152" s="231"/>
      <c r="C152" s="231"/>
      <c r="D152" s="229" t="s">
        <v>475</v>
      </c>
      <c r="E152" s="247">
        <v>2</v>
      </c>
      <c r="F152" s="248">
        <v>131847</v>
      </c>
      <c r="G152" s="249"/>
      <c r="H152" s="230"/>
      <c r="I152" s="230"/>
      <c r="J152" s="230"/>
      <c r="K152" s="229"/>
      <c r="L152" s="230"/>
      <c r="M152" s="229"/>
      <c r="N152" s="229"/>
      <c r="O152" s="229"/>
      <c r="P152" s="229"/>
      <c r="Q152" s="229">
        <f t="shared" si="11"/>
        <v>0</v>
      </c>
      <c r="R152" s="598"/>
    </row>
    <row r="153" spans="1:18" ht="15" hidden="1" customHeight="1" x14ac:dyDescent="0.2">
      <c r="A153" s="231"/>
      <c r="B153" s="231"/>
      <c r="C153" s="231"/>
      <c r="D153" s="250" t="s">
        <v>476</v>
      </c>
      <c r="E153" s="251">
        <v>2</v>
      </c>
      <c r="F153" s="252">
        <v>131848</v>
      </c>
      <c r="G153" s="253"/>
      <c r="H153" s="179"/>
      <c r="I153" s="179"/>
      <c r="J153" s="179"/>
      <c r="K153" s="148"/>
      <c r="L153" s="179"/>
      <c r="M153" s="148"/>
      <c r="N153" s="148"/>
      <c r="O153" s="148"/>
      <c r="P153" s="148"/>
      <c r="Q153" s="148">
        <f t="shared" si="11"/>
        <v>0</v>
      </c>
      <c r="R153" s="598"/>
    </row>
    <row r="154" spans="1:18" ht="15" hidden="1" customHeight="1" x14ac:dyDescent="0.2">
      <c r="A154" s="174"/>
      <c r="B154" s="174"/>
      <c r="C154" s="174"/>
      <c r="D154" s="250" t="s">
        <v>477</v>
      </c>
      <c r="E154" s="251">
        <v>2</v>
      </c>
      <c r="F154" s="252">
        <v>131850</v>
      </c>
      <c r="G154" s="253"/>
      <c r="H154" s="179"/>
      <c r="I154" s="179"/>
      <c r="J154" s="179"/>
      <c r="K154" s="148"/>
      <c r="L154" s="179"/>
      <c r="M154" s="148"/>
      <c r="N154" s="148"/>
      <c r="O154" s="148"/>
      <c r="P154" s="148"/>
      <c r="Q154" s="148">
        <f t="shared" si="11"/>
        <v>0</v>
      </c>
      <c r="R154" s="598"/>
    </row>
    <row r="155" spans="1:18" ht="15" hidden="1" customHeight="1" x14ac:dyDescent="0.2">
      <c r="A155" s="174"/>
      <c r="B155" s="174"/>
      <c r="C155" s="174"/>
      <c r="D155" s="250" t="s">
        <v>478</v>
      </c>
      <c r="E155" s="251">
        <v>2</v>
      </c>
      <c r="F155" s="252">
        <v>131851</v>
      </c>
      <c r="G155" s="253"/>
      <c r="H155" s="179"/>
      <c r="I155" s="179"/>
      <c r="J155" s="179"/>
      <c r="K155" s="148"/>
      <c r="L155" s="179"/>
      <c r="M155" s="148"/>
      <c r="N155" s="148"/>
      <c r="O155" s="148"/>
      <c r="P155" s="148"/>
      <c r="Q155" s="148">
        <f t="shared" si="11"/>
        <v>0</v>
      </c>
      <c r="R155" s="598"/>
    </row>
    <row r="156" spans="1:18" ht="15" hidden="1" customHeight="1" x14ac:dyDescent="0.2">
      <c r="A156" s="174"/>
      <c r="B156" s="174"/>
      <c r="C156" s="174"/>
      <c r="D156" s="224" t="s">
        <v>479</v>
      </c>
      <c r="E156" s="251">
        <v>2</v>
      </c>
      <c r="F156" s="252">
        <v>131852</v>
      </c>
      <c r="G156" s="253"/>
      <c r="H156" s="179"/>
      <c r="I156" s="179"/>
      <c r="J156" s="179"/>
      <c r="K156" s="148"/>
      <c r="L156" s="179"/>
      <c r="M156" s="148"/>
      <c r="N156" s="148"/>
      <c r="O156" s="148"/>
      <c r="P156" s="148"/>
      <c r="Q156" s="148">
        <f t="shared" si="11"/>
        <v>0</v>
      </c>
      <c r="R156" s="598"/>
    </row>
    <row r="157" spans="1:18" ht="40.5" hidden="1" customHeight="1" x14ac:dyDescent="0.2">
      <c r="A157" s="174"/>
      <c r="B157" s="174"/>
      <c r="C157" s="174"/>
      <c r="D157" s="254" t="s">
        <v>480</v>
      </c>
      <c r="E157" s="255">
        <v>2</v>
      </c>
      <c r="F157" s="226">
        <v>131853</v>
      </c>
      <c r="G157" s="253"/>
      <c r="H157" s="179"/>
      <c r="I157" s="179"/>
      <c r="J157" s="179"/>
      <c r="K157" s="148"/>
      <c r="L157" s="179"/>
      <c r="M157" s="148"/>
      <c r="N157" s="148"/>
      <c r="O157" s="148"/>
      <c r="P157" s="148"/>
      <c r="Q157" s="148">
        <f t="shared" si="11"/>
        <v>0</v>
      </c>
      <c r="R157" s="598"/>
    </row>
    <row r="158" spans="1:18" ht="26.25" hidden="1" customHeight="1" x14ac:dyDescent="0.2">
      <c r="A158" s="174"/>
      <c r="B158" s="174"/>
      <c r="C158" s="174"/>
      <c r="D158" s="254" t="s">
        <v>481</v>
      </c>
      <c r="E158" s="255">
        <v>2</v>
      </c>
      <c r="F158" s="226">
        <v>131862</v>
      </c>
      <c r="G158" s="253"/>
      <c r="H158" s="179"/>
      <c r="I158" s="179"/>
      <c r="J158" s="179"/>
      <c r="K158" s="148"/>
      <c r="L158" s="179"/>
      <c r="M158" s="148"/>
      <c r="N158" s="148"/>
      <c r="O158" s="148"/>
      <c r="P158" s="148"/>
      <c r="Q158" s="148">
        <f t="shared" si="11"/>
        <v>0</v>
      </c>
      <c r="R158" s="598"/>
    </row>
    <row r="159" spans="1:18" ht="15" hidden="1" customHeight="1" x14ac:dyDescent="0.2">
      <c r="A159" s="174"/>
      <c r="B159" s="174"/>
      <c r="C159" s="174"/>
      <c r="D159" s="148" t="s">
        <v>482</v>
      </c>
      <c r="E159" s="251">
        <v>2</v>
      </c>
      <c r="F159" s="252">
        <v>131856</v>
      </c>
      <c r="G159" s="253"/>
      <c r="H159" s="179"/>
      <c r="I159" s="179"/>
      <c r="J159" s="179"/>
      <c r="K159" s="148"/>
      <c r="L159" s="179"/>
      <c r="M159" s="148"/>
      <c r="N159" s="148"/>
      <c r="O159" s="148"/>
      <c r="P159" s="148"/>
      <c r="Q159" s="148">
        <f t="shared" si="11"/>
        <v>0</v>
      </c>
      <c r="R159" s="598"/>
    </row>
    <row r="160" spans="1:18" ht="15" hidden="1" customHeight="1" x14ac:dyDescent="0.2">
      <c r="A160" s="174"/>
      <c r="B160" s="174"/>
      <c r="C160" s="174"/>
      <c r="D160" s="256" t="s">
        <v>483</v>
      </c>
      <c r="E160" s="251">
        <v>2</v>
      </c>
      <c r="F160" s="252">
        <v>131859</v>
      </c>
      <c r="G160" s="253"/>
      <c r="H160" s="179"/>
      <c r="I160" s="179"/>
      <c r="J160" s="179"/>
      <c r="K160" s="148"/>
      <c r="L160" s="179"/>
      <c r="M160" s="148"/>
      <c r="N160" s="148"/>
      <c r="O160" s="148"/>
      <c r="P160" s="148"/>
      <c r="Q160" s="148">
        <f t="shared" si="11"/>
        <v>0</v>
      </c>
      <c r="R160" s="598"/>
    </row>
    <row r="161" spans="1:18" ht="15" hidden="1" customHeight="1" x14ac:dyDescent="0.2">
      <c r="A161" s="174"/>
      <c r="B161" s="174"/>
      <c r="C161" s="174"/>
      <c r="D161" s="256" t="s">
        <v>484</v>
      </c>
      <c r="E161" s="251">
        <v>2</v>
      </c>
      <c r="F161" s="252">
        <v>131860</v>
      </c>
      <c r="G161" s="253"/>
      <c r="H161" s="179"/>
      <c r="I161" s="179"/>
      <c r="J161" s="179"/>
      <c r="K161" s="148"/>
      <c r="L161" s="179"/>
      <c r="M161" s="148"/>
      <c r="N161" s="148"/>
      <c r="O161" s="148"/>
      <c r="P161" s="148"/>
      <c r="Q161" s="148">
        <f t="shared" si="11"/>
        <v>0</v>
      </c>
      <c r="R161" s="598"/>
    </row>
    <row r="162" spans="1:18" ht="15" hidden="1" customHeight="1" x14ac:dyDescent="0.2">
      <c r="A162" s="174"/>
      <c r="B162" s="174"/>
      <c r="C162" s="174"/>
      <c r="D162" s="256" t="s">
        <v>485</v>
      </c>
      <c r="E162" s="251">
        <v>2</v>
      </c>
      <c r="F162" s="252">
        <v>131861</v>
      </c>
      <c r="G162" s="253"/>
      <c r="H162" s="179"/>
      <c r="I162" s="179"/>
      <c r="J162" s="179"/>
      <c r="K162" s="148"/>
      <c r="L162" s="179"/>
      <c r="M162" s="148"/>
      <c r="N162" s="148"/>
      <c r="O162" s="148"/>
      <c r="P162" s="148"/>
      <c r="Q162" s="148">
        <f t="shared" si="11"/>
        <v>0</v>
      </c>
      <c r="R162" s="598"/>
    </row>
    <row r="163" spans="1:18" ht="15" hidden="1" customHeight="1" x14ac:dyDescent="0.2">
      <c r="A163" s="824"/>
      <c r="B163" s="824"/>
      <c r="C163" s="824"/>
      <c r="D163" s="832" t="s">
        <v>1283</v>
      </c>
      <c r="E163" s="833">
        <v>2</v>
      </c>
      <c r="F163" s="834">
        <v>131865</v>
      </c>
      <c r="G163" s="828"/>
      <c r="H163" s="826"/>
      <c r="I163" s="826"/>
      <c r="J163" s="826"/>
      <c r="K163" s="784"/>
      <c r="L163" s="826"/>
      <c r="M163" s="784"/>
      <c r="N163" s="784"/>
      <c r="O163" s="784"/>
      <c r="P163" s="784"/>
      <c r="Q163" s="148">
        <f t="shared" si="11"/>
        <v>0</v>
      </c>
      <c r="R163" s="827"/>
    </row>
    <row r="164" spans="1:18" ht="15" hidden="1" customHeight="1" x14ac:dyDescent="0.2">
      <c r="A164" s="824"/>
      <c r="B164" s="824"/>
      <c r="C164" s="824"/>
      <c r="D164" s="832" t="s">
        <v>1284</v>
      </c>
      <c r="E164" s="833">
        <v>2</v>
      </c>
      <c r="F164" s="834">
        <v>131866</v>
      </c>
      <c r="G164" s="828"/>
      <c r="H164" s="826"/>
      <c r="I164" s="826"/>
      <c r="J164" s="826"/>
      <c r="K164" s="784"/>
      <c r="L164" s="826"/>
      <c r="M164" s="784"/>
      <c r="N164" s="784"/>
      <c r="O164" s="784"/>
      <c r="P164" s="784"/>
      <c r="Q164" s="148">
        <f t="shared" si="11"/>
        <v>0</v>
      </c>
      <c r="R164" s="827"/>
    </row>
    <row r="165" spans="1:18" ht="15" hidden="1" customHeight="1" x14ac:dyDescent="0.2">
      <c r="A165" s="174"/>
      <c r="B165" s="174"/>
      <c r="C165" s="174"/>
      <c r="D165" s="189" t="s">
        <v>486</v>
      </c>
      <c r="E165" s="185">
        <v>2</v>
      </c>
      <c r="F165" s="148">
        <v>131829</v>
      </c>
      <c r="G165" s="225"/>
      <c r="H165" s="179"/>
      <c r="I165" s="179"/>
      <c r="J165" s="179"/>
      <c r="K165" s="148"/>
      <c r="L165" s="179"/>
      <c r="M165" s="148"/>
      <c r="N165" s="148"/>
      <c r="O165" s="148"/>
      <c r="P165" s="148"/>
      <c r="Q165" s="148">
        <f t="shared" si="11"/>
        <v>0</v>
      </c>
      <c r="R165" s="598"/>
    </row>
    <row r="166" spans="1:18" ht="15" customHeight="1" x14ac:dyDescent="0.2">
      <c r="A166" s="174"/>
      <c r="B166" s="174"/>
      <c r="C166" s="174"/>
      <c r="D166" s="148" t="s">
        <v>487</v>
      </c>
      <c r="E166" s="185"/>
      <c r="F166" s="148"/>
      <c r="G166" s="198"/>
      <c r="H166" s="179"/>
      <c r="I166" s="179"/>
      <c r="J166" s="179"/>
      <c r="K166" s="179"/>
      <c r="L166" s="179"/>
      <c r="M166" s="148"/>
      <c r="N166" s="148"/>
      <c r="O166" s="148"/>
      <c r="P166" s="148"/>
      <c r="Q166" s="148"/>
      <c r="R166" s="598"/>
    </row>
    <row r="167" spans="1:18" ht="15" hidden="1" customHeight="1" x14ac:dyDescent="0.2">
      <c r="A167" s="174"/>
      <c r="B167" s="174"/>
      <c r="C167" s="194"/>
      <c r="D167" s="190" t="s">
        <v>488</v>
      </c>
      <c r="E167" s="185">
        <v>1</v>
      </c>
      <c r="F167" s="148">
        <v>131827</v>
      </c>
      <c r="G167" s="198"/>
      <c r="H167" s="179"/>
      <c r="I167" s="179"/>
      <c r="J167" s="179"/>
      <c r="K167" s="179"/>
      <c r="L167" s="179"/>
      <c r="M167" s="148"/>
      <c r="N167" s="148"/>
      <c r="O167" s="148"/>
      <c r="P167" s="148"/>
      <c r="Q167" s="148">
        <f>SUM(G167:P167)</f>
        <v>0</v>
      </c>
      <c r="R167" s="598"/>
    </row>
    <row r="168" spans="1:18" ht="15" customHeight="1" x14ac:dyDescent="0.2">
      <c r="A168" s="174"/>
      <c r="B168" s="174"/>
      <c r="C168" s="194"/>
      <c r="D168" s="190" t="s">
        <v>489</v>
      </c>
      <c r="E168" s="148">
        <v>2</v>
      </c>
      <c r="F168" s="148">
        <v>131857</v>
      </c>
      <c r="G168" s="198"/>
      <c r="H168" s="179"/>
      <c r="I168" s="179"/>
      <c r="J168" s="179"/>
      <c r="K168" s="179">
        <v>-5000</v>
      </c>
      <c r="L168" s="179"/>
      <c r="M168" s="148"/>
      <c r="N168" s="148"/>
      <c r="O168" s="148"/>
      <c r="P168" s="148"/>
      <c r="Q168" s="148">
        <f>SUM(G168:P168)</f>
        <v>-5000</v>
      </c>
      <c r="R168" s="598" t="s">
        <v>1365</v>
      </c>
    </row>
    <row r="169" spans="1:18" ht="15" hidden="1" customHeight="1" x14ac:dyDescent="0.2">
      <c r="A169" s="174"/>
      <c r="B169" s="174"/>
      <c r="C169" s="194"/>
      <c r="D169" s="257" t="s">
        <v>490</v>
      </c>
      <c r="E169" s="148">
        <v>2</v>
      </c>
      <c r="F169" s="148">
        <v>131844</v>
      </c>
      <c r="G169" s="198"/>
      <c r="H169" s="179"/>
      <c r="I169" s="179"/>
      <c r="J169" s="179"/>
      <c r="K169" s="179"/>
      <c r="L169" s="179"/>
      <c r="M169" s="148"/>
      <c r="N169" s="148"/>
      <c r="O169" s="148"/>
      <c r="P169" s="148"/>
      <c r="Q169" s="148">
        <f>SUM(G169:P169)</f>
        <v>0</v>
      </c>
      <c r="R169" s="598"/>
    </row>
    <row r="170" spans="1:18" ht="12" customHeight="1" x14ac:dyDescent="0.2">
      <c r="A170" s="200"/>
      <c r="B170" s="200"/>
      <c r="C170" s="201"/>
      <c r="D170" s="202" t="s">
        <v>491</v>
      </c>
      <c r="E170" s="203"/>
      <c r="F170" s="204"/>
      <c r="G170" s="258">
        <f t="shared" ref="G170:Q170" si="12">SUM(G50:G169)</f>
        <v>-100</v>
      </c>
      <c r="H170" s="258">
        <f t="shared" si="12"/>
        <v>-40</v>
      </c>
      <c r="I170" s="258">
        <f t="shared" si="12"/>
        <v>90</v>
      </c>
      <c r="J170" s="258">
        <f t="shared" si="12"/>
        <v>0</v>
      </c>
      <c r="K170" s="258">
        <f t="shared" si="12"/>
        <v>2760</v>
      </c>
      <c r="L170" s="258">
        <f t="shared" si="12"/>
        <v>0</v>
      </c>
      <c r="M170" s="258">
        <f t="shared" si="12"/>
        <v>0</v>
      </c>
      <c r="N170" s="258">
        <f t="shared" si="12"/>
        <v>120</v>
      </c>
      <c r="O170" s="258">
        <f t="shared" si="12"/>
        <v>0</v>
      </c>
      <c r="P170" s="258">
        <f t="shared" si="12"/>
        <v>0</v>
      </c>
      <c r="Q170" s="258">
        <f t="shared" si="12"/>
        <v>2830</v>
      </c>
      <c r="R170" s="599"/>
    </row>
    <row r="171" spans="1:18" ht="12" customHeight="1" x14ac:dyDescent="0.2">
      <c r="A171" s="206"/>
      <c r="B171" s="206"/>
      <c r="C171" s="259"/>
      <c r="D171" s="260" t="s">
        <v>378</v>
      </c>
      <c r="E171" s="209"/>
      <c r="F171" s="210"/>
      <c r="G171" s="261"/>
      <c r="H171" s="261"/>
      <c r="I171" s="261"/>
      <c r="J171" s="261"/>
      <c r="K171" s="261"/>
      <c r="L171" s="261"/>
      <c r="M171" s="261"/>
      <c r="N171" s="261"/>
      <c r="O171" s="261"/>
      <c r="P171" s="261"/>
      <c r="Q171" s="261"/>
      <c r="R171" s="598"/>
    </row>
    <row r="172" spans="1:18" ht="15" customHeight="1" x14ac:dyDescent="0.2">
      <c r="A172" s="206"/>
      <c r="B172" s="206"/>
      <c r="C172" s="263" t="s">
        <v>100</v>
      </c>
      <c r="D172" s="264" t="s">
        <v>388</v>
      </c>
      <c r="E172" s="209"/>
      <c r="F172" s="210"/>
      <c r="G172" s="261"/>
      <c r="H172" s="261"/>
      <c r="I172" s="261"/>
      <c r="J172" s="261"/>
      <c r="K172" s="261"/>
      <c r="L172" s="261"/>
      <c r="M172" s="261"/>
      <c r="N172" s="261"/>
      <c r="O172" s="261"/>
      <c r="P172" s="261"/>
      <c r="Q172" s="261"/>
      <c r="R172" s="598"/>
    </row>
    <row r="173" spans="1:18" ht="15" customHeight="1" x14ac:dyDescent="0.2">
      <c r="A173" s="206"/>
      <c r="B173" s="206"/>
      <c r="C173" s="265" t="s">
        <v>492</v>
      </c>
      <c r="D173" s="266" t="s">
        <v>493</v>
      </c>
      <c r="E173" s="267"/>
      <c r="F173" s="210"/>
      <c r="G173" s="268"/>
      <c r="H173" s="268"/>
      <c r="I173" s="268"/>
      <c r="J173" s="268"/>
      <c r="K173" s="268"/>
      <c r="L173" s="268"/>
      <c r="M173" s="268"/>
      <c r="N173" s="268"/>
      <c r="O173" s="268"/>
      <c r="P173" s="268"/>
      <c r="Q173" s="268"/>
      <c r="R173" s="598"/>
    </row>
    <row r="174" spans="1:18" ht="40.5" hidden="1" customHeight="1" x14ac:dyDescent="0.2">
      <c r="A174" s="206"/>
      <c r="B174" s="206"/>
      <c r="C174" s="269" t="s">
        <v>494</v>
      </c>
      <c r="D174" s="684" t="s">
        <v>1120</v>
      </c>
      <c r="E174" s="207"/>
      <c r="F174" s="148">
        <v>132903</v>
      </c>
      <c r="G174" s="198"/>
      <c r="H174" s="198"/>
      <c r="I174" s="198"/>
      <c r="J174" s="268"/>
      <c r="K174" s="268"/>
      <c r="L174" s="268"/>
      <c r="M174" s="268"/>
      <c r="N174" s="268"/>
      <c r="O174" s="268"/>
      <c r="P174" s="268"/>
      <c r="Q174" s="268">
        <f t="shared" ref="Q174:Q182" si="13">SUM(G174:P174)</f>
        <v>0</v>
      </c>
      <c r="R174" s="598"/>
    </row>
    <row r="175" spans="1:18" ht="17.100000000000001" hidden="1" customHeight="1" x14ac:dyDescent="0.2">
      <c r="A175" s="206"/>
      <c r="B175" s="206"/>
      <c r="C175" s="269" t="s">
        <v>495</v>
      </c>
      <c r="D175" s="685" t="s">
        <v>496</v>
      </c>
      <c r="E175" s="207"/>
      <c r="F175" s="148">
        <v>134920</v>
      </c>
      <c r="G175" s="198"/>
      <c r="H175" s="198"/>
      <c r="I175" s="198"/>
      <c r="J175" s="268"/>
      <c r="K175" s="268"/>
      <c r="L175" s="268"/>
      <c r="M175" s="268"/>
      <c r="N175" s="268"/>
      <c r="O175" s="268"/>
      <c r="P175" s="268"/>
      <c r="Q175" s="268">
        <f t="shared" si="13"/>
        <v>0</v>
      </c>
      <c r="R175" s="598"/>
    </row>
    <row r="176" spans="1:18" ht="17.100000000000001" hidden="1" customHeight="1" x14ac:dyDescent="0.2">
      <c r="A176" s="206"/>
      <c r="B176" s="206"/>
      <c r="C176" s="269" t="s">
        <v>497</v>
      </c>
      <c r="D176" s="686" t="s">
        <v>498</v>
      </c>
      <c r="E176" s="270"/>
      <c r="F176" s="148">
        <v>134995</v>
      </c>
      <c r="G176" s="198"/>
      <c r="H176" s="198"/>
      <c r="I176" s="198"/>
      <c r="J176" s="268"/>
      <c r="K176" s="268"/>
      <c r="L176" s="268"/>
      <c r="M176" s="268"/>
      <c r="N176" s="268"/>
      <c r="O176" s="268"/>
      <c r="P176" s="268"/>
      <c r="Q176" s="268">
        <f t="shared" si="13"/>
        <v>0</v>
      </c>
      <c r="R176" s="598"/>
    </row>
    <row r="177" spans="1:18" ht="17.100000000000001" hidden="1" customHeight="1" x14ac:dyDescent="0.2">
      <c r="A177" s="206"/>
      <c r="B177" s="206"/>
      <c r="C177" s="269" t="s">
        <v>499</v>
      </c>
      <c r="D177" s="687" t="s">
        <v>1121</v>
      </c>
      <c r="E177" s="270"/>
      <c r="F177" s="148">
        <v>134943</v>
      </c>
      <c r="G177" s="198"/>
      <c r="H177" s="198"/>
      <c r="I177" s="198"/>
      <c r="J177" s="268"/>
      <c r="K177" s="268"/>
      <c r="L177" s="268"/>
      <c r="M177" s="268"/>
      <c r="N177" s="268"/>
      <c r="O177" s="268"/>
      <c r="P177" s="268"/>
      <c r="Q177" s="268">
        <f t="shared" si="13"/>
        <v>0</v>
      </c>
      <c r="R177" s="598"/>
    </row>
    <row r="178" spans="1:18" ht="17.100000000000001" hidden="1" customHeight="1" x14ac:dyDescent="0.2">
      <c r="A178" s="206"/>
      <c r="B178" s="206"/>
      <c r="C178" s="269" t="s">
        <v>500</v>
      </c>
      <c r="D178" s="687" t="s">
        <v>1122</v>
      </c>
      <c r="E178" s="270"/>
      <c r="F178" s="148">
        <v>134944</v>
      </c>
      <c r="G178" s="198"/>
      <c r="H178" s="198"/>
      <c r="I178" s="198"/>
      <c r="J178" s="268"/>
      <c r="K178" s="268"/>
      <c r="L178" s="268"/>
      <c r="M178" s="268"/>
      <c r="N178" s="268"/>
      <c r="O178" s="268"/>
      <c r="P178" s="268"/>
      <c r="Q178" s="268">
        <f t="shared" si="13"/>
        <v>0</v>
      </c>
      <c r="R178" s="598"/>
    </row>
    <row r="179" spans="1:18" ht="21.75" hidden="1" customHeight="1" x14ac:dyDescent="0.2">
      <c r="A179" s="206"/>
      <c r="B179" s="206"/>
      <c r="C179" s="269" t="s">
        <v>501</v>
      </c>
      <c r="D179" s="686" t="s">
        <v>504</v>
      </c>
      <c r="E179" s="207"/>
      <c r="F179" s="148">
        <v>132904</v>
      </c>
      <c r="G179" s="198"/>
      <c r="H179" s="198"/>
      <c r="I179" s="198"/>
      <c r="J179" s="268"/>
      <c r="K179" s="268"/>
      <c r="L179" s="268"/>
      <c r="M179" s="268"/>
      <c r="N179" s="268"/>
      <c r="O179" s="268"/>
      <c r="P179" s="268"/>
      <c r="Q179" s="268">
        <f t="shared" si="13"/>
        <v>0</v>
      </c>
      <c r="R179" s="598"/>
    </row>
    <row r="180" spans="1:18" ht="18.75" customHeight="1" x14ac:dyDescent="0.2">
      <c r="A180" s="206"/>
      <c r="B180" s="206"/>
      <c r="C180" s="269" t="s">
        <v>502</v>
      </c>
      <c r="D180" s="686" t="s">
        <v>506</v>
      </c>
      <c r="E180" s="207"/>
      <c r="F180" s="148">
        <v>134908</v>
      </c>
      <c r="G180" s="198"/>
      <c r="H180" s="198"/>
      <c r="I180" s="198"/>
      <c r="J180" s="268"/>
      <c r="K180" s="268"/>
      <c r="L180" s="268"/>
      <c r="M180" s="268">
        <v>-509</v>
      </c>
      <c r="N180" s="268"/>
      <c r="O180" s="268"/>
      <c r="P180" s="268"/>
      <c r="Q180" s="268">
        <f t="shared" si="13"/>
        <v>-509</v>
      </c>
      <c r="R180" s="598" t="s">
        <v>1366</v>
      </c>
    </row>
    <row r="181" spans="1:18" ht="18" hidden="1" customHeight="1" x14ac:dyDescent="0.2">
      <c r="A181" s="206"/>
      <c r="B181" s="206"/>
      <c r="C181" s="269" t="s">
        <v>503</v>
      </c>
      <c r="D181" s="686" t="s">
        <v>1021</v>
      </c>
      <c r="E181" s="207"/>
      <c r="F181" s="148">
        <v>134938</v>
      </c>
      <c r="G181" s="198"/>
      <c r="H181" s="198"/>
      <c r="I181" s="198"/>
      <c r="J181" s="268"/>
      <c r="K181" s="268"/>
      <c r="L181" s="268"/>
      <c r="M181" s="268"/>
      <c r="N181" s="268"/>
      <c r="O181" s="268"/>
      <c r="P181" s="268"/>
      <c r="Q181" s="268">
        <f t="shared" si="13"/>
        <v>0</v>
      </c>
      <c r="R181" s="598"/>
    </row>
    <row r="182" spans="1:18" ht="18" customHeight="1" x14ac:dyDescent="0.2">
      <c r="A182" s="206"/>
      <c r="B182" s="206"/>
      <c r="C182" s="269" t="s">
        <v>505</v>
      </c>
      <c r="D182" s="686" t="s">
        <v>1123</v>
      </c>
      <c r="E182" s="207"/>
      <c r="F182" s="148">
        <v>134942</v>
      </c>
      <c r="G182" s="198"/>
      <c r="H182" s="198"/>
      <c r="I182" s="198"/>
      <c r="J182" s="268"/>
      <c r="K182" s="268"/>
      <c r="L182" s="268">
        <v>4177</v>
      </c>
      <c r="M182" s="268">
        <v>-3668</v>
      </c>
      <c r="N182" s="268"/>
      <c r="O182" s="268"/>
      <c r="P182" s="268"/>
      <c r="Q182" s="268">
        <f t="shared" si="13"/>
        <v>509</v>
      </c>
      <c r="R182" s="598" t="s">
        <v>1366</v>
      </c>
    </row>
    <row r="183" spans="1:18" ht="15" customHeight="1" x14ac:dyDescent="0.2">
      <c r="A183" s="206"/>
      <c r="B183" s="206"/>
      <c r="C183" s="259" t="s">
        <v>507</v>
      </c>
      <c r="D183" s="271" t="s">
        <v>508</v>
      </c>
      <c r="E183" s="207"/>
      <c r="F183" s="148"/>
      <c r="G183" s="198"/>
      <c r="H183" s="198"/>
      <c r="I183" s="198"/>
      <c r="J183" s="268"/>
      <c r="K183" s="268"/>
      <c r="L183" s="268"/>
      <c r="M183" s="268"/>
      <c r="N183" s="268"/>
      <c r="O183" s="268"/>
      <c r="P183" s="268"/>
      <c r="Q183" s="268"/>
      <c r="R183" s="598"/>
    </row>
    <row r="184" spans="1:18" ht="26.25" hidden="1" customHeight="1" x14ac:dyDescent="0.2">
      <c r="A184" s="206"/>
      <c r="B184" s="206"/>
      <c r="C184" s="272" t="s">
        <v>509</v>
      </c>
      <c r="D184" s="688" t="s">
        <v>510</v>
      </c>
      <c r="E184" s="587"/>
      <c r="F184" s="582">
        <v>134928</v>
      </c>
      <c r="G184" s="198"/>
      <c r="H184" s="198"/>
      <c r="I184" s="198"/>
      <c r="J184" s="268"/>
      <c r="K184" s="268"/>
      <c r="L184" s="268"/>
      <c r="M184" s="268"/>
      <c r="N184" s="268"/>
      <c r="O184" s="268"/>
      <c r="P184" s="268"/>
      <c r="Q184" s="268">
        <f>SUM(G184:P184)</f>
        <v>0</v>
      </c>
      <c r="R184" s="598"/>
    </row>
    <row r="185" spans="1:18" ht="15" hidden="1" customHeight="1" x14ac:dyDescent="0.2">
      <c r="A185" s="206"/>
      <c r="B185" s="206"/>
      <c r="C185" s="272" t="s">
        <v>511</v>
      </c>
      <c r="D185" s="689" t="s">
        <v>512</v>
      </c>
      <c r="E185" s="587"/>
      <c r="F185" s="582">
        <v>134914</v>
      </c>
      <c r="G185" s="198"/>
      <c r="H185" s="198"/>
      <c r="I185" s="198"/>
      <c r="J185" s="268"/>
      <c r="K185" s="268"/>
      <c r="L185" s="268"/>
      <c r="M185" s="268"/>
      <c r="N185" s="268"/>
      <c r="O185" s="268"/>
      <c r="P185" s="268"/>
      <c r="Q185" s="268">
        <f t="shared" ref="Q185:Q190" si="14">SUM(L185:P185)</f>
        <v>0</v>
      </c>
      <c r="R185" s="598"/>
    </row>
    <row r="186" spans="1:18" ht="15" hidden="1" customHeight="1" x14ac:dyDescent="0.2">
      <c r="A186" s="206"/>
      <c r="B186" s="206"/>
      <c r="C186" s="272" t="s">
        <v>513</v>
      </c>
      <c r="D186" s="690" t="s">
        <v>514</v>
      </c>
      <c r="E186" s="587"/>
      <c r="F186" s="582">
        <v>132905</v>
      </c>
      <c r="G186" s="198"/>
      <c r="H186" s="198"/>
      <c r="I186" s="198"/>
      <c r="J186" s="268"/>
      <c r="K186" s="268"/>
      <c r="L186" s="268"/>
      <c r="M186" s="268"/>
      <c r="N186" s="268"/>
      <c r="O186" s="268"/>
      <c r="P186" s="268"/>
      <c r="Q186" s="268">
        <f t="shared" si="14"/>
        <v>0</v>
      </c>
      <c r="R186" s="598"/>
    </row>
    <row r="187" spans="1:18" ht="15" hidden="1" customHeight="1" x14ac:dyDescent="0.2">
      <c r="A187" s="206"/>
      <c r="B187" s="206"/>
      <c r="C187" s="272" t="s">
        <v>515</v>
      </c>
      <c r="D187" s="691" t="s">
        <v>1124</v>
      </c>
      <c r="E187" s="587"/>
      <c r="F187" s="582">
        <v>134945</v>
      </c>
      <c r="G187" s="198"/>
      <c r="H187" s="198"/>
      <c r="I187" s="198"/>
      <c r="J187" s="268"/>
      <c r="K187" s="268"/>
      <c r="L187" s="268"/>
      <c r="M187" s="268"/>
      <c r="N187" s="268"/>
      <c r="O187" s="268"/>
      <c r="P187" s="268"/>
      <c r="Q187" s="268">
        <f t="shared" si="14"/>
        <v>0</v>
      </c>
      <c r="R187" s="598"/>
    </row>
    <row r="188" spans="1:18" ht="21" customHeight="1" x14ac:dyDescent="0.2">
      <c r="A188" s="206"/>
      <c r="B188" s="206"/>
      <c r="C188" s="272" t="s">
        <v>516</v>
      </c>
      <c r="D188" s="689" t="s">
        <v>999</v>
      </c>
      <c r="E188" s="587"/>
      <c r="F188" s="582">
        <v>134930</v>
      </c>
      <c r="G188" s="198"/>
      <c r="H188" s="198"/>
      <c r="I188" s="198"/>
      <c r="J188" s="268"/>
      <c r="K188" s="268"/>
      <c r="L188" s="268"/>
      <c r="M188" s="268"/>
      <c r="N188" s="268">
        <v>2699</v>
      </c>
      <c r="O188" s="268"/>
      <c r="P188" s="268"/>
      <c r="Q188" s="268">
        <f t="shared" si="14"/>
        <v>2699</v>
      </c>
      <c r="R188" s="598" t="s">
        <v>1365</v>
      </c>
    </row>
    <row r="189" spans="1:18" ht="21.75" hidden="1" customHeight="1" x14ac:dyDescent="0.2">
      <c r="A189" s="206"/>
      <c r="B189" s="206"/>
      <c r="C189" s="272" t="s">
        <v>517</v>
      </c>
      <c r="D189" s="689" t="s">
        <v>1008</v>
      </c>
      <c r="E189" s="587"/>
      <c r="F189" s="582">
        <v>132933</v>
      </c>
      <c r="G189" s="198"/>
      <c r="H189" s="198"/>
      <c r="I189" s="198"/>
      <c r="J189" s="268"/>
      <c r="K189" s="268"/>
      <c r="L189" s="268"/>
      <c r="M189" s="268"/>
      <c r="N189" s="268"/>
      <c r="O189" s="268"/>
      <c r="P189" s="268"/>
      <c r="Q189" s="268">
        <f t="shared" si="14"/>
        <v>0</v>
      </c>
      <c r="R189" s="598"/>
    </row>
    <row r="190" spans="1:18" ht="21.75" hidden="1" customHeight="1" x14ac:dyDescent="0.2">
      <c r="A190" s="585"/>
      <c r="B190" s="585"/>
      <c r="C190" s="579" t="s">
        <v>1285</v>
      </c>
      <c r="D190" s="689" t="s">
        <v>1286</v>
      </c>
      <c r="E190" s="587"/>
      <c r="F190" s="582">
        <v>134965</v>
      </c>
      <c r="G190" s="586"/>
      <c r="H190" s="586"/>
      <c r="I190" s="586"/>
      <c r="J190" s="693"/>
      <c r="K190" s="693"/>
      <c r="L190" s="693"/>
      <c r="M190" s="693"/>
      <c r="N190" s="693"/>
      <c r="O190" s="693"/>
      <c r="P190" s="693"/>
      <c r="Q190" s="268">
        <f t="shared" si="14"/>
        <v>0</v>
      </c>
      <c r="R190" s="598"/>
    </row>
    <row r="191" spans="1:18" ht="15" customHeight="1" x14ac:dyDescent="0.2">
      <c r="A191" s="206"/>
      <c r="B191" s="206"/>
      <c r="C191" s="274" t="s">
        <v>99</v>
      </c>
      <c r="D191" s="263" t="s">
        <v>395</v>
      </c>
      <c r="E191" s="209"/>
      <c r="F191" s="148"/>
      <c r="G191" s="198"/>
      <c r="H191" s="198"/>
      <c r="I191" s="198"/>
      <c r="J191" s="268"/>
      <c r="K191" s="268"/>
      <c r="L191" s="268"/>
      <c r="M191" s="268"/>
      <c r="N191" s="268"/>
      <c r="O191" s="268"/>
      <c r="P191" s="268"/>
      <c r="Q191" s="268"/>
      <c r="R191" s="598"/>
    </row>
    <row r="192" spans="1:18" ht="24" hidden="1" customHeight="1" x14ac:dyDescent="0.2">
      <c r="A192" s="206"/>
      <c r="B192" s="206"/>
      <c r="C192" s="579" t="s">
        <v>518</v>
      </c>
      <c r="D192" s="580" t="s">
        <v>1125</v>
      </c>
      <c r="E192" s="692"/>
      <c r="F192" s="582">
        <v>134946</v>
      </c>
      <c r="G192" s="198"/>
      <c r="H192" s="198"/>
      <c r="I192" s="198"/>
      <c r="J192" s="268"/>
      <c r="K192" s="268"/>
      <c r="L192" s="268"/>
      <c r="M192" s="268"/>
      <c r="N192" s="268"/>
      <c r="O192" s="268"/>
      <c r="P192" s="268"/>
      <c r="Q192" s="268">
        <f>SUM(G192:P192)</f>
        <v>0</v>
      </c>
      <c r="R192" s="598"/>
    </row>
    <row r="193" spans="1:18" ht="17.25" customHeight="1" x14ac:dyDescent="0.2">
      <c r="A193" s="206"/>
      <c r="B193" s="206"/>
      <c r="C193" s="579" t="s">
        <v>519</v>
      </c>
      <c r="D193" s="694" t="s">
        <v>1126</v>
      </c>
      <c r="E193" s="692"/>
      <c r="F193" s="582">
        <v>134947</v>
      </c>
      <c r="G193" s="198"/>
      <c r="H193" s="198"/>
      <c r="I193" s="198"/>
      <c r="J193" s="268"/>
      <c r="K193" s="268"/>
      <c r="L193" s="268"/>
      <c r="M193" s="268">
        <v>5785</v>
      </c>
      <c r="N193" s="268"/>
      <c r="O193" s="268"/>
      <c r="P193" s="268"/>
      <c r="Q193" s="268">
        <f>SUM(G193:P193)</f>
        <v>5785</v>
      </c>
      <c r="R193" s="598" t="s">
        <v>1366</v>
      </c>
    </row>
    <row r="194" spans="1:18" ht="23.25" hidden="1" customHeight="1" x14ac:dyDescent="0.2">
      <c r="A194" s="206"/>
      <c r="B194" s="206"/>
      <c r="C194" s="579" t="s">
        <v>1005</v>
      </c>
      <c r="D194" s="580" t="s">
        <v>1127</v>
      </c>
      <c r="E194" s="692"/>
      <c r="F194" s="582">
        <v>134948</v>
      </c>
      <c r="G194" s="198"/>
      <c r="H194" s="198"/>
      <c r="I194" s="198"/>
      <c r="J194" s="268"/>
      <c r="K194" s="268"/>
      <c r="L194" s="268"/>
      <c r="M194" s="268"/>
      <c r="N194" s="268"/>
      <c r="O194" s="268"/>
      <c r="P194" s="268"/>
      <c r="Q194" s="268">
        <f>SUM(G194:P194)</f>
        <v>0</v>
      </c>
      <c r="R194" s="598"/>
    </row>
    <row r="195" spans="1:18" ht="22.5" hidden="1" customHeight="1" x14ac:dyDescent="0.2">
      <c r="A195" s="585"/>
      <c r="B195" s="585"/>
      <c r="C195" s="579" t="s">
        <v>1128</v>
      </c>
      <c r="D195" s="580" t="s">
        <v>1129</v>
      </c>
      <c r="E195" s="587"/>
      <c r="F195" s="582">
        <v>134949</v>
      </c>
      <c r="G195" s="586"/>
      <c r="H195" s="586"/>
      <c r="I195" s="586"/>
      <c r="J195" s="693"/>
      <c r="K195" s="693"/>
      <c r="L195" s="693"/>
      <c r="M195" s="693"/>
      <c r="N195" s="693"/>
      <c r="O195" s="693"/>
      <c r="P195" s="693"/>
      <c r="Q195" s="268">
        <f t="shared" ref="Q195:Q201" si="15">SUM(G195:P195)</f>
        <v>0</v>
      </c>
      <c r="R195" s="598"/>
    </row>
    <row r="196" spans="1:18" ht="17.25" customHeight="1" x14ac:dyDescent="0.2">
      <c r="A196" s="585"/>
      <c r="B196" s="585"/>
      <c r="C196" s="579" t="s">
        <v>1130</v>
      </c>
      <c r="D196" s="347" t="s">
        <v>1131</v>
      </c>
      <c r="E196" s="692"/>
      <c r="F196" s="582">
        <v>132913</v>
      </c>
      <c r="G196" s="586"/>
      <c r="H196" s="586"/>
      <c r="I196" s="586"/>
      <c r="J196" s="693"/>
      <c r="K196" s="693"/>
      <c r="L196" s="693">
        <v>1397</v>
      </c>
      <c r="M196" s="693"/>
      <c r="N196" s="693"/>
      <c r="O196" s="693"/>
      <c r="P196" s="693"/>
      <c r="Q196" s="268">
        <f t="shared" si="15"/>
        <v>1397</v>
      </c>
      <c r="R196" s="598" t="s">
        <v>1365</v>
      </c>
    </row>
    <row r="197" spans="1:18" ht="17.25" customHeight="1" x14ac:dyDescent="0.2">
      <c r="A197" s="585"/>
      <c r="B197" s="585"/>
      <c r="C197" s="578" t="s">
        <v>1287</v>
      </c>
      <c r="D197" s="347" t="s">
        <v>1288</v>
      </c>
      <c r="E197" s="692"/>
      <c r="F197" s="582">
        <v>132917</v>
      </c>
      <c r="G197" s="586"/>
      <c r="H197" s="586"/>
      <c r="I197" s="586">
        <v>540</v>
      </c>
      <c r="J197" s="693"/>
      <c r="K197" s="693"/>
      <c r="L197" s="693">
        <v>-540</v>
      </c>
      <c r="M197" s="693"/>
      <c r="N197" s="693"/>
      <c r="O197" s="693"/>
      <c r="P197" s="693"/>
      <c r="Q197" s="268">
        <f t="shared" si="15"/>
        <v>0</v>
      </c>
      <c r="R197" s="598" t="s">
        <v>1365</v>
      </c>
    </row>
    <row r="198" spans="1:18" ht="17.25" hidden="1" customHeight="1" x14ac:dyDescent="0.2">
      <c r="A198" s="585"/>
      <c r="B198" s="585"/>
      <c r="C198" s="578" t="s">
        <v>1289</v>
      </c>
      <c r="D198" s="347" t="s">
        <v>1290</v>
      </c>
      <c r="E198" s="692"/>
      <c r="F198" s="582">
        <v>132918</v>
      </c>
      <c r="G198" s="586"/>
      <c r="H198" s="586"/>
      <c r="I198" s="586"/>
      <c r="J198" s="693"/>
      <c r="K198" s="693"/>
      <c r="L198" s="693"/>
      <c r="M198" s="693"/>
      <c r="N198" s="693"/>
      <c r="O198" s="693"/>
      <c r="P198" s="693"/>
      <c r="Q198" s="268">
        <f t="shared" si="15"/>
        <v>0</v>
      </c>
      <c r="R198" s="598"/>
    </row>
    <row r="199" spans="1:18" ht="17.25" hidden="1" customHeight="1" x14ac:dyDescent="0.2">
      <c r="A199" s="585"/>
      <c r="B199" s="585"/>
      <c r="C199" s="578" t="s">
        <v>1291</v>
      </c>
      <c r="D199" s="347" t="s">
        <v>1292</v>
      </c>
      <c r="E199" s="692"/>
      <c r="F199" s="582">
        <v>132919</v>
      </c>
      <c r="G199" s="586"/>
      <c r="H199" s="586"/>
      <c r="I199" s="586"/>
      <c r="J199" s="693"/>
      <c r="K199" s="693"/>
      <c r="L199" s="693"/>
      <c r="M199" s="693"/>
      <c r="N199" s="693"/>
      <c r="O199" s="693"/>
      <c r="P199" s="693"/>
      <c r="Q199" s="268">
        <f t="shared" si="15"/>
        <v>0</v>
      </c>
      <c r="R199" s="598"/>
    </row>
    <row r="200" spans="1:18" ht="17.25" customHeight="1" x14ac:dyDescent="0.2">
      <c r="A200" s="585"/>
      <c r="B200" s="585"/>
      <c r="C200" s="578" t="s">
        <v>1293</v>
      </c>
      <c r="D200" s="347" t="s">
        <v>1294</v>
      </c>
      <c r="E200" s="692"/>
      <c r="F200" s="582">
        <v>134966</v>
      </c>
      <c r="G200" s="586"/>
      <c r="H200" s="586"/>
      <c r="I200" s="586"/>
      <c r="J200" s="693"/>
      <c r="K200" s="693"/>
      <c r="L200" s="693"/>
      <c r="M200" s="693">
        <v>4000</v>
      </c>
      <c r="N200" s="693"/>
      <c r="O200" s="693"/>
      <c r="P200" s="693"/>
      <c r="Q200" s="268">
        <f t="shared" si="15"/>
        <v>4000</v>
      </c>
      <c r="R200" s="598" t="s">
        <v>1366</v>
      </c>
    </row>
    <row r="201" spans="1:18" ht="17.25" hidden="1" customHeight="1" x14ac:dyDescent="0.2">
      <c r="A201" s="585"/>
      <c r="B201" s="585"/>
      <c r="C201" s="578" t="s">
        <v>1295</v>
      </c>
      <c r="D201" s="347" t="s">
        <v>1296</v>
      </c>
      <c r="E201" s="692"/>
      <c r="F201" s="582">
        <v>132920</v>
      </c>
      <c r="G201" s="586"/>
      <c r="H201" s="586"/>
      <c r="I201" s="586"/>
      <c r="J201" s="693"/>
      <c r="K201" s="693"/>
      <c r="L201" s="693"/>
      <c r="M201" s="693"/>
      <c r="N201" s="693"/>
      <c r="O201" s="693"/>
      <c r="P201" s="693"/>
      <c r="Q201" s="268">
        <f t="shared" si="15"/>
        <v>0</v>
      </c>
      <c r="R201" s="598"/>
    </row>
    <row r="202" spans="1:18" ht="15" customHeight="1" x14ac:dyDescent="0.2">
      <c r="A202" s="206"/>
      <c r="B202" s="206"/>
      <c r="C202" s="835" t="s">
        <v>101</v>
      </c>
      <c r="D202" s="263" t="s">
        <v>520</v>
      </c>
      <c r="E202" s="207"/>
      <c r="F202" s="148"/>
      <c r="G202" s="198"/>
      <c r="H202" s="198"/>
      <c r="I202" s="198"/>
      <c r="J202" s="268"/>
      <c r="K202" s="268"/>
      <c r="L202" s="268"/>
      <c r="M202" s="268"/>
      <c r="N202" s="268"/>
      <c r="O202" s="268"/>
      <c r="P202" s="268"/>
      <c r="Q202" s="268"/>
      <c r="R202" s="598"/>
    </row>
    <row r="203" spans="1:18" ht="15" hidden="1" customHeight="1" x14ac:dyDescent="0.2">
      <c r="A203" s="206"/>
      <c r="B203" s="206"/>
      <c r="C203" s="273" t="s">
        <v>521</v>
      </c>
      <c r="D203" s="221" t="s">
        <v>523</v>
      </c>
      <c r="E203" s="207"/>
      <c r="F203" s="148">
        <v>134926</v>
      </c>
      <c r="G203" s="198"/>
      <c r="H203" s="198"/>
      <c r="I203" s="198"/>
      <c r="J203" s="268"/>
      <c r="K203" s="268"/>
      <c r="L203" s="268"/>
      <c r="M203" s="268"/>
      <c r="N203" s="268"/>
      <c r="O203" s="268"/>
      <c r="P203" s="268"/>
      <c r="Q203" s="268">
        <f>SUM(G203:P203)</f>
        <v>0</v>
      </c>
      <c r="R203" s="598"/>
    </row>
    <row r="204" spans="1:18" ht="15" customHeight="1" x14ac:dyDescent="0.2">
      <c r="A204" s="585"/>
      <c r="B204" s="585"/>
      <c r="C204" s="578" t="s">
        <v>1297</v>
      </c>
      <c r="D204" s="690" t="s">
        <v>1298</v>
      </c>
      <c r="E204" s="587"/>
      <c r="F204" s="582">
        <v>132935</v>
      </c>
      <c r="G204" s="586"/>
      <c r="H204" s="586"/>
      <c r="I204" s="586"/>
      <c r="J204" s="693"/>
      <c r="K204" s="693"/>
      <c r="L204" s="693">
        <v>-9992</v>
      </c>
      <c r="M204" s="693">
        <v>9992</v>
      </c>
      <c r="N204" s="693"/>
      <c r="O204" s="693"/>
      <c r="P204" s="693"/>
      <c r="Q204" s="268">
        <f>SUM(G204:P204)</f>
        <v>0</v>
      </c>
      <c r="R204" s="598" t="s">
        <v>1366</v>
      </c>
    </row>
    <row r="205" spans="1:18" ht="13.5" x14ac:dyDescent="0.2">
      <c r="A205" s="502"/>
      <c r="B205" s="502"/>
      <c r="C205" s="206" t="s">
        <v>102</v>
      </c>
      <c r="D205" s="507" t="s">
        <v>1006</v>
      </c>
      <c r="E205" s="503"/>
      <c r="F205" s="504"/>
      <c r="G205" s="505"/>
      <c r="H205" s="505"/>
      <c r="I205" s="505"/>
      <c r="J205" s="506"/>
      <c r="K205" s="506"/>
      <c r="L205" s="506"/>
      <c r="M205" s="506"/>
      <c r="N205" s="506"/>
      <c r="O205" s="506"/>
      <c r="P205" s="506"/>
      <c r="Q205" s="268"/>
      <c r="R205" s="598"/>
    </row>
    <row r="206" spans="1:18" ht="24" hidden="1" x14ac:dyDescent="0.2">
      <c r="A206" s="502"/>
      <c r="B206" s="502"/>
      <c r="C206" s="578" t="s">
        <v>657</v>
      </c>
      <c r="D206" s="695" t="s">
        <v>1132</v>
      </c>
      <c r="E206" s="587"/>
      <c r="F206" s="582">
        <v>132924</v>
      </c>
      <c r="G206" s="505"/>
      <c r="H206" s="505"/>
      <c r="I206" s="505"/>
      <c r="J206" s="506"/>
      <c r="K206" s="506"/>
      <c r="L206" s="506"/>
      <c r="M206" s="506"/>
      <c r="N206" s="506"/>
      <c r="O206" s="506"/>
      <c r="P206" s="506"/>
      <c r="Q206" s="268">
        <f t="shared" ref="Q206:Q211" si="16">SUM(G206:P206)</f>
        <v>0</v>
      </c>
      <c r="R206" s="598"/>
    </row>
    <row r="207" spans="1:18" ht="16.5" customHeight="1" x14ac:dyDescent="0.2">
      <c r="A207" s="585"/>
      <c r="B207" s="585"/>
      <c r="C207" s="579" t="s">
        <v>1133</v>
      </c>
      <c r="D207" s="696" t="s">
        <v>1134</v>
      </c>
      <c r="E207" s="587"/>
      <c r="F207" s="582">
        <v>134961</v>
      </c>
      <c r="G207" s="586"/>
      <c r="H207" s="586"/>
      <c r="I207" s="586"/>
      <c r="J207" s="693"/>
      <c r="K207" s="693"/>
      <c r="L207" s="693">
        <v>1492</v>
      </c>
      <c r="M207" s="693"/>
      <c r="N207" s="693"/>
      <c r="O207" s="693"/>
      <c r="P207" s="693"/>
      <c r="Q207" s="268">
        <f t="shared" si="16"/>
        <v>1492</v>
      </c>
      <c r="R207" s="598" t="s">
        <v>1366</v>
      </c>
    </row>
    <row r="208" spans="1:18" ht="15.75" customHeight="1" x14ac:dyDescent="0.2">
      <c r="A208" s="585"/>
      <c r="B208" s="585"/>
      <c r="C208" s="579" t="s">
        <v>1135</v>
      </c>
      <c r="D208" s="580" t="s">
        <v>1368</v>
      </c>
      <c r="E208" s="587"/>
      <c r="F208" s="582">
        <v>134962</v>
      </c>
      <c r="G208" s="586"/>
      <c r="H208" s="586"/>
      <c r="I208" s="586"/>
      <c r="J208" s="693"/>
      <c r="K208" s="693"/>
      <c r="L208" s="693"/>
      <c r="M208" s="693">
        <v>3000</v>
      </c>
      <c r="N208" s="693">
        <v>-3000</v>
      </c>
      <c r="O208" s="693"/>
      <c r="P208" s="693"/>
      <c r="Q208" s="268">
        <f t="shared" si="16"/>
        <v>0</v>
      </c>
      <c r="R208" s="598" t="s">
        <v>1366</v>
      </c>
    </row>
    <row r="209" spans="1:18" ht="15.75" hidden="1" customHeight="1" x14ac:dyDescent="0.2">
      <c r="A209" s="585"/>
      <c r="B209" s="585"/>
      <c r="C209" s="579" t="s">
        <v>1299</v>
      </c>
      <c r="D209" s="580" t="s">
        <v>1300</v>
      </c>
      <c r="E209" s="587"/>
      <c r="F209" s="582">
        <v>134967</v>
      </c>
      <c r="G209" s="586"/>
      <c r="H209" s="586"/>
      <c r="I209" s="586"/>
      <c r="J209" s="693"/>
      <c r="K209" s="693"/>
      <c r="L209" s="693"/>
      <c r="M209" s="693"/>
      <c r="N209" s="693"/>
      <c r="O209" s="693"/>
      <c r="P209" s="693"/>
      <c r="Q209" s="268">
        <f t="shared" si="16"/>
        <v>0</v>
      </c>
      <c r="R209" s="598"/>
    </row>
    <row r="210" spans="1:18" ht="15.75" customHeight="1" x14ac:dyDescent="0.2">
      <c r="A210" s="863"/>
      <c r="B210" s="863"/>
      <c r="C210" s="879" t="s">
        <v>1405</v>
      </c>
      <c r="D210" s="904" t="s">
        <v>1406</v>
      </c>
      <c r="E210" s="865"/>
      <c r="F210" s="940">
        <v>134951</v>
      </c>
      <c r="G210" s="881"/>
      <c r="H210" s="881"/>
      <c r="I210" s="881"/>
      <c r="J210" s="880"/>
      <c r="K210" s="880"/>
      <c r="L210" s="880"/>
      <c r="M210" s="880">
        <v>2500</v>
      </c>
      <c r="N210" s="880"/>
      <c r="O210" s="880"/>
      <c r="P210" s="880"/>
      <c r="Q210" s="268">
        <f t="shared" si="16"/>
        <v>2500</v>
      </c>
      <c r="R210" s="867" t="s">
        <v>1365</v>
      </c>
    </row>
    <row r="211" spans="1:18" ht="15.75" customHeight="1" x14ac:dyDescent="0.2">
      <c r="A211" s="863"/>
      <c r="B211" s="863"/>
      <c r="C211" s="879" t="s">
        <v>1407</v>
      </c>
      <c r="D211" s="939" t="s">
        <v>1408</v>
      </c>
      <c r="E211" s="865"/>
      <c r="F211" s="866">
        <v>132999</v>
      </c>
      <c r="G211" s="881"/>
      <c r="H211" s="881"/>
      <c r="I211" s="881"/>
      <c r="J211" s="880"/>
      <c r="K211" s="880"/>
      <c r="L211" s="880">
        <v>1500</v>
      </c>
      <c r="M211" s="880"/>
      <c r="N211" s="880"/>
      <c r="O211" s="880"/>
      <c r="P211" s="880"/>
      <c r="Q211" s="268">
        <f t="shared" si="16"/>
        <v>1500</v>
      </c>
      <c r="R211" s="867" t="s">
        <v>1366</v>
      </c>
    </row>
    <row r="212" spans="1:18" ht="15" hidden="1" customHeight="1" x14ac:dyDescent="0.2">
      <c r="A212" s="206"/>
      <c r="B212" s="206"/>
      <c r="C212" s="259" t="s">
        <v>89</v>
      </c>
      <c r="D212" s="276" t="s">
        <v>1145</v>
      </c>
      <c r="E212" s="209"/>
      <c r="F212" s="210"/>
      <c r="G212" s="198"/>
      <c r="H212" s="198"/>
      <c r="I212" s="198"/>
      <c r="J212" s="268"/>
      <c r="K212" s="268"/>
      <c r="L212" s="268"/>
      <c r="M212" s="268"/>
      <c r="N212" s="268"/>
      <c r="O212" s="268"/>
      <c r="P212" s="268"/>
      <c r="Q212" s="268"/>
      <c r="R212" s="598"/>
    </row>
    <row r="213" spans="1:18" ht="24" hidden="1" customHeight="1" x14ac:dyDescent="0.2">
      <c r="A213" s="206"/>
      <c r="B213" s="206"/>
      <c r="C213" s="579" t="s">
        <v>524</v>
      </c>
      <c r="D213" s="697" t="s">
        <v>527</v>
      </c>
      <c r="E213" s="698"/>
      <c r="F213" s="582">
        <v>132915</v>
      </c>
      <c r="G213" s="198"/>
      <c r="H213" s="198"/>
      <c r="I213" s="198"/>
      <c r="J213" s="268"/>
      <c r="K213" s="268"/>
      <c r="L213" s="268"/>
      <c r="M213" s="268"/>
      <c r="N213" s="268"/>
      <c r="O213" s="268"/>
      <c r="P213" s="268"/>
      <c r="Q213" s="268">
        <f t="shared" ref="Q213:Q216" si="17">SUM(G213:P213)</f>
        <v>0</v>
      </c>
      <c r="R213" s="598"/>
    </row>
    <row r="214" spans="1:18" ht="15.75" hidden="1" customHeight="1" x14ac:dyDescent="0.2">
      <c r="A214" s="206"/>
      <c r="B214" s="206"/>
      <c r="C214" s="579" t="s">
        <v>525</v>
      </c>
      <c r="D214" s="695" t="s">
        <v>1136</v>
      </c>
      <c r="E214" s="587"/>
      <c r="F214" s="582">
        <v>134941</v>
      </c>
      <c r="G214" s="198"/>
      <c r="H214" s="198"/>
      <c r="I214" s="198"/>
      <c r="J214" s="268"/>
      <c r="K214" s="268"/>
      <c r="L214" s="268"/>
      <c r="M214" s="268"/>
      <c r="N214" s="268"/>
      <c r="O214" s="268"/>
      <c r="P214" s="268"/>
      <c r="Q214" s="268">
        <f t="shared" si="17"/>
        <v>0</v>
      </c>
      <c r="R214" s="598"/>
    </row>
    <row r="215" spans="1:18" ht="18" hidden="1" customHeight="1" x14ac:dyDescent="0.2">
      <c r="A215" s="206"/>
      <c r="B215" s="206"/>
      <c r="C215" s="579" t="s">
        <v>526</v>
      </c>
      <c r="D215" s="347" t="s">
        <v>1137</v>
      </c>
      <c r="E215" s="692"/>
      <c r="F215" s="582">
        <v>134939</v>
      </c>
      <c r="G215" s="198"/>
      <c r="H215" s="198"/>
      <c r="I215" s="198"/>
      <c r="J215" s="268"/>
      <c r="K215" s="268"/>
      <c r="L215" s="268"/>
      <c r="M215" s="268"/>
      <c r="N215" s="268"/>
      <c r="O215" s="268"/>
      <c r="P215" s="268"/>
      <c r="Q215" s="268">
        <f t="shared" si="17"/>
        <v>0</v>
      </c>
      <c r="R215" s="598"/>
    </row>
    <row r="216" spans="1:18" ht="26.25" hidden="1" customHeight="1" x14ac:dyDescent="0.2">
      <c r="A216" s="206"/>
      <c r="B216" s="206"/>
      <c r="C216" s="579" t="s">
        <v>528</v>
      </c>
      <c r="D216" s="690" t="s">
        <v>529</v>
      </c>
      <c r="E216" s="699"/>
      <c r="F216" s="582">
        <v>134927</v>
      </c>
      <c r="G216" s="198"/>
      <c r="H216" s="198"/>
      <c r="I216" s="198"/>
      <c r="J216" s="268"/>
      <c r="K216" s="268"/>
      <c r="L216" s="268"/>
      <c r="M216" s="268"/>
      <c r="N216" s="268"/>
      <c r="O216" s="268"/>
      <c r="P216" s="268"/>
      <c r="Q216" s="268">
        <f t="shared" si="17"/>
        <v>0</v>
      </c>
      <c r="R216" s="598"/>
    </row>
    <row r="217" spans="1:18" ht="18.75" customHeight="1" x14ac:dyDescent="0.2">
      <c r="A217" s="200"/>
      <c r="B217" s="200"/>
      <c r="C217" s="201"/>
      <c r="D217" s="159" t="s">
        <v>237</v>
      </c>
      <c r="E217" s="203"/>
      <c r="F217" s="204"/>
      <c r="G217" s="258">
        <f t="shared" ref="G217:Q217" si="18">SUM(G170:G216)</f>
        <v>-100</v>
      </c>
      <c r="H217" s="258">
        <f t="shared" si="18"/>
        <v>-40</v>
      </c>
      <c r="I217" s="258">
        <f t="shared" si="18"/>
        <v>630</v>
      </c>
      <c r="J217" s="258">
        <f t="shared" si="18"/>
        <v>0</v>
      </c>
      <c r="K217" s="258">
        <f t="shared" si="18"/>
        <v>2760</v>
      </c>
      <c r="L217" s="258">
        <f t="shared" si="18"/>
        <v>-1966</v>
      </c>
      <c r="M217" s="258">
        <f t="shared" si="18"/>
        <v>21100</v>
      </c>
      <c r="N217" s="258">
        <f t="shared" si="18"/>
        <v>-181</v>
      </c>
      <c r="O217" s="258">
        <f t="shared" si="18"/>
        <v>0</v>
      </c>
      <c r="P217" s="258">
        <f t="shared" si="18"/>
        <v>0</v>
      </c>
      <c r="Q217" s="258">
        <f t="shared" si="18"/>
        <v>22203</v>
      </c>
      <c r="R217" s="599"/>
    </row>
    <row r="218" spans="1:18" ht="12.95" customHeight="1" x14ac:dyDescent="0.2">
      <c r="A218" s="206">
        <v>1</v>
      </c>
      <c r="B218" s="206">
        <v>14</v>
      </c>
      <c r="C218" s="259"/>
      <c r="D218" s="276" t="s">
        <v>197</v>
      </c>
      <c r="E218" s="209"/>
      <c r="F218" s="210"/>
      <c r="G218" s="210"/>
      <c r="H218" s="179"/>
      <c r="I218" s="179"/>
      <c r="J218" s="179"/>
      <c r="K218" s="179"/>
      <c r="L218" s="179"/>
      <c r="M218" s="210"/>
      <c r="N218" s="210"/>
      <c r="O218" s="210"/>
      <c r="P218" s="210"/>
      <c r="Q218" s="210"/>
      <c r="R218" s="598"/>
    </row>
    <row r="219" spans="1:18" ht="12.95" customHeight="1" x14ac:dyDescent="0.2">
      <c r="A219" s="206"/>
      <c r="B219" s="206"/>
      <c r="C219" s="259"/>
      <c r="D219" s="154" t="s">
        <v>238</v>
      </c>
      <c r="E219" s="209"/>
      <c r="F219" s="210"/>
      <c r="G219" s="210"/>
      <c r="H219" s="179"/>
      <c r="I219" s="179"/>
      <c r="J219" s="179"/>
      <c r="K219" s="179"/>
      <c r="L219" s="179"/>
      <c r="M219" s="210"/>
      <c r="N219" s="210"/>
      <c r="O219" s="210"/>
      <c r="P219" s="210"/>
      <c r="Q219" s="210"/>
      <c r="R219" s="598"/>
    </row>
    <row r="220" spans="1:18" ht="12.95" hidden="1" customHeight="1" x14ac:dyDescent="0.2">
      <c r="A220" s="206"/>
      <c r="B220" s="206"/>
      <c r="C220" s="259"/>
      <c r="D220" s="277" t="s">
        <v>530</v>
      </c>
      <c r="E220" s="148">
        <v>1</v>
      </c>
      <c r="F220" s="148">
        <v>171918</v>
      </c>
      <c r="G220" s="148"/>
      <c r="H220" s="179"/>
      <c r="I220" s="179"/>
      <c r="J220" s="179"/>
      <c r="K220" s="179"/>
      <c r="L220" s="179"/>
      <c r="M220" s="148"/>
      <c r="N220" s="148"/>
      <c r="O220" s="148"/>
      <c r="P220" s="148"/>
      <c r="Q220" s="148">
        <f>SUM(G220:P220)</f>
        <v>0</v>
      </c>
      <c r="R220" s="598"/>
    </row>
    <row r="221" spans="1:18" ht="30" hidden="1" customHeight="1" x14ac:dyDescent="0.2">
      <c r="A221" s="206"/>
      <c r="B221" s="206"/>
      <c r="C221" s="259"/>
      <c r="D221" s="150" t="s">
        <v>531</v>
      </c>
      <c r="E221" s="148">
        <v>1</v>
      </c>
      <c r="F221" s="148">
        <v>171922</v>
      </c>
      <c r="G221" s="148"/>
      <c r="H221" s="179"/>
      <c r="I221" s="179"/>
      <c r="J221" s="179"/>
      <c r="K221" s="179"/>
      <c r="L221" s="179"/>
      <c r="M221" s="148"/>
      <c r="N221" s="148"/>
      <c r="O221" s="148"/>
      <c r="P221" s="148"/>
      <c r="Q221" s="148">
        <f>SUM(G221:P221)</f>
        <v>0</v>
      </c>
      <c r="R221" s="598"/>
    </row>
    <row r="222" spans="1:18" ht="12.95" hidden="1" customHeight="1" x14ac:dyDescent="0.2">
      <c r="A222" s="206"/>
      <c r="B222" s="206"/>
      <c r="C222" s="259"/>
      <c r="D222" s="277" t="s">
        <v>532</v>
      </c>
      <c r="E222" s="148">
        <v>1</v>
      </c>
      <c r="F222" s="148">
        <v>171926</v>
      </c>
      <c r="G222" s="148"/>
      <c r="H222" s="179"/>
      <c r="I222" s="179"/>
      <c r="J222" s="179"/>
      <c r="K222" s="179"/>
      <c r="L222" s="179"/>
      <c r="M222" s="148"/>
      <c r="N222" s="148"/>
      <c r="O222" s="148"/>
      <c r="P222" s="148"/>
      <c r="Q222" s="148">
        <f>SUM(G222:P222)</f>
        <v>0</v>
      </c>
      <c r="R222" s="598"/>
    </row>
    <row r="223" spans="1:18" ht="12.95" customHeight="1" x14ac:dyDescent="0.2">
      <c r="A223" s="206"/>
      <c r="B223" s="206"/>
      <c r="C223" s="259"/>
      <c r="D223" s="277" t="s">
        <v>533</v>
      </c>
      <c r="E223" s="148">
        <v>1</v>
      </c>
      <c r="F223" s="148">
        <v>171967</v>
      </c>
      <c r="G223" s="210"/>
      <c r="H223" s="179"/>
      <c r="I223" s="179">
        <v>110</v>
      </c>
      <c r="J223" s="179"/>
      <c r="K223" s="179"/>
      <c r="L223" s="179"/>
      <c r="M223" s="148"/>
      <c r="N223" s="148"/>
      <c r="O223" s="148"/>
      <c r="P223" s="148"/>
      <c r="Q223" s="148">
        <f>SUM(G223:P223)</f>
        <v>110</v>
      </c>
      <c r="R223" s="598" t="s">
        <v>1365</v>
      </c>
    </row>
    <row r="224" spans="1:18" ht="12.95" customHeight="1" x14ac:dyDescent="0.2">
      <c r="A224" s="200"/>
      <c r="B224" s="200"/>
      <c r="C224" s="201"/>
      <c r="D224" s="159" t="s">
        <v>534</v>
      </c>
      <c r="E224" s="278"/>
      <c r="F224" s="279"/>
      <c r="G224" s="280">
        <f t="shared" ref="G224:Q224" si="19">SUM(G220:G223)</f>
        <v>0</v>
      </c>
      <c r="H224" s="280">
        <f t="shared" si="19"/>
        <v>0</v>
      </c>
      <c r="I224" s="280">
        <f t="shared" si="19"/>
        <v>110</v>
      </c>
      <c r="J224" s="280">
        <f t="shared" si="19"/>
        <v>0</v>
      </c>
      <c r="K224" s="280">
        <f t="shared" si="19"/>
        <v>0</v>
      </c>
      <c r="L224" s="280">
        <f t="shared" si="19"/>
        <v>0</v>
      </c>
      <c r="M224" s="280">
        <f t="shared" si="19"/>
        <v>0</v>
      </c>
      <c r="N224" s="280">
        <f t="shared" si="19"/>
        <v>0</v>
      </c>
      <c r="O224" s="280">
        <f t="shared" si="19"/>
        <v>0</v>
      </c>
      <c r="P224" s="280">
        <f t="shared" si="19"/>
        <v>0</v>
      </c>
      <c r="Q224" s="280">
        <f t="shared" si="19"/>
        <v>110</v>
      </c>
      <c r="R224" s="599"/>
    </row>
    <row r="225" spans="1:18" ht="12.95" customHeight="1" x14ac:dyDescent="0.2">
      <c r="A225" s="206"/>
      <c r="B225" s="206"/>
      <c r="C225" s="259"/>
      <c r="D225" s="281" t="s">
        <v>535</v>
      </c>
      <c r="E225" s="207"/>
      <c r="F225" s="148"/>
      <c r="G225" s="179"/>
      <c r="H225" s="179"/>
      <c r="I225" s="179"/>
      <c r="J225" s="179"/>
      <c r="K225" s="179"/>
      <c r="L225" s="179"/>
      <c r="M225" s="179"/>
      <c r="N225" s="179"/>
      <c r="O225" s="179"/>
      <c r="P225" s="179"/>
      <c r="Q225" s="179"/>
      <c r="R225" s="598"/>
    </row>
    <row r="226" spans="1:18" ht="12.95" hidden="1" customHeight="1" x14ac:dyDescent="0.2">
      <c r="A226" s="206"/>
      <c r="B226" s="206"/>
      <c r="C226" s="282"/>
      <c r="D226" s="277" t="s">
        <v>1145</v>
      </c>
      <c r="E226" s="283"/>
      <c r="F226" s="148"/>
      <c r="G226" s="179"/>
      <c r="H226" s="179"/>
      <c r="I226" s="179"/>
      <c r="J226" s="179"/>
      <c r="K226" s="179"/>
      <c r="L226" s="179"/>
      <c r="M226" s="179"/>
      <c r="N226" s="179"/>
      <c r="O226" s="179"/>
      <c r="P226" s="179"/>
      <c r="Q226" s="179"/>
      <c r="R226" s="598"/>
    </row>
    <row r="227" spans="1:18" ht="12.95" hidden="1" customHeight="1" x14ac:dyDescent="0.2">
      <c r="A227" s="206"/>
      <c r="B227" s="206"/>
      <c r="C227" s="284" t="s">
        <v>382</v>
      </c>
      <c r="D227" s="285" t="s">
        <v>536</v>
      </c>
      <c r="E227" s="283"/>
      <c r="F227" s="148">
        <v>162650</v>
      </c>
      <c r="G227" s="179"/>
      <c r="H227" s="179"/>
      <c r="I227" s="179"/>
      <c r="J227" s="179"/>
      <c r="K227" s="179"/>
      <c r="L227" s="179"/>
      <c r="M227" s="179"/>
      <c r="N227" s="179"/>
      <c r="O227" s="179"/>
      <c r="P227" s="179"/>
      <c r="Q227" s="179">
        <f>SUM(G227:P227)</f>
        <v>0</v>
      </c>
      <c r="R227" s="598"/>
    </row>
    <row r="228" spans="1:18" ht="12.95" hidden="1" customHeight="1" x14ac:dyDescent="0.2">
      <c r="A228" s="206"/>
      <c r="B228" s="206"/>
      <c r="C228" s="284" t="s">
        <v>384</v>
      </c>
      <c r="D228" s="286" t="s">
        <v>537</v>
      </c>
      <c r="E228" s="283"/>
      <c r="F228" s="148">
        <v>164903</v>
      </c>
      <c r="G228" s="179"/>
      <c r="H228" s="179"/>
      <c r="I228" s="179"/>
      <c r="J228" s="179"/>
      <c r="K228" s="179"/>
      <c r="L228" s="179"/>
      <c r="M228" s="179"/>
      <c r="N228" s="179"/>
      <c r="O228" s="179"/>
      <c r="P228" s="179"/>
      <c r="Q228" s="179">
        <f>SUM(G228:P228)</f>
        <v>0</v>
      </c>
      <c r="R228" s="598"/>
    </row>
    <row r="229" spans="1:18" ht="12.95" customHeight="1" x14ac:dyDescent="0.2">
      <c r="A229" s="200"/>
      <c r="B229" s="200"/>
      <c r="C229" s="201"/>
      <c r="D229" s="159" t="s">
        <v>240</v>
      </c>
      <c r="E229" s="278"/>
      <c r="F229" s="279"/>
      <c r="G229" s="280">
        <f t="shared" ref="G229:Q229" si="20">SUM(G224:G228)</f>
        <v>0</v>
      </c>
      <c r="H229" s="280">
        <f t="shared" si="20"/>
        <v>0</v>
      </c>
      <c r="I229" s="280">
        <f t="shared" si="20"/>
        <v>110</v>
      </c>
      <c r="J229" s="280">
        <f t="shared" si="20"/>
        <v>0</v>
      </c>
      <c r="K229" s="280">
        <f t="shared" si="20"/>
        <v>0</v>
      </c>
      <c r="L229" s="280">
        <f t="shared" si="20"/>
        <v>0</v>
      </c>
      <c r="M229" s="280">
        <f t="shared" si="20"/>
        <v>0</v>
      </c>
      <c r="N229" s="280">
        <f t="shared" si="20"/>
        <v>0</v>
      </c>
      <c r="O229" s="280">
        <f t="shared" si="20"/>
        <v>0</v>
      </c>
      <c r="P229" s="280">
        <f t="shared" si="20"/>
        <v>0</v>
      </c>
      <c r="Q229" s="280">
        <f t="shared" si="20"/>
        <v>110</v>
      </c>
      <c r="R229" s="599"/>
    </row>
    <row r="230" spans="1:18" ht="14.1" customHeight="1" x14ac:dyDescent="0.2">
      <c r="A230" s="174">
        <v>1</v>
      </c>
      <c r="B230" s="174">
        <v>15</v>
      </c>
      <c r="C230" s="194"/>
      <c r="D230" s="276" t="s">
        <v>539</v>
      </c>
      <c r="E230" s="207"/>
      <c r="F230" s="148"/>
      <c r="G230" s="148"/>
      <c r="H230" s="179"/>
      <c r="I230" s="179"/>
      <c r="J230" s="179"/>
      <c r="K230" s="179"/>
      <c r="L230" s="179"/>
      <c r="M230" s="148"/>
      <c r="N230" s="148"/>
      <c r="O230" s="148"/>
      <c r="P230" s="148"/>
      <c r="Q230" s="148"/>
      <c r="R230" s="598"/>
    </row>
    <row r="231" spans="1:18" ht="14.1" customHeight="1" x14ac:dyDescent="0.2">
      <c r="A231" s="174"/>
      <c r="B231" s="174"/>
      <c r="C231" s="194"/>
      <c r="D231" s="287" t="s">
        <v>540</v>
      </c>
      <c r="E231" s="207"/>
      <c r="F231" s="148"/>
      <c r="G231" s="148"/>
      <c r="H231" s="179"/>
      <c r="I231" s="179"/>
      <c r="J231" s="179"/>
      <c r="K231" s="179"/>
      <c r="L231" s="179"/>
      <c r="M231" s="148"/>
      <c r="N231" s="148"/>
      <c r="O231" s="148"/>
      <c r="P231" s="148"/>
      <c r="Q231" s="148"/>
      <c r="R231" s="598"/>
    </row>
    <row r="232" spans="1:18" ht="15" customHeight="1" x14ac:dyDescent="0.2">
      <c r="A232" s="174"/>
      <c r="B232" s="174"/>
      <c r="C232" s="194"/>
      <c r="D232" s="277" t="s">
        <v>541</v>
      </c>
      <c r="E232" s="148">
        <v>1</v>
      </c>
      <c r="F232" s="148">
        <v>151502</v>
      </c>
      <c r="G232" s="148"/>
      <c r="H232" s="179"/>
      <c r="I232" s="148">
        <v>-500</v>
      </c>
      <c r="J232" s="179"/>
      <c r="K232" s="179"/>
      <c r="L232" s="179"/>
      <c r="M232" s="148"/>
      <c r="N232" s="148"/>
      <c r="O232" s="148"/>
      <c r="P232" s="148"/>
      <c r="Q232" s="148">
        <f t="shared" ref="Q232:Q255" si="21">SUM(G232:P232)</f>
        <v>-500</v>
      </c>
      <c r="R232" s="598" t="s">
        <v>1366</v>
      </c>
    </row>
    <row r="233" spans="1:18" ht="12" customHeight="1" x14ac:dyDescent="0.2">
      <c r="A233" s="174"/>
      <c r="B233" s="174"/>
      <c r="C233" s="194"/>
      <c r="D233" s="150" t="s">
        <v>1001</v>
      </c>
      <c r="E233" s="148">
        <v>1</v>
      </c>
      <c r="F233" s="148">
        <v>151530</v>
      </c>
      <c r="G233" s="148"/>
      <c r="H233" s="179"/>
      <c r="I233" s="148">
        <v>130</v>
      </c>
      <c r="J233" s="179"/>
      <c r="K233" s="179"/>
      <c r="L233" s="179"/>
      <c r="M233" s="148"/>
      <c r="N233" s="148"/>
      <c r="O233" s="148"/>
      <c r="P233" s="148"/>
      <c r="Q233" s="148">
        <f t="shared" si="21"/>
        <v>130</v>
      </c>
      <c r="R233" s="598" t="s">
        <v>1366</v>
      </c>
    </row>
    <row r="234" spans="1:18" ht="14.1" hidden="1" customHeight="1" x14ac:dyDescent="0.2">
      <c r="A234" s="174"/>
      <c r="B234" s="174"/>
      <c r="C234" s="194"/>
      <c r="D234" s="277" t="s">
        <v>542</v>
      </c>
      <c r="E234" s="148">
        <v>1</v>
      </c>
      <c r="F234" s="148">
        <v>151504</v>
      </c>
      <c r="G234" s="148"/>
      <c r="H234" s="179"/>
      <c r="I234" s="148"/>
      <c r="J234" s="179"/>
      <c r="K234" s="179"/>
      <c r="L234" s="179"/>
      <c r="M234" s="148"/>
      <c r="N234" s="148"/>
      <c r="O234" s="148"/>
      <c r="P234" s="148"/>
      <c r="Q234" s="148">
        <f t="shared" si="21"/>
        <v>0</v>
      </c>
      <c r="R234" s="598"/>
    </row>
    <row r="235" spans="1:18" ht="14.1" hidden="1" customHeight="1" x14ac:dyDescent="0.2">
      <c r="A235" s="174"/>
      <c r="B235" s="174"/>
      <c r="C235" s="194"/>
      <c r="D235" s="288" t="s">
        <v>543</v>
      </c>
      <c r="E235" s="148">
        <v>1</v>
      </c>
      <c r="F235" s="148">
        <v>151501</v>
      </c>
      <c r="G235" s="148"/>
      <c r="H235" s="179"/>
      <c r="I235" s="148"/>
      <c r="J235" s="179"/>
      <c r="K235" s="179"/>
      <c r="L235" s="179"/>
      <c r="M235" s="148"/>
      <c r="N235" s="148"/>
      <c r="O235" s="148"/>
      <c r="P235" s="148"/>
      <c r="Q235" s="148">
        <f t="shared" si="21"/>
        <v>0</v>
      </c>
      <c r="R235" s="598"/>
    </row>
    <row r="236" spans="1:18" ht="14.1" customHeight="1" x14ac:dyDescent="0.2">
      <c r="A236" s="174"/>
      <c r="B236" s="174"/>
      <c r="C236" s="194"/>
      <c r="D236" s="288" t="s">
        <v>544</v>
      </c>
      <c r="E236" s="148">
        <v>1</v>
      </c>
      <c r="F236" s="148">
        <v>151905</v>
      </c>
      <c r="G236" s="148"/>
      <c r="H236" s="179"/>
      <c r="I236" s="148">
        <v>-150</v>
      </c>
      <c r="J236" s="179"/>
      <c r="K236" s="179"/>
      <c r="L236" s="179">
        <v>150</v>
      </c>
      <c r="M236" s="148"/>
      <c r="N236" s="148"/>
      <c r="O236" s="148"/>
      <c r="P236" s="148"/>
      <c r="Q236" s="148">
        <f t="shared" si="21"/>
        <v>0</v>
      </c>
      <c r="R236" s="598" t="s">
        <v>1366</v>
      </c>
    </row>
    <row r="237" spans="1:18" ht="14.1" hidden="1" customHeight="1" x14ac:dyDescent="0.2">
      <c r="A237" s="174"/>
      <c r="B237" s="174"/>
      <c r="C237" s="194"/>
      <c r="D237" s="288" t="s">
        <v>545</v>
      </c>
      <c r="E237" s="148">
        <v>1</v>
      </c>
      <c r="F237" s="148">
        <v>151920</v>
      </c>
      <c r="G237" s="148"/>
      <c r="H237" s="179"/>
      <c r="I237" s="148"/>
      <c r="J237" s="179"/>
      <c r="K237" s="179"/>
      <c r="L237" s="179"/>
      <c r="M237" s="148"/>
      <c r="N237" s="148"/>
      <c r="O237" s="148"/>
      <c r="P237" s="148"/>
      <c r="Q237" s="148">
        <f t="shared" si="21"/>
        <v>0</v>
      </c>
      <c r="R237" s="598"/>
    </row>
    <row r="238" spans="1:18" ht="14.1" hidden="1" customHeight="1" x14ac:dyDescent="0.2">
      <c r="A238" s="174"/>
      <c r="B238" s="174"/>
      <c r="C238" s="194"/>
      <c r="D238" s="288" t="s">
        <v>546</v>
      </c>
      <c r="E238" s="148">
        <v>1</v>
      </c>
      <c r="F238" s="148">
        <v>151917</v>
      </c>
      <c r="G238" s="148"/>
      <c r="H238" s="179"/>
      <c r="I238" s="148"/>
      <c r="J238" s="179"/>
      <c r="K238" s="179"/>
      <c r="L238" s="179"/>
      <c r="M238" s="148"/>
      <c r="N238" s="148"/>
      <c r="O238" s="148"/>
      <c r="P238" s="148"/>
      <c r="Q238" s="148">
        <f t="shared" si="21"/>
        <v>0</v>
      </c>
      <c r="R238" s="598"/>
    </row>
    <row r="239" spans="1:18" ht="15" hidden="1" customHeight="1" x14ac:dyDescent="0.2">
      <c r="A239" s="174"/>
      <c r="B239" s="174"/>
      <c r="C239" s="194"/>
      <c r="D239" s="288" t="s">
        <v>547</v>
      </c>
      <c r="E239" s="148">
        <v>2</v>
      </c>
      <c r="F239" s="148">
        <v>151503</v>
      </c>
      <c r="G239" s="148"/>
      <c r="H239" s="179"/>
      <c r="I239" s="148"/>
      <c r="J239" s="179"/>
      <c r="K239" s="179"/>
      <c r="L239" s="179"/>
      <c r="M239" s="148"/>
      <c r="N239" s="148"/>
      <c r="O239" s="148"/>
      <c r="P239" s="148"/>
      <c r="Q239" s="148">
        <f t="shared" si="21"/>
        <v>0</v>
      </c>
      <c r="R239" s="598"/>
    </row>
    <row r="240" spans="1:18" ht="15" hidden="1" customHeight="1" x14ac:dyDescent="0.2">
      <c r="A240" s="174"/>
      <c r="B240" s="174"/>
      <c r="C240" s="194"/>
      <c r="D240" s="305" t="s">
        <v>548</v>
      </c>
      <c r="E240" s="148">
        <v>2</v>
      </c>
      <c r="F240" s="148">
        <v>151922</v>
      </c>
      <c r="G240" s="148"/>
      <c r="H240" s="179"/>
      <c r="I240" s="148"/>
      <c r="J240" s="179"/>
      <c r="K240" s="179"/>
      <c r="L240" s="179"/>
      <c r="M240" s="148"/>
      <c r="N240" s="148"/>
      <c r="O240" s="148"/>
      <c r="P240" s="148"/>
      <c r="Q240" s="148">
        <f t="shared" si="21"/>
        <v>0</v>
      </c>
      <c r="R240" s="598"/>
    </row>
    <row r="241" spans="1:18" ht="15" customHeight="1" x14ac:dyDescent="0.2">
      <c r="A241" s="174"/>
      <c r="B241" s="174"/>
      <c r="C241" s="194"/>
      <c r="D241" s="288" t="s">
        <v>549</v>
      </c>
      <c r="E241" s="148">
        <v>2</v>
      </c>
      <c r="F241" s="148">
        <v>151507</v>
      </c>
      <c r="G241" s="148"/>
      <c r="H241" s="179"/>
      <c r="I241" s="148">
        <v>2671</v>
      </c>
      <c r="J241" s="179"/>
      <c r="K241" s="179"/>
      <c r="L241" s="179"/>
      <c r="M241" s="148"/>
      <c r="N241" s="148"/>
      <c r="O241" s="148"/>
      <c r="P241" s="148"/>
      <c r="Q241" s="148">
        <f t="shared" si="21"/>
        <v>2671</v>
      </c>
      <c r="R241" s="598" t="s">
        <v>1366</v>
      </c>
    </row>
    <row r="242" spans="1:18" ht="15" hidden="1" customHeight="1" x14ac:dyDescent="0.2">
      <c r="A242" s="174"/>
      <c r="B242" s="174"/>
      <c r="C242" s="194"/>
      <c r="D242" s="288" t="s">
        <v>550</v>
      </c>
      <c r="E242" s="148">
        <v>2</v>
      </c>
      <c r="F242" s="148">
        <v>151509</v>
      </c>
      <c r="G242" s="148"/>
      <c r="H242" s="179"/>
      <c r="I242" s="148"/>
      <c r="J242" s="179"/>
      <c r="K242" s="179"/>
      <c r="L242" s="179"/>
      <c r="M242" s="148"/>
      <c r="N242" s="148"/>
      <c r="O242" s="148"/>
      <c r="P242" s="148"/>
      <c r="Q242" s="148">
        <f t="shared" si="21"/>
        <v>0</v>
      </c>
      <c r="R242" s="598"/>
    </row>
    <row r="243" spans="1:18" ht="15" customHeight="1" x14ac:dyDescent="0.2">
      <c r="A243" s="174"/>
      <c r="B243" s="174"/>
      <c r="C243" s="194"/>
      <c r="D243" s="288" t="s">
        <v>551</v>
      </c>
      <c r="E243" s="148">
        <v>1</v>
      </c>
      <c r="F243" s="148">
        <v>151510</v>
      </c>
      <c r="G243" s="148"/>
      <c r="H243" s="179"/>
      <c r="I243" s="148">
        <v>370</v>
      </c>
      <c r="J243" s="179"/>
      <c r="K243" s="179"/>
      <c r="L243" s="179"/>
      <c r="M243" s="148"/>
      <c r="N243" s="148"/>
      <c r="O243" s="148"/>
      <c r="P243" s="289"/>
      <c r="Q243" s="148">
        <f t="shared" si="21"/>
        <v>370</v>
      </c>
      <c r="R243" s="598" t="s">
        <v>1366</v>
      </c>
    </row>
    <row r="244" spans="1:18" ht="15" hidden="1" customHeight="1" x14ac:dyDescent="0.2">
      <c r="A244" s="174"/>
      <c r="B244" s="174"/>
      <c r="C244" s="194"/>
      <c r="D244" s="290" t="s">
        <v>552</v>
      </c>
      <c r="E244" s="170">
        <v>1</v>
      </c>
      <c r="F244" s="148">
        <v>151520</v>
      </c>
      <c r="G244" s="148"/>
      <c r="H244" s="179"/>
      <c r="I244" s="148"/>
      <c r="J244" s="179"/>
      <c r="K244" s="179"/>
      <c r="L244" s="179"/>
      <c r="M244" s="148"/>
      <c r="N244" s="148"/>
      <c r="O244" s="148"/>
      <c r="P244" s="148"/>
      <c r="Q244" s="148">
        <f t="shared" si="21"/>
        <v>0</v>
      </c>
      <c r="R244" s="598"/>
    </row>
    <row r="245" spans="1:18" ht="15" customHeight="1" x14ac:dyDescent="0.2">
      <c r="A245" s="174"/>
      <c r="B245" s="174"/>
      <c r="C245" s="194"/>
      <c r="D245" s="291" t="s">
        <v>553</v>
      </c>
      <c r="E245" s="148">
        <v>1</v>
      </c>
      <c r="F245" s="148">
        <v>151521</v>
      </c>
      <c r="G245" s="148"/>
      <c r="H245" s="179"/>
      <c r="I245" s="148">
        <v>-194</v>
      </c>
      <c r="J245" s="179"/>
      <c r="K245" s="179"/>
      <c r="L245" s="179"/>
      <c r="M245" s="148">
        <v>194</v>
      </c>
      <c r="N245" s="148"/>
      <c r="O245" s="148"/>
      <c r="P245" s="148"/>
      <c r="Q245" s="148">
        <f t="shared" si="21"/>
        <v>0</v>
      </c>
      <c r="R245" s="598" t="s">
        <v>1366</v>
      </c>
    </row>
    <row r="246" spans="1:18" ht="15" hidden="1" customHeight="1" x14ac:dyDescent="0.2">
      <c r="A246" s="174"/>
      <c r="B246" s="174"/>
      <c r="C246" s="194"/>
      <c r="D246" s="291" t="s">
        <v>554</v>
      </c>
      <c r="E246" s="148">
        <v>1</v>
      </c>
      <c r="F246" s="148">
        <v>151522</v>
      </c>
      <c r="G246" s="148"/>
      <c r="H246" s="179"/>
      <c r="I246" s="148"/>
      <c r="J246" s="179"/>
      <c r="K246" s="179"/>
      <c r="L246" s="179"/>
      <c r="M246" s="148"/>
      <c r="N246" s="148"/>
      <c r="O246" s="148"/>
      <c r="P246" s="148"/>
      <c r="Q246" s="148">
        <f t="shared" si="21"/>
        <v>0</v>
      </c>
      <c r="R246" s="598"/>
    </row>
    <row r="247" spans="1:18" ht="15" hidden="1" customHeight="1" x14ac:dyDescent="0.2">
      <c r="A247" s="174"/>
      <c r="B247" s="174"/>
      <c r="C247" s="194"/>
      <c r="D247" s="288" t="s">
        <v>555</v>
      </c>
      <c r="E247" s="148">
        <v>1</v>
      </c>
      <c r="F247" s="148">
        <v>151512</v>
      </c>
      <c r="G247" s="148"/>
      <c r="H247" s="179"/>
      <c r="I247" s="148"/>
      <c r="J247" s="179"/>
      <c r="K247" s="179"/>
      <c r="L247" s="179"/>
      <c r="M247" s="148"/>
      <c r="N247" s="148"/>
      <c r="O247" s="148"/>
      <c r="P247" s="148"/>
      <c r="Q247" s="148">
        <f t="shared" si="21"/>
        <v>0</v>
      </c>
      <c r="R247" s="598"/>
    </row>
    <row r="248" spans="1:18" ht="15" hidden="1" customHeight="1" x14ac:dyDescent="0.2">
      <c r="A248" s="174"/>
      <c r="B248" s="174"/>
      <c r="C248" s="194"/>
      <c r="D248" s="291" t="s">
        <v>556</v>
      </c>
      <c r="E248" s="148">
        <v>1</v>
      </c>
      <c r="F248" s="148">
        <v>151519</v>
      </c>
      <c r="G248" s="148"/>
      <c r="H248" s="179"/>
      <c r="I248" s="148"/>
      <c r="J248" s="179"/>
      <c r="K248" s="179"/>
      <c r="L248" s="179"/>
      <c r="M248" s="148"/>
      <c r="N248" s="148"/>
      <c r="O248" s="148"/>
      <c r="P248" s="148"/>
      <c r="Q248" s="148">
        <f t="shared" si="21"/>
        <v>0</v>
      </c>
      <c r="R248" s="598"/>
    </row>
    <row r="249" spans="1:18" ht="15" hidden="1" customHeight="1" x14ac:dyDescent="0.2">
      <c r="A249" s="174"/>
      <c r="B249" s="174"/>
      <c r="C249" s="194"/>
      <c r="D249" s="288" t="s">
        <v>557</v>
      </c>
      <c r="E249" s="148">
        <v>2</v>
      </c>
      <c r="F249" s="148">
        <v>151511</v>
      </c>
      <c r="G249" s="148"/>
      <c r="H249" s="179"/>
      <c r="I249" s="148"/>
      <c r="J249" s="179"/>
      <c r="K249" s="179"/>
      <c r="L249" s="179"/>
      <c r="M249" s="148"/>
      <c r="N249" s="148"/>
      <c r="O249" s="148"/>
      <c r="P249" s="148"/>
      <c r="Q249" s="148">
        <f t="shared" si="21"/>
        <v>0</v>
      </c>
      <c r="R249" s="598"/>
    </row>
    <row r="250" spans="1:18" ht="15" hidden="1" customHeight="1" x14ac:dyDescent="0.2">
      <c r="A250" s="174"/>
      <c r="B250" s="174"/>
      <c r="C250" s="194"/>
      <c r="D250" s="288" t="s">
        <v>558</v>
      </c>
      <c r="E250" s="153">
        <v>2</v>
      </c>
      <c r="F250" s="148">
        <v>151514</v>
      </c>
      <c r="G250" s="148"/>
      <c r="H250" s="179"/>
      <c r="I250" s="148"/>
      <c r="J250" s="179"/>
      <c r="K250" s="179"/>
      <c r="L250" s="179"/>
      <c r="M250" s="148"/>
      <c r="N250" s="148"/>
      <c r="O250" s="148"/>
      <c r="P250" s="148"/>
      <c r="Q250" s="148">
        <f t="shared" si="21"/>
        <v>0</v>
      </c>
      <c r="R250" s="598"/>
    </row>
    <row r="251" spans="1:18" ht="15" hidden="1" customHeight="1" x14ac:dyDescent="0.2">
      <c r="A251" s="174"/>
      <c r="B251" s="174"/>
      <c r="C251" s="194"/>
      <c r="D251" s="288" t="s">
        <v>559</v>
      </c>
      <c r="E251" s="153">
        <v>2</v>
      </c>
      <c r="F251" s="148">
        <v>151515</v>
      </c>
      <c r="G251" s="148"/>
      <c r="H251" s="179"/>
      <c r="I251" s="148"/>
      <c r="J251" s="179"/>
      <c r="K251" s="179"/>
      <c r="L251" s="179"/>
      <c r="M251" s="148"/>
      <c r="N251" s="148"/>
      <c r="O251" s="148"/>
      <c r="P251" s="148"/>
      <c r="Q251" s="148">
        <f t="shared" si="21"/>
        <v>0</v>
      </c>
      <c r="R251" s="598"/>
    </row>
    <row r="252" spans="1:18" ht="15" hidden="1" customHeight="1" x14ac:dyDescent="0.2">
      <c r="A252" s="174"/>
      <c r="B252" s="174"/>
      <c r="C252" s="194"/>
      <c r="D252" s="288" t="s">
        <v>560</v>
      </c>
      <c r="E252" s="153">
        <v>1</v>
      </c>
      <c r="F252" s="148">
        <v>151513</v>
      </c>
      <c r="G252" s="148"/>
      <c r="H252" s="179"/>
      <c r="I252" s="148"/>
      <c r="J252" s="179"/>
      <c r="K252" s="179"/>
      <c r="L252" s="179"/>
      <c r="M252" s="148"/>
      <c r="N252" s="148"/>
      <c r="O252" s="148"/>
      <c r="P252" s="148"/>
      <c r="Q252" s="148">
        <f t="shared" si="21"/>
        <v>0</v>
      </c>
      <c r="R252" s="598"/>
    </row>
    <row r="253" spans="1:18" ht="15" hidden="1" customHeight="1" x14ac:dyDescent="0.2">
      <c r="A253" s="174"/>
      <c r="B253" s="174"/>
      <c r="C253" s="194"/>
      <c r="D253" s="288" t="s">
        <v>561</v>
      </c>
      <c r="E253" s="153">
        <v>2</v>
      </c>
      <c r="F253" s="148">
        <v>151918</v>
      </c>
      <c r="G253" s="148"/>
      <c r="H253" s="179"/>
      <c r="I253" s="148"/>
      <c r="J253" s="179"/>
      <c r="K253" s="179"/>
      <c r="L253" s="179"/>
      <c r="M253" s="148"/>
      <c r="N253" s="148"/>
      <c r="O253" s="148"/>
      <c r="P253" s="148"/>
      <c r="Q253" s="148">
        <f t="shared" si="21"/>
        <v>0</v>
      </c>
      <c r="R253" s="598"/>
    </row>
    <row r="254" spans="1:18" ht="15" hidden="1" customHeight="1" x14ac:dyDescent="0.2">
      <c r="A254" s="174"/>
      <c r="B254" s="174"/>
      <c r="C254" s="194"/>
      <c r="D254" s="288" t="s">
        <v>562</v>
      </c>
      <c r="E254" s="153">
        <v>2</v>
      </c>
      <c r="F254" s="148">
        <v>151923</v>
      </c>
      <c r="G254" s="148"/>
      <c r="H254" s="179"/>
      <c r="I254" s="148"/>
      <c r="J254" s="179"/>
      <c r="K254" s="179"/>
      <c r="L254" s="179"/>
      <c r="M254" s="148"/>
      <c r="N254" s="148"/>
      <c r="O254" s="148"/>
      <c r="P254" s="148"/>
      <c r="Q254" s="148">
        <f t="shared" si="21"/>
        <v>0</v>
      </c>
      <c r="R254" s="598"/>
    </row>
    <row r="255" spans="1:18" ht="14.25" hidden="1" customHeight="1" x14ac:dyDescent="0.2">
      <c r="A255" s="174"/>
      <c r="B255" s="174"/>
      <c r="C255" s="194"/>
      <c r="D255" s="149" t="s">
        <v>1138</v>
      </c>
      <c r="E255" s="153">
        <v>2</v>
      </c>
      <c r="F255" s="148">
        <v>151524</v>
      </c>
      <c r="G255" s="148"/>
      <c r="H255" s="179"/>
      <c r="I255" s="148"/>
      <c r="J255" s="179"/>
      <c r="K255" s="179"/>
      <c r="L255" s="179"/>
      <c r="M255" s="148"/>
      <c r="N255" s="148"/>
      <c r="O255" s="148"/>
      <c r="P255" s="148"/>
      <c r="Q255" s="148">
        <f t="shared" si="21"/>
        <v>0</v>
      </c>
      <c r="R255" s="598"/>
    </row>
    <row r="256" spans="1:18" ht="15" customHeight="1" x14ac:dyDescent="0.2">
      <c r="A256" s="174"/>
      <c r="B256" s="174"/>
      <c r="C256" s="194"/>
      <c r="D256" s="277" t="s">
        <v>563</v>
      </c>
      <c r="E256" s="185"/>
      <c r="F256" s="185"/>
      <c r="G256" s="148"/>
      <c r="H256" s="179"/>
      <c r="I256" s="148"/>
      <c r="J256" s="179"/>
      <c r="K256" s="179"/>
      <c r="L256" s="179"/>
      <c r="M256" s="148"/>
      <c r="N256" s="148"/>
      <c r="O256" s="148"/>
      <c r="P256" s="148"/>
      <c r="Q256" s="148"/>
      <c r="R256" s="598"/>
    </row>
    <row r="257" spans="1:18" ht="15" customHeight="1" x14ac:dyDescent="0.2">
      <c r="A257" s="174"/>
      <c r="B257" s="174"/>
      <c r="C257" s="194"/>
      <c r="D257" s="277" t="s">
        <v>564</v>
      </c>
      <c r="E257" s="148">
        <v>1</v>
      </c>
      <c r="F257" s="148">
        <v>151401</v>
      </c>
      <c r="G257" s="148"/>
      <c r="H257" s="179"/>
      <c r="I257" s="148">
        <v>-6140</v>
      </c>
      <c r="J257" s="179"/>
      <c r="K257" s="179"/>
      <c r="L257" s="179"/>
      <c r="M257" s="148"/>
      <c r="N257" s="148"/>
      <c r="O257" s="148"/>
      <c r="P257" s="148"/>
      <c r="Q257" s="148">
        <f t="shared" ref="Q257:Q271" si="22">SUM(G257:P257)</f>
        <v>-6140</v>
      </c>
      <c r="R257" s="598" t="s">
        <v>1366</v>
      </c>
    </row>
    <row r="258" spans="1:18" ht="15" customHeight="1" x14ac:dyDescent="0.2">
      <c r="A258" s="174"/>
      <c r="B258" s="174"/>
      <c r="C258" s="194"/>
      <c r="D258" s="277" t="s">
        <v>565</v>
      </c>
      <c r="E258" s="185">
        <v>1</v>
      </c>
      <c r="F258" s="148">
        <v>151402</v>
      </c>
      <c r="G258" s="148"/>
      <c r="H258" s="179"/>
      <c r="I258" s="148">
        <v>-3292</v>
      </c>
      <c r="J258" s="179"/>
      <c r="K258" s="179"/>
      <c r="L258" s="179">
        <v>747</v>
      </c>
      <c r="M258" s="148"/>
      <c r="N258" s="148"/>
      <c r="O258" s="148"/>
      <c r="P258" s="148"/>
      <c r="Q258" s="148">
        <f t="shared" si="22"/>
        <v>-2545</v>
      </c>
      <c r="R258" s="598" t="s">
        <v>1366</v>
      </c>
    </row>
    <row r="259" spans="1:18" ht="15" hidden="1" customHeight="1" x14ac:dyDescent="0.2">
      <c r="A259" s="578"/>
      <c r="B259" s="578"/>
      <c r="C259" s="579"/>
      <c r="D259" s="694" t="s">
        <v>1139</v>
      </c>
      <c r="E259" s="596">
        <v>1</v>
      </c>
      <c r="F259" s="582">
        <v>151421</v>
      </c>
      <c r="G259" s="582"/>
      <c r="H259" s="583"/>
      <c r="I259" s="582"/>
      <c r="J259" s="583"/>
      <c r="K259" s="583"/>
      <c r="L259" s="583"/>
      <c r="M259" s="582"/>
      <c r="N259" s="582"/>
      <c r="O259" s="582"/>
      <c r="P259" s="582"/>
      <c r="Q259" s="148">
        <f t="shared" si="22"/>
        <v>0</v>
      </c>
      <c r="R259" s="598"/>
    </row>
    <row r="260" spans="1:18" ht="15" customHeight="1" x14ac:dyDescent="0.2">
      <c r="A260" s="174"/>
      <c r="B260" s="174"/>
      <c r="C260" s="194"/>
      <c r="D260" s="277" t="s">
        <v>566</v>
      </c>
      <c r="E260" s="185">
        <v>1</v>
      </c>
      <c r="F260" s="148">
        <v>151411</v>
      </c>
      <c r="G260" s="148"/>
      <c r="H260" s="179"/>
      <c r="I260" s="148">
        <v>-1500</v>
      </c>
      <c r="J260" s="179"/>
      <c r="K260" s="179"/>
      <c r="L260" s="179"/>
      <c r="M260" s="148"/>
      <c r="N260" s="148"/>
      <c r="O260" s="148"/>
      <c r="P260" s="148"/>
      <c r="Q260" s="148">
        <f t="shared" si="22"/>
        <v>-1500</v>
      </c>
      <c r="R260" s="598" t="s">
        <v>1365</v>
      </c>
    </row>
    <row r="261" spans="1:18" ht="15" hidden="1" customHeight="1" x14ac:dyDescent="0.2">
      <c r="A261" s="174"/>
      <c r="B261" s="174"/>
      <c r="C261" s="194"/>
      <c r="D261" s="277" t="s">
        <v>567</v>
      </c>
      <c r="E261" s="185">
        <v>1</v>
      </c>
      <c r="F261" s="148">
        <v>151412</v>
      </c>
      <c r="G261" s="148"/>
      <c r="H261" s="179"/>
      <c r="I261" s="148"/>
      <c r="J261" s="179"/>
      <c r="K261" s="179"/>
      <c r="L261" s="179"/>
      <c r="M261" s="148"/>
      <c r="N261" s="148"/>
      <c r="O261" s="148"/>
      <c r="P261" s="148"/>
      <c r="Q261" s="148">
        <f t="shared" si="22"/>
        <v>0</v>
      </c>
      <c r="R261" s="598"/>
    </row>
    <row r="262" spans="1:18" ht="15" customHeight="1" x14ac:dyDescent="0.2">
      <c r="A262" s="174"/>
      <c r="B262" s="174"/>
      <c r="C262" s="194"/>
      <c r="D262" s="277" t="s">
        <v>1012</v>
      </c>
      <c r="E262" s="185">
        <v>1</v>
      </c>
      <c r="F262" s="148">
        <v>151413</v>
      </c>
      <c r="G262" s="148"/>
      <c r="H262" s="179"/>
      <c r="I262" s="148">
        <v>-7000</v>
      </c>
      <c r="J262" s="179"/>
      <c r="K262" s="179"/>
      <c r="L262" s="179"/>
      <c r="M262" s="148"/>
      <c r="N262" s="148"/>
      <c r="O262" s="148"/>
      <c r="P262" s="148"/>
      <c r="Q262" s="148">
        <f t="shared" si="22"/>
        <v>-7000</v>
      </c>
      <c r="R262" s="598" t="s">
        <v>1366</v>
      </c>
    </row>
    <row r="263" spans="1:18" ht="15" hidden="1" customHeight="1" x14ac:dyDescent="0.2">
      <c r="A263" s="174"/>
      <c r="B263" s="174"/>
      <c r="C263" s="194"/>
      <c r="D263" s="277" t="s">
        <v>568</v>
      </c>
      <c r="E263" s="185">
        <v>2</v>
      </c>
      <c r="F263" s="148">
        <v>151414</v>
      </c>
      <c r="G263" s="148"/>
      <c r="H263" s="179"/>
      <c r="I263" s="148"/>
      <c r="J263" s="179"/>
      <c r="K263" s="179"/>
      <c r="L263" s="179"/>
      <c r="M263" s="148"/>
      <c r="N263" s="148"/>
      <c r="O263" s="148"/>
      <c r="P263" s="148"/>
      <c r="Q263" s="148">
        <f t="shared" si="22"/>
        <v>0</v>
      </c>
      <c r="R263" s="598"/>
    </row>
    <row r="264" spans="1:18" ht="15" hidden="1" customHeight="1" x14ac:dyDescent="0.2">
      <c r="A264" s="174"/>
      <c r="B264" s="174"/>
      <c r="C264" s="194"/>
      <c r="D264" s="277" t="s">
        <v>569</v>
      </c>
      <c r="E264" s="185">
        <v>2</v>
      </c>
      <c r="F264" s="148">
        <v>151415</v>
      </c>
      <c r="G264" s="148"/>
      <c r="H264" s="179"/>
      <c r="I264" s="148"/>
      <c r="J264" s="179"/>
      <c r="K264" s="179"/>
      <c r="L264" s="179"/>
      <c r="M264" s="148"/>
      <c r="N264" s="148"/>
      <c r="O264" s="148"/>
      <c r="P264" s="148"/>
      <c r="Q264" s="148">
        <f t="shared" si="22"/>
        <v>0</v>
      </c>
      <c r="R264" s="598"/>
    </row>
    <row r="265" spans="1:18" ht="15" hidden="1" customHeight="1" x14ac:dyDescent="0.2">
      <c r="A265" s="174"/>
      <c r="B265" s="174"/>
      <c r="C265" s="194"/>
      <c r="D265" s="277" t="s">
        <v>570</v>
      </c>
      <c r="E265" s="185">
        <v>1</v>
      </c>
      <c r="F265" s="148">
        <v>151416</v>
      </c>
      <c r="G265" s="148"/>
      <c r="H265" s="179"/>
      <c r="I265" s="148"/>
      <c r="J265" s="179"/>
      <c r="K265" s="179"/>
      <c r="L265" s="179"/>
      <c r="M265" s="148"/>
      <c r="N265" s="148"/>
      <c r="O265" s="148"/>
      <c r="P265" s="148"/>
      <c r="Q265" s="148">
        <f t="shared" si="22"/>
        <v>0</v>
      </c>
      <c r="R265" s="598"/>
    </row>
    <row r="266" spans="1:18" ht="15" hidden="1" customHeight="1" x14ac:dyDescent="0.2">
      <c r="A266" s="174"/>
      <c r="B266" s="174"/>
      <c r="C266" s="194"/>
      <c r="D266" s="277" t="s">
        <v>571</v>
      </c>
      <c r="E266" s="185">
        <v>1</v>
      </c>
      <c r="F266" s="148">
        <v>151417</v>
      </c>
      <c r="G266" s="148"/>
      <c r="H266" s="179"/>
      <c r="I266" s="148"/>
      <c r="J266" s="179"/>
      <c r="K266" s="179"/>
      <c r="L266" s="179"/>
      <c r="M266" s="148"/>
      <c r="N266" s="148"/>
      <c r="O266" s="148"/>
      <c r="P266" s="148"/>
      <c r="Q266" s="148">
        <f t="shared" si="22"/>
        <v>0</v>
      </c>
      <c r="R266" s="598"/>
    </row>
    <row r="267" spans="1:18" ht="15" customHeight="1" x14ac:dyDescent="0.2">
      <c r="A267" s="174"/>
      <c r="B267" s="174"/>
      <c r="C267" s="194"/>
      <c r="D267" s="277" t="s">
        <v>572</v>
      </c>
      <c r="E267" s="185">
        <v>2</v>
      </c>
      <c r="F267" s="148">
        <v>151407</v>
      </c>
      <c r="G267" s="148"/>
      <c r="H267" s="179"/>
      <c r="I267" s="148">
        <v>2545</v>
      </c>
      <c r="J267" s="179"/>
      <c r="K267" s="179"/>
      <c r="L267" s="179"/>
      <c r="M267" s="148"/>
      <c r="N267" s="148"/>
      <c r="O267" s="148"/>
      <c r="P267" s="148"/>
      <c r="Q267" s="148">
        <f t="shared" si="22"/>
        <v>2545</v>
      </c>
      <c r="R267" s="598" t="s">
        <v>1366</v>
      </c>
    </row>
    <row r="268" spans="1:18" ht="15" hidden="1" customHeight="1" x14ac:dyDescent="0.2">
      <c r="A268" s="174"/>
      <c r="B268" s="174"/>
      <c r="C268" s="194" t="s">
        <v>96</v>
      </c>
      <c r="D268" s="277" t="s">
        <v>573</v>
      </c>
      <c r="E268" s="185">
        <v>1</v>
      </c>
      <c r="F268" s="148">
        <v>151403</v>
      </c>
      <c r="G268" s="148"/>
      <c r="H268" s="179"/>
      <c r="I268" s="148"/>
      <c r="J268" s="179"/>
      <c r="K268" s="179"/>
      <c r="L268" s="179"/>
      <c r="M268" s="148"/>
      <c r="N268" s="148"/>
      <c r="O268" s="148"/>
      <c r="P268" s="148"/>
      <c r="Q268" s="148">
        <f t="shared" si="22"/>
        <v>0</v>
      </c>
      <c r="R268" s="598"/>
    </row>
    <row r="269" spans="1:18" ht="15" hidden="1" customHeight="1" x14ac:dyDescent="0.2">
      <c r="A269" s="174"/>
      <c r="B269" s="174"/>
      <c r="C269" s="194"/>
      <c r="D269" s="277" t="s">
        <v>574</v>
      </c>
      <c r="E269" s="185">
        <v>2</v>
      </c>
      <c r="F269" s="185">
        <v>151404</v>
      </c>
      <c r="G269" s="148"/>
      <c r="H269" s="179"/>
      <c r="I269" s="148"/>
      <c r="J269" s="179"/>
      <c r="K269" s="179"/>
      <c r="L269" s="179"/>
      <c r="M269" s="148"/>
      <c r="N269" s="148"/>
      <c r="O269" s="148"/>
      <c r="P269" s="148"/>
      <c r="Q269" s="148">
        <f t="shared" si="22"/>
        <v>0</v>
      </c>
      <c r="R269" s="598"/>
    </row>
    <row r="270" spans="1:18" ht="15" customHeight="1" x14ac:dyDescent="0.2">
      <c r="A270" s="174"/>
      <c r="B270" s="174"/>
      <c r="C270" s="194"/>
      <c r="D270" s="291" t="s">
        <v>575</v>
      </c>
      <c r="E270" s="185">
        <v>2</v>
      </c>
      <c r="F270" s="185">
        <v>151408</v>
      </c>
      <c r="G270" s="148"/>
      <c r="H270" s="179"/>
      <c r="I270" s="148">
        <v>-1000</v>
      </c>
      <c r="J270" s="179"/>
      <c r="K270" s="179"/>
      <c r="L270" s="179"/>
      <c r="M270" s="148"/>
      <c r="N270" s="148"/>
      <c r="O270" s="148"/>
      <c r="P270" s="289"/>
      <c r="Q270" s="148">
        <f t="shared" si="22"/>
        <v>-1000</v>
      </c>
      <c r="R270" s="598" t="s">
        <v>1366</v>
      </c>
    </row>
    <row r="271" spans="1:18" ht="15" hidden="1" customHeight="1" x14ac:dyDescent="0.2">
      <c r="A271" s="174"/>
      <c r="B271" s="174"/>
      <c r="C271" s="194"/>
      <c r="D271" s="291" t="s">
        <v>576</v>
      </c>
      <c r="E271" s="185">
        <v>1</v>
      </c>
      <c r="F271" s="185">
        <v>151409</v>
      </c>
      <c r="G271" s="148"/>
      <c r="H271" s="179"/>
      <c r="I271" s="148"/>
      <c r="J271" s="179"/>
      <c r="K271" s="179"/>
      <c r="L271" s="179"/>
      <c r="M271" s="148"/>
      <c r="N271" s="148"/>
      <c r="O271" s="148"/>
      <c r="P271" s="148"/>
      <c r="Q271" s="148">
        <f t="shared" si="22"/>
        <v>0</v>
      </c>
      <c r="R271" s="598"/>
    </row>
    <row r="272" spans="1:18" ht="15" customHeight="1" x14ac:dyDescent="0.2">
      <c r="A272" s="174"/>
      <c r="B272" s="174"/>
      <c r="C272" s="194"/>
      <c r="D272" s="277" t="s">
        <v>577</v>
      </c>
      <c r="E272" s="185"/>
      <c r="F272" s="185"/>
      <c r="G272" s="182"/>
      <c r="H272" s="179"/>
      <c r="I272" s="179"/>
      <c r="J272" s="179"/>
      <c r="K272" s="179"/>
      <c r="L272" s="179"/>
      <c r="M272" s="182"/>
      <c r="N272" s="182"/>
      <c r="O272" s="148"/>
      <c r="P272" s="148"/>
      <c r="Q272" s="148"/>
      <c r="R272" s="598"/>
    </row>
    <row r="273" spans="1:18" ht="24" customHeight="1" x14ac:dyDescent="0.2">
      <c r="A273" s="174"/>
      <c r="B273" s="174"/>
      <c r="C273" s="194"/>
      <c r="D273" s="150" t="s">
        <v>578</v>
      </c>
      <c r="E273" s="217">
        <v>1</v>
      </c>
      <c r="F273" s="226">
        <v>191129</v>
      </c>
      <c r="G273" s="225"/>
      <c r="H273" s="179"/>
      <c r="I273" s="179"/>
      <c r="J273" s="179"/>
      <c r="K273" s="179">
        <v>2115</v>
      </c>
      <c r="L273" s="179"/>
      <c r="M273" s="225"/>
      <c r="N273" s="225"/>
      <c r="O273" s="148"/>
      <c r="P273" s="148"/>
      <c r="Q273" s="148">
        <f>SUM(G273:P273)</f>
        <v>2115</v>
      </c>
      <c r="R273" s="598" t="s">
        <v>1365</v>
      </c>
    </row>
    <row r="274" spans="1:18" ht="14.25" customHeight="1" x14ac:dyDescent="0.2">
      <c r="A274" s="174"/>
      <c r="B274" s="174"/>
      <c r="C274" s="194"/>
      <c r="D274" s="288" t="s">
        <v>579</v>
      </c>
      <c r="E274" s="185"/>
      <c r="F274" s="185"/>
      <c r="G274" s="148"/>
      <c r="H274" s="179"/>
      <c r="I274" s="148"/>
      <c r="J274" s="179"/>
      <c r="K274" s="179"/>
      <c r="L274" s="179"/>
      <c r="M274" s="148"/>
      <c r="N274" s="148"/>
      <c r="O274" s="148"/>
      <c r="P274" s="148"/>
      <c r="Q274" s="148"/>
      <c r="R274" s="598"/>
    </row>
    <row r="275" spans="1:18" ht="15" customHeight="1" x14ac:dyDescent="0.2">
      <c r="A275" s="148"/>
      <c r="B275" s="148"/>
      <c r="C275" s="148"/>
      <c r="D275" s="277" t="s">
        <v>580</v>
      </c>
      <c r="E275" s="148">
        <v>1</v>
      </c>
      <c r="F275" s="148">
        <v>151102</v>
      </c>
      <c r="G275" s="148"/>
      <c r="H275" s="179"/>
      <c r="I275" s="148">
        <v>-358</v>
      </c>
      <c r="J275" s="179"/>
      <c r="K275" s="179"/>
      <c r="L275" s="179"/>
      <c r="M275" s="148"/>
      <c r="N275" s="148"/>
      <c r="O275" s="148"/>
      <c r="P275" s="148"/>
      <c r="Q275" s="148">
        <f>SUM(G275:P275)</f>
        <v>-358</v>
      </c>
      <c r="R275" s="598" t="s">
        <v>1366</v>
      </c>
    </row>
    <row r="276" spans="1:18" ht="15" hidden="1" customHeight="1" x14ac:dyDescent="0.2">
      <c r="A276" s="174"/>
      <c r="B276" s="174"/>
      <c r="C276" s="194"/>
      <c r="D276" s="277" t="s">
        <v>581</v>
      </c>
      <c r="E276" s="148">
        <v>1</v>
      </c>
      <c r="F276" s="148">
        <v>151103</v>
      </c>
      <c r="G276" s="148"/>
      <c r="H276" s="179"/>
      <c r="I276" s="148"/>
      <c r="J276" s="179"/>
      <c r="K276" s="179"/>
      <c r="L276" s="179"/>
      <c r="M276" s="148"/>
      <c r="N276" s="148"/>
      <c r="O276" s="148"/>
      <c r="P276" s="148"/>
      <c r="Q276" s="148">
        <f>SUM(G276:P276)</f>
        <v>0</v>
      </c>
      <c r="R276" s="598"/>
    </row>
    <row r="277" spans="1:18" ht="15" hidden="1" customHeight="1" x14ac:dyDescent="0.2">
      <c r="A277" s="174"/>
      <c r="B277" s="174"/>
      <c r="C277" s="194"/>
      <c r="D277" s="277" t="s">
        <v>582</v>
      </c>
      <c r="E277" s="148">
        <v>1</v>
      </c>
      <c r="F277" s="148">
        <v>151105</v>
      </c>
      <c r="G277" s="148"/>
      <c r="H277" s="179"/>
      <c r="I277" s="148"/>
      <c r="J277" s="179"/>
      <c r="K277" s="179"/>
      <c r="L277" s="179"/>
      <c r="M277" s="148"/>
      <c r="N277" s="148"/>
      <c r="O277" s="148"/>
      <c r="P277" s="148"/>
      <c r="Q277" s="148">
        <f>SUM(G277:P277)</f>
        <v>0</v>
      </c>
      <c r="R277" s="598"/>
    </row>
    <row r="278" spans="1:18" ht="15" customHeight="1" x14ac:dyDescent="0.2">
      <c r="A278" s="174"/>
      <c r="B278" s="174"/>
      <c r="C278" s="194"/>
      <c r="D278" s="277" t="s">
        <v>583</v>
      </c>
      <c r="E278" s="185"/>
      <c r="F278" s="185"/>
      <c r="G278" s="148"/>
      <c r="H278" s="179"/>
      <c r="I278" s="148"/>
      <c r="J278" s="179"/>
      <c r="K278" s="179"/>
      <c r="L278" s="179"/>
      <c r="M278" s="148"/>
      <c r="N278" s="148"/>
      <c r="O278" s="148"/>
      <c r="P278" s="148"/>
      <c r="Q278" s="148"/>
      <c r="R278" s="598"/>
    </row>
    <row r="279" spans="1:18" ht="15" hidden="1" customHeight="1" x14ac:dyDescent="0.2">
      <c r="A279" s="174"/>
      <c r="B279" s="174"/>
      <c r="C279" s="194"/>
      <c r="D279" s="288" t="s">
        <v>584</v>
      </c>
      <c r="E279" s="185">
        <v>1</v>
      </c>
      <c r="F279" s="148">
        <v>151301</v>
      </c>
      <c r="G279" s="148"/>
      <c r="H279" s="179"/>
      <c r="I279" s="148"/>
      <c r="J279" s="179"/>
      <c r="K279" s="179"/>
      <c r="L279" s="179"/>
      <c r="M279" s="148"/>
      <c r="N279" s="148"/>
      <c r="O279" s="148"/>
      <c r="P279" s="148"/>
      <c r="Q279" s="148">
        <f t="shared" ref="Q279:Q294" si="23">SUM(G279:P279)</f>
        <v>0</v>
      </c>
      <c r="R279" s="598"/>
    </row>
    <row r="280" spans="1:18" ht="15" hidden="1" customHeight="1" x14ac:dyDescent="0.2">
      <c r="A280" s="174"/>
      <c r="B280" s="174"/>
      <c r="C280" s="194"/>
      <c r="D280" s="288" t="s">
        <v>585</v>
      </c>
      <c r="E280" s="185">
        <v>1</v>
      </c>
      <c r="F280" s="148">
        <v>151310</v>
      </c>
      <c r="G280" s="148"/>
      <c r="H280" s="179"/>
      <c r="I280" s="148"/>
      <c r="J280" s="179"/>
      <c r="K280" s="179"/>
      <c r="L280" s="179"/>
      <c r="M280" s="148"/>
      <c r="N280" s="148"/>
      <c r="O280" s="148"/>
      <c r="P280" s="148"/>
      <c r="Q280" s="148">
        <f t="shared" si="23"/>
        <v>0</v>
      </c>
      <c r="R280" s="598"/>
    </row>
    <row r="281" spans="1:18" ht="15" hidden="1" customHeight="1" x14ac:dyDescent="0.2">
      <c r="A281" s="174"/>
      <c r="B281" s="174"/>
      <c r="C281" s="194"/>
      <c r="D281" s="288" t="s">
        <v>586</v>
      </c>
      <c r="E281" s="185">
        <v>1</v>
      </c>
      <c r="F281" s="148">
        <v>151313</v>
      </c>
      <c r="G281" s="148"/>
      <c r="H281" s="179"/>
      <c r="I281" s="148"/>
      <c r="J281" s="179"/>
      <c r="K281" s="179"/>
      <c r="L281" s="179"/>
      <c r="M281" s="148"/>
      <c r="N281" s="148"/>
      <c r="O281" s="148"/>
      <c r="P281" s="148"/>
      <c r="Q281" s="148">
        <f t="shared" si="23"/>
        <v>0</v>
      </c>
      <c r="R281" s="598"/>
    </row>
    <row r="282" spans="1:18" ht="15" hidden="1" customHeight="1" x14ac:dyDescent="0.2">
      <c r="A282" s="174"/>
      <c r="B282" s="174"/>
      <c r="C282" s="194"/>
      <c r="D282" s="288" t="s">
        <v>587</v>
      </c>
      <c r="E282" s="185">
        <v>1</v>
      </c>
      <c r="F282" s="148">
        <v>151314</v>
      </c>
      <c r="G282" s="148"/>
      <c r="H282" s="179"/>
      <c r="I282" s="148"/>
      <c r="J282" s="179"/>
      <c r="K282" s="179"/>
      <c r="L282" s="179"/>
      <c r="M282" s="148"/>
      <c r="N282" s="148"/>
      <c r="O282" s="148"/>
      <c r="P282" s="148"/>
      <c r="Q282" s="148">
        <f t="shared" si="23"/>
        <v>0</v>
      </c>
      <c r="R282" s="598"/>
    </row>
    <row r="283" spans="1:18" ht="15" hidden="1" customHeight="1" x14ac:dyDescent="0.2">
      <c r="A283" s="174"/>
      <c r="B283" s="174"/>
      <c r="C283" s="194"/>
      <c r="D283" s="288" t="s">
        <v>588</v>
      </c>
      <c r="E283" s="185">
        <v>1</v>
      </c>
      <c r="F283" s="148">
        <v>151320</v>
      </c>
      <c r="G283" s="148"/>
      <c r="H283" s="179"/>
      <c r="I283" s="148"/>
      <c r="J283" s="179"/>
      <c r="K283" s="179"/>
      <c r="L283" s="179"/>
      <c r="M283" s="148"/>
      <c r="N283" s="148"/>
      <c r="O283" s="148"/>
      <c r="P283" s="148"/>
      <c r="Q283" s="148">
        <f t="shared" si="23"/>
        <v>0</v>
      </c>
      <c r="R283" s="598"/>
    </row>
    <row r="284" spans="1:18" ht="15" hidden="1" customHeight="1" x14ac:dyDescent="0.2">
      <c r="A284" s="174"/>
      <c r="B284" s="174"/>
      <c r="C284" s="194"/>
      <c r="D284" s="288" t="s">
        <v>589</v>
      </c>
      <c r="E284" s="185">
        <v>1</v>
      </c>
      <c r="F284" s="148">
        <v>151317</v>
      </c>
      <c r="G284" s="148"/>
      <c r="H284" s="179"/>
      <c r="I284" s="148"/>
      <c r="J284" s="179"/>
      <c r="K284" s="179"/>
      <c r="L284" s="179"/>
      <c r="M284" s="148"/>
      <c r="N284" s="148"/>
      <c r="O284" s="148"/>
      <c r="P284" s="148"/>
      <c r="Q284" s="148">
        <f t="shared" si="23"/>
        <v>0</v>
      </c>
      <c r="R284" s="598"/>
    </row>
    <row r="285" spans="1:18" ht="19.5" hidden="1" customHeight="1" x14ac:dyDescent="0.2">
      <c r="A285" s="174"/>
      <c r="B285" s="174"/>
      <c r="C285" s="194"/>
      <c r="D285" s="150" t="s">
        <v>590</v>
      </c>
      <c r="E285" s="185">
        <v>1</v>
      </c>
      <c r="F285" s="388">
        <v>151306</v>
      </c>
      <c r="G285" s="148"/>
      <c r="H285" s="179"/>
      <c r="I285" s="148"/>
      <c r="J285" s="179"/>
      <c r="K285" s="179"/>
      <c r="L285" s="179"/>
      <c r="M285" s="148"/>
      <c r="N285" s="148"/>
      <c r="O285" s="148"/>
      <c r="P285" s="148"/>
      <c r="Q285" s="148">
        <f t="shared" si="23"/>
        <v>0</v>
      </c>
      <c r="R285" s="598"/>
    </row>
    <row r="286" spans="1:18" ht="31.5" customHeight="1" x14ac:dyDescent="0.2">
      <c r="A286" s="174"/>
      <c r="B286" s="174"/>
      <c r="C286" s="194"/>
      <c r="D286" s="150" t="s">
        <v>591</v>
      </c>
      <c r="E286" s="185">
        <v>1</v>
      </c>
      <c r="F286" s="148">
        <v>151307</v>
      </c>
      <c r="G286" s="148"/>
      <c r="H286" s="179"/>
      <c r="I286" s="148">
        <v>230</v>
      </c>
      <c r="J286" s="179"/>
      <c r="K286" s="179"/>
      <c r="L286" s="179"/>
      <c r="M286" s="148"/>
      <c r="N286" s="148"/>
      <c r="O286" s="148"/>
      <c r="P286" s="289"/>
      <c r="Q286" s="148">
        <f t="shared" si="23"/>
        <v>230</v>
      </c>
      <c r="R286" s="598" t="s">
        <v>1366</v>
      </c>
    </row>
    <row r="287" spans="1:18" ht="24" customHeight="1" x14ac:dyDescent="0.2">
      <c r="A287" s="174"/>
      <c r="B287" s="174"/>
      <c r="C287" s="194"/>
      <c r="D287" s="150" t="s">
        <v>592</v>
      </c>
      <c r="E287" s="185">
        <v>1</v>
      </c>
      <c r="F287" s="148">
        <v>151308</v>
      </c>
      <c r="G287" s="148"/>
      <c r="H287" s="179"/>
      <c r="I287" s="148">
        <v>100</v>
      </c>
      <c r="J287" s="179"/>
      <c r="K287" s="179"/>
      <c r="L287" s="179"/>
      <c r="M287" s="148"/>
      <c r="N287" s="148"/>
      <c r="O287" s="148"/>
      <c r="P287" s="148"/>
      <c r="Q287" s="148">
        <f t="shared" si="23"/>
        <v>100</v>
      </c>
      <c r="R287" s="598" t="s">
        <v>1366</v>
      </c>
    </row>
    <row r="288" spans="1:18" ht="24" hidden="1" customHeight="1" x14ac:dyDescent="0.2">
      <c r="A288" s="174"/>
      <c r="B288" s="174"/>
      <c r="C288" s="194"/>
      <c r="D288" s="150" t="s">
        <v>593</v>
      </c>
      <c r="E288" s="217">
        <v>1</v>
      </c>
      <c r="F288" s="226">
        <v>151311</v>
      </c>
      <c r="G288" s="148"/>
      <c r="H288" s="179"/>
      <c r="I288" s="148"/>
      <c r="J288" s="179"/>
      <c r="K288" s="179"/>
      <c r="L288" s="179"/>
      <c r="M288" s="148"/>
      <c r="N288" s="148"/>
      <c r="O288" s="148"/>
      <c r="P288" s="148"/>
      <c r="Q288" s="148">
        <f t="shared" si="23"/>
        <v>0</v>
      </c>
      <c r="R288" s="598"/>
    </row>
    <row r="289" spans="1:18" ht="15" hidden="1" customHeight="1" x14ac:dyDescent="0.2">
      <c r="A289" s="174"/>
      <c r="B289" s="174"/>
      <c r="C289" s="194"/>
      <c r="D289" s="277" t="s">
        <v>594</v>
      </c>
      <c r="E289" s="185">
        <v>1</v>
      </c>
      <c r="F289" s="148">
        <v>151312</v>
      </c>
      <c r="G289" s="148"/>
      <c r="H289" s="179"/>
      <c r="I289" s="148"/>
      <c r="J289" s="179"/>
      <c r="K289" s="179"/>
      <c r="L289" s="179"/>
      <c r="M289" s="148"/>
      <c r="N289" s="148"/>
      <c r="O289" s="148"/>
      <c r="P289" s="148"/>
      <c r="Q289" s="148">
        <f t="shared" si="23"/>
        <v>0</v>
      </c>
      <c r="R289" s="598"/>
    </row>
    <row r="290" spans="1:18" ht="17.25" hidden="1" customHeight="1" x14ac:dyDescent="0.2">
      <c r="A290" s="174"/>
      <c r="B290" s="174"/>
      <c r="C290" s="194"/>
      <c r="D290" s="150" t="s">
        <v>595</v>
      </c>
      <c r="E290" s="185">
        <v>1</v>
      </c>
      <c r="F290" s="148">
        <v>151302</v>
      </c>
      <c r="G290" s="148"/>
      <c r="H290" s="179"/>
      <c r="I290" s="148"/>
      <c r="J290" s="179"/>
      <c r="K290" s="179"/>
      <c r="L290" s="179"/>
      <c r="M290" s="148"/>
      <c r="N290" s="148"/>
      <c r="O290" s="148"/>
      <c r="P290" s="148"/>
      <c r="Q290" s="148">
        <f t="shared" si="23"/>
        <v>0</v>
      </c>
      <c r="R290" s="598"/>
    </row>
    <row r="291" spans="1:18" ht="25.5" hidden="1" customHeight="1" x14ac:dyDescent="0.2">
      <c r="A291" s="174"/>
      <c r="B291" s="174"/>
      <c r="C291" s="194"/>
      <c r="D291" s="149" t="s">
        <v>596</v>
      </c>
      <c r="E291" s="185">
        <v>1</v>
      </c>
      <c r="F291" s="148">
        <v>151303</v>
      </c>
      <c r="G291" s="148"/>
      <c r="H291" s="179"/>
      <c r="I291" s="148"/>
      <c r="J291" s="179"/>
      <c r="K291" s="179"/>
      <c r="L291" s="179"/>
      <c r="M291" s="148"/>
      <c r="N291" s="148"/>
      <c r="O291" s="148"/>
      <c r="P291" s="148"/>
      <c r="Q291" s="148">
        <f t="shared" si="23"/>
        <v>0</v>
      </c>
      <c r="R291" s="598"/>
    </row>
    <row r="292" spans="1:18" ht="25.5" hidden="1" customHeight="1" x14ac:dyDescent="0.2">
      <c r="A292" s="174"/>
      <c r="B292" s="174"/>
      <c r="C292" s="194"/>
      <c r="D292" s="292" t="s">
        <v>597</v>
      </c>
      <c r="E292" s="293">
        <v>2</v>
      </c>
      <c r="F292" s="226">
        <v>151315</v>
      </c>
      <c r="G292" s="148"/>
      <c r="H292" s="179"/>
      <c r="I292" s="148"/>
      <c r="J292" s="179"/>
      <c r="K292" s="179"/>
      <c r="L292" s="179"/>
      <c r="M292" s="148"/>
      <c r="N292" s="148"/>
      <c r="O292" s="148"/>
      <c r="P292" s="148"/>
      <c r="Q292" s="148">
        <f t="shared" si="23"/>
        <v>0</v>
      </c>
      <c r="R292" s="598"/>
    </row>
    <row r="293" spans="1:18" ht="25.5" hidden="1" customHeight="1" x14ac:dyDescent="0.2">
      <c r="A293" s="174"/>
      <c r="B293" s="174"/>
      <c r="C293" s="194"/>
      <c r="D293" s="515" t="s">
        <v>1140</v>
      </c>
      <c r="E293" s="294">
        <v>1</v>
      </c>
      <c r="F293" s="226">
        <v>151321</v>
      </c>
      <c r="G293" s="148"/>
      <c r="H293" s="179"/>
      <c r="I293" s="148"/>
      <c r="J293" s="179"/>
      <c r="K293" s="179"/>
      <c r="L293" s="179"/>
      <c r="M293" s="148"/>
      <c r="N293" s="148"/>
      <c r="O293" s="148"/>
      <c r="P293" s="148"/>
      <c r="Q293" s="148">
        <f t="shared" si="23"/>
        <v>0</v>
      </c>
      <c r="R293" s="598"/>
    </row>
    <row r="294" spans="1:18" ht="25.5" hidden="1" customHeight="1" x14ac:dyDescent="0.2">
      <c r="A294" s="174"/>
      <c r="B294" s="174"/>
      <c r="C294" s="194"/>
      <c r="D294" s="150" t="s">
        <v>598</v>
      </c>
      <c r="E294" s="156">
        <v>1</v>
      </c>
      <c r="F294" s="226">
        <v>151319</v>
      </c>
      <c r="G294" s="148"/>
      <c r="H294" s="179"/>
      <c r="I294" s="148"/>
      <c r="J294" s="179"/>
      <c r="K294" s="179"/>
      <c r="L294" s="179"/>
      <c r="M294" s="148"/>
      <c r="N294" s="148"/>
      <c r="O294" s="148"/>
      <c r="P294" s="148"/>
      <c r="Q294" s="148">
        <f t="shared" si="23"/>
        <v>0</v>
      </c>
      <c r="R294" s="598"/>
    </row>
    <row r="295" spans="1:18" ht="24.95" hidden="1" customHeight="1" x14ac:dyDescent="0.2">
      <c r="A295" s="174"/>
      <c r="B295" s="174"/>
      <c r="C295" s="194"/>
      <c r="D295" s="150" t="s">
        <v>599</v>
      </c>
      <c r="E295" s="217"/>
      <c r="F295" s="217"/>
      <c r="G295" s="148"/>
      <c r="H295" s="179"/>
      <c r="I295" s="148"/>
      <c r="J295" s="179"/>
      <c r="K295" s="179"/>
      <c r="L295" s="179"/>
      <c r="M295" s="148"/>
      <c r="N295" s="148"/>
      <c r="O295" s="148"/>
      <c r="P295" s="148"/>
      <c r="Q295" s="148"/>
      <c r="R295" s="598"/>
    </row>
    <row r="296" spans="1:18" ht="14.1" hidden="1" customHeight="1" x14ac:dyDescent="0.2">
      <c r="A296" s="174"/>
      <c r="B296" s="174"/>
      <c r="C296" s="194"/>
      <c r="D296" s="277" t="s">
        <v>600</v>
      </c>
      <c r="E296" s="148">
        <v>1</v>
      </c>
      <c r="F296" s="148">
        <v>151703</v>
      </c>
      <c r="G296" s="148"/>
      <c r="H296" s="179"/>
      <c r="I296" s="148"/>
      <c r="J296" s="179"/>
      <c r="K296" s="179"/>
      <c r="L296" s="179"/>
      <c r="M296" s="148"/>
      <c r="N296" s="148"/>
      <c r="O296" s="148"/>
      <c r="P296" s="148"/>
      <c r="Q296" s="148">
        <f>SUM(G296:P296)</f>
        <v>0</v>
      </c>
      <c r="R296" s="598"/>
    </row>
    <row r="297" spans="1:18" ht="14.1" customHeight="1" x14ac:dyDescent="0.2">
      <c r="A297" s="174"/>
      <c r="B297" s="174"/>
      <c r="C297" s="194"/>
      <c r="D297" s="288" t="s">
        <v>252</v>
      </c>
      <c r="E297" s="185"/>
      <c r="F297" s="185"/>
      <c r="G297" s="148"/>
      <c r="H297" s="179"/>
      <c r="I297" s="148"/>
      <c r="J297" s="179"/>
      <c r="K297" s="179"/>
      <c r="L297" s="179"/>
      <c r="M297" s="148"/>
      <c r="N297" s="148"/>
      <c r="O297" s="148"/>
      <c r="P297" s="148"/>
      <c r="Q297" s="148"/>
      <c r="R297" s="598"/>
    </row>
    <row r="298" spans="1:18" ht="14.1" customHeight="1" x14ac:dyDescent="0.2">
      <c r="A298" s="174"/>
      <c r="B298" s="174"/>
      <c r="C298" s="194"/>
      <c r="D298" s="277" t="s">
        <v>601</v>
      </c>
      <c r="E298" s="148">
        <v>1</v>
      </c>
      <c r="F298" s="148">
        <v>151601</v>
      </c>
      <c r="G298" s="148">
        <v>43</v>
      </c>
      <c r="H298" s="179">
        <v>8</v>
      </c>
      <c r="I298" s="148">
        <v>7949</v>
      </c>
      <c r="J298" s="179"/>
      <c r="K298" s="179"/>
      <c r="L298" s="179"/>
      <c r="M298" s="148"/>
      <c r="N298" s="148"/>
      <c r="O298" s="148"/>
      <c r="P298" s="148"/>
      <c r="Q298" s="148">
        <f t="shared" ref="Q298:Q317" si="24">SUM(G298:P298)</f>
        <v>8000</v>
      </c>
      <c r="R298" s="598" t="s">
        <v>1282</v>
      </c>
    </row>
    <row r="299" spans="1:18" ht="14.1" hidden="1" customHeight="1" x14ac:dyDescent="0.2">
      <c r="A299" s="174"/>
      <c r="B299" s="174"/>
      <c r="C299" s="194"/>
      <c r="D299" s="277" t="s">
        <v>602</v>
      </c>
      <c r="E299" s="148">
        <v>1</v>
      </c>
      <c r="F299" s="148">
        <v>151602</v>
      </c>
      <c r="G299" s="148"/>
      <c r="H299" s="179"/>
      <c r="I299" s="148"/>
      <c r="J299" s="179"/>
      <c r="K299" s="179"/>
      <c r="L299" s="179"/>
      <c r="M299" s="148"/>
      <c r="N299" s="148"/>
      <c r="O299" s="148"/>
      <c r="P299" s="148"/>
      <c r="Q299" s="148">
        <f t="shared" si="24"/>
        <v>0</v>
      </c>
      <c r="R299" s="598"/>
    </row>
    <row r="300" spans="1:18" ht="14.1" hidden="1" customHeight="1" x14ac:dyDescent="0.2">
      <c r="A300" s="174"/>
      <c r="B300" s="174"/>
      <c r="C300" s="194"/>
      <c r="D300" s="277" t="s">
        <v>603</v>
      </c>
      <c r="E300" s="148">
        <v>1</v>
      </c>
      <c r="F300" s="148">
        <v>151607</v>
      </c>
      <c r="G300" s="148"/>
      <c r="H300" s="179"/>
      <c r="I300" s="148"/>
      <c r="J300" s="179"/>
      <c r="K300" s="179"/>
      <c r="L300" s="179"/>
      <c r="M300" s="148"/>
      <c r="N300" s="148"/>
      <c r="O300" s="148"/>
      <c r="P300" s="148"/>
      <c r="Q300" s="148">
        <f t="shared" si="24"/>
        <v>0</v>
      </c>
      <c r="R300" s="598"/>
    </row>
    <row r="301" spans="1:18" ht="14.1" hidden="1" customHeight="1" x14ac:dyDescent="0.2">
      <c r="A301" s="174"/>
      <c r="B301" s="174"/>
      <c r="C301" s="194"/>
      <c r="D301" s="277" t="s">
        <v>604</v>
      </c>
      <c r="E301" s="148">
        <v>2</v>
      </c>
      <c r="F301" s="148">
        <v>151610</v>
      </c>
      <c r="G301" s="148"/>
      <c r="H301" s="179"/>
      <c r="I301" s="148"/>
      <c r="J301" s="179"/>
      <c r="K301" s="179"/>
      <c r="L301" s="179"/>
      <c r="M301" s="148"/>
      <c r="N301" s="148"/>
      <c r="O301" s="148"/>
      <c r="P301" s="148"/>
      <c r="Q301" s="148">
        <f t="shared" si="24"/>
        <v>0</v>
      </c>
      <c r="R301" s="598"/>
    </row>
    <row r="302" spans="1:18" ht="14.1" hidden="1" customHeight="1" x14ac:dyDescent="0.2">
      <c r="A302" s="578"/>
      <c r="B302" s="578"/>
      <c r="C302" s="579"/>
      <c r="D302" s="694" t="s">
        <v>1301</v>
      </c>
      <c r="E302" s="582">
        <v>2</v>
      </c>
      <c r="F302" s="582">
        <v>151640</v>
      </c>
      <c r="G302" s="582"/>
      <c r="H302" s="583"/>
      <c r="I302" s="610"/>
      <c r="J302" s="583"/>
      <c r="K302" s="583"/>
      <c r="L302" s="583"/>
      <c r="M302" s="582"/>
      <c r="N302" s="582"/>
      <c r="O302" s="582"/>
      <c r="P302" s="582"/>
      <c r="Q302" s="148">
        <f t="shared" si="24"/>
        <v>0</v>
      </c>
      <c r="R302" s="598"/>
    </row>
    <row r="303" spans="1:18" ht="51" hidden="1" customHeight="1" x14ac:dyDescent="0.2">
      <c r="A303" s="578"/>
      <c r="B303" s="578"/>
      <c r="C303" s="579"/>
      <c r="D303" s="700" t="s">
        <v>1141</v>
      </c>
      <c r="E303" s="582">
        <v>2</v>
      </c>
      <c r="F303" s="582">
        <v>151623</v>
      </c>
      <c r="G303" s="582"/>
      <c r="H303" s="583"/>
      <c r="I303" s="582"/>
      <c r="J303" s="583"/>
      <c r="K303" s="583"/>
      <c r="L303" s="583"/>
      <c r="M303" s="582"/>
      <c r="N303" s="582"/>
      <c r="O303" s="582"/>
      <c r="P303" s="582"/>
      <c r="Q303" s="148">
        <f t="shared" si="24"/>
        <v>0</v>
      </c>
      <c r="R303" s="598"/>
    </row>
    <row r="304" spans="1:18" ht="24" customHeight="1" x14ac:dyDescent="0.2">
      <c r="A304" s="174" t="s">
        <v>96</v>
      </c>
      <c r="B304" s="174"/>
      <c r="C304" s="194"/>
      <c r="D304" s="150" t="s">
        <v>605</v>
      </c>
      <c r="E304" s="185">
        <v>2</v>
      </c>
      <c r="F304" s="148">
        <v>151619</v>
      </c>
      <c r="G304" s="148"/>
      <c r="H304" s="179"/>
      <c r="I304" s="148">
        <v>-1347</v>
      </c>
      <c r="J304" s="179"/>
      <c r="K304" s="179"/>
      <c r="L304" s="179"/>
      <c r="M304" s="148"/>
      <c r="N304" s="148"/>
      <c r="O304" s="148"/>
      <c r="P304" s="148"/>
      <c r="Q304" s="148">
        <f t="shared" si="24"/>
        <v>-1347</v>
      </c>
      <c r="R304" s="598" t="s">
        <v>1282</v>
      </c>
    </row>
    <row r="305" spans="1:18" ht="14.25" hidden="1" customHeight="1" x14ac:dyDescent="0.2">
      <c r="A305" s="578"/>
      <c r="B305" s="578"/>
      <c r="C305" s="579"/>
      <c r="D305" s="580" t="s">
        <v>1142</v>
      </c>
      <c r="E305" s="596">
        <v>2</v>
      </c>
      <c r="F305" s="582">
        <v>151639</v>
      </c>
      <c r="G305" s="582"/>
      <c r="H305" s="583"/>
      <c r="I305" s="582"/>
      <c r="J305" s="583"/>
      <c r="K305" s="583"/>
      <c r="L305" s="583"/>
      <c r="M305" s="582"/>
      <c r="N305" s="582"/>
      <c r="O305" s="582"/>
      <c r="P305" s="582"/>
      <c r="Q305" s="148">
        <f t="shared" si="24"/>
        <v>0</v>
      </c>
      <c r="R305" s="598"/>
    </row>
    <row r="306" spans="1:18" ht="14.1" hidden="1" customHeight="1" x14ac:dyDescent="0.2">
      <c r="A306" s="174"/>
      <c r="B306" s="174"/>
      <c r="C306" s="194"/>
      <c r="D306" s="288" t="s">
        <v>606</v>
      </c>
      <c r="E306" s="153">
        <v>2</v>
      </c>
      <c r="F306" s="148">
        <v>151626</v>
      </c>
      <c r="G306" s="148"/>
      <c r="H306" s="179"/>
      <c r="I306" s="148"/>
      <c r="J306" s="179"/>
      <c r="K306" s="179"/>
      <c r="L306" s="179"/>
      <c r="M306" s="148"/>
      <c r="N306" s="148"/>
      <c r="O306" s="148"/>
      <c r="P306" s="148"/>
      <c r="Q306" s="148">
        <f t="shared" si="24"/>
        <v>0</v>
      </c>
      <c r="R306" s="598"/>
    </row>
    <row r="307" spans="1:18" ht="24.95" hidden="1" customHeight="1" x14ac:dyDescent="0.2">
      <c r="A307" s="174"/>
      <c r="B307" s="174"/>
      <c r="C307" s="194"/>
      <c r="D307" s="149" t="s">
        <v>607</v>
      </c>
      <c r="E307" s="156">
        <v>2</v>
      </c>
      <c r="F307" s="508">
        <v>151627</v>
      </c>
      <c r="G307" s="148"/>
      <c r="H307" s="179"/>
      <c r="I307" s="148"/>
      <c r="J307" s="179"/>
      <c r="K307" s="179"/>
      <c r="L307" s="179"/>
      <c r="M307" s="148"/>
      <c r="N307" s="148"/>
      <c r="O307" s="148"/>
      <c r="P307" s="148"/>
      <c r="Q307" s="148">
        <f t="shared" si="24"/>
        <v>0</v>
      </c>
      <c r="R307" s="598"/>
    </row>
    <row r="308" spans="1:18" ht="16.5" hidden="1" customHeight="1" x14ac:dyDescent="0.2">
      <c r="A308" s="174"/>
      <c r="B308" s="174"/>
      <c r="C308" s="194"/>
      <c r="D308" s="288" t="s">
        <v>608</v>
      </c>
      <c r="E308" s="156">
        <v>2</v>
      </c>
      <c r="F308" s="226">
        <v>151638</v>
      </c>
      <c r="G308" s="148"/>
      <c r="H308" s="179"/>
      <c r="I308" s="148"/>
      <c r="J308" s="179"/>
      <c r="K308" s="179"/>
      <c r="L308" s="179"/>
      <c r="M308" s="148"/>
      <c r="N308" s="148"/>
      <c r="O308" s="148"/>
      <c r="P308" s="148"/>
      <c r="Q308" s="148">
        <f t="shared" si="24"/>
        <v>0</v>
      </c>
      <c r="R308" s="598"/>
    </row>
    <row r="309" spans="1:18" ht="14.1" hidden="1" customHeight="1" x14ac:dyDescent="0.2">
      <c r="A309" s="174"/>
      <c r="B309" s="174"/>
      <c r="C309" s="194"/>
      <c r="D309" s="277" t="s">
        <v>609</v>
      </c>
      <c r="E309" s="148">
        <v>1</v>
      </c>
      <c r="F309" s="148">
        <v>151603</v>
      </c>
      <c r="G309" s="148"/>
      <c r="H309" s="179"/>
      <c r="I309" s="148"/>
      <c r="J309" s="179"/>
      <c r="K309" s="179"/>
      <c r="L309" s="179"/>
      <c r="M309" s="148"/>
      <c r="N309" s="148"/>
      <c r="O309" s="148"/>
      <c r="P309" s="148"/>
      <c r="Q309" s="148">
        <f t="shared" si="24"/>
        <v>0</v>
      </c>
      <c r="R309" s="598"/>
    </row>
    <row r="310" spans="1:18" ht="14.1" hidden="1" customHeight="1" x14ac:dyDescent="0.2">
      <c r="A310" s="174"/>
      <c r="B310" s="174"/>
      <c r="C310" s="194"/>
      <c r="D310" s="277" t="s">
        <v>610</v>
      </c>
      <c r="E310" s="148">
        <v>1</v>
      </c>
      <c r="F310" s="148">
        <v>151605</v>
      </c>
      <c r="G310" s="148"/>
      <c r="H310" s="179"/>
      <c r="I310" s="148"/>
      <c r="J310" s="179"/>
      <c r="K310" s="179"/>
      <c r="L310" s="179"/>
      <c r="M310" s="148"/>
      <c r="N310" s="148"/>
      <c r="O310" s="148"/>
      <c r="P310" s="148"/>
      <c r="Q310" s="148">
        <f t="shared" si="24"/>
        <v>0</v>
      </c>
      <c r="R310" s="598"/>
    </row>
    <row r="311" spans="1:18" ht="14.1" hidden="1" customHeight="1" x14ac:dyDescent="0.2">
      <c r="A311" s="174"/>
      <c r="B311" s="174"/>
      <c r="C311" s="194"/>
      <c r="D311" s="277" t="s">
        <v>611</v>
      </c>
      <c r="E311" s="148">
        <v>1</v>
      </c>
      <c r="F311" s="148">
        <v>151608</v>
      </c>
      <c r="G311" s="148"/>
      <c r="H311" s="179"/>
      <c r="I311" s="148"/>
      <c r="J311" s="179"/>
      <c r="K311" s="179"/>
      <c r="L311" s="179"/>
      <c r="M311" s="148"/>
      <c r="N311" s="148"/>
      <c r="O311" s="148"/>
      <c r="P311" s="289"/>
      <c r="Q311" s="148">
        <f t="shared" si="24"/>
        <v>0</v>
      </c>
      <c r="R311" s="598"/>
    </row>
    <row r="312" spans="1:18" ht="14.1" hidden="1" customHeight="1" x14ac:dyDescent="0.2">
      <c r="A312" s="174"/>
      <c r="B312" s="174"/>
      <c r="C312" s="194"/>
      <c r="D312" s="277" t="s">
        <v>612</v>
      </c>
      <c r="E312" s="148">
        <v>2</v>
      </c>
      <c r="F312" s="148">
        <v>151624</v>
      </c>
      <c r="G312" s="148"/>
      <c r="H312" s="179"/>
      <c r="I312" s="148"/>
      <c r="J312" s="179"/>
      <c r="K312" s="179"/>
      <c r="L312" s="179"/>
      <c r="M312" s="148"/>
      <c r="N312" s="148"/>
      <c r="O312" s="148"/>
      <c r="P312" s="148"/>
      <c r="Q312" s="148">
        <f t="shared" si="24"/>
        <v>0</v>
      </c>
      <c r="R312" s="598"/>
    </row>
    <row r="313" spans="1:18" ht="14.1" hidden="1" customHeight="1" x14ac:dyDescent="0.2">
      <c r="A313" s="174"/>
      <c r="B313" s="174"/>
      <c r="C313" s="194"/>
      <c r="D313" s="277" t="s">
        <v>613</v>
      </c>
      <c r="E313" s="148">
        <v>1</v>
      </c>
      <c r="F313" s="148">
        <v>151631</v>
      </c>
      <c r="G313" s="148"/>
      <c r="H313" s="179"/>
      <c r="I313" s="148"/>
      <c r="J313" s="179"/>
      <c r="K313" s="179"/>
      <c r="L313" s="179"/>
      <c r="M313" s="148"/>
      <c r="N313" s="148"/>
      <c r="O313" s="148"/>
      <c r="P313" s="289"/>
      <c r="Q313" s="148">
        <f t="shared" si="24"/>
        <v>0</v>
      </c>
      <c r="R313" s="598"/>
    </row>
    <row r="314" spans="1:18" ht="14.1" hidden="1" customHeight="1" x14ac:dyDescent="0.2">
      <c r="A314" s="174"/>
      <c r="B314" s="174"/>
      <c r="C314" s="194"/>
      <c r="D314" s="296" t="s">
        <v>614</v>
      </c>
      <c r="E314" s="148">
        <v>1</v>
      </c>
      <c r="F314" s="148">
        <v>151632</v>
      </c>
      <c r="G314" s="148"/>
      <c r="H314" s="179"/>
      <c r="I314" s="148"/>
      <c r="J314" s="179"/>
      <c r="K314" s="179"/>
      <c r="L314" s="179"/>
      <c r="M314" s="148"/>
      <c r="N314" s="148"/>
      <c r="O314" s="148"/>
      <c r="P314" s="289"/>
      <c r="Q314" s="148">
        <f t="shared" si="24"/>
        <v>0</v>
      </c>
      <c r="R314" s="598"/>
    </row>
    <row r="315" spans="1:18" ht="24.75" hidden="1" customHeight="1" x14ac:dyDescent="0.2">
      <c r="A315" s="174"/>
      <c r="B315" s="174"/>
      <c r="C315" s="194"/>
      <c r="D315" s="297" t="s">
        <v>615</v>
      </c>
      <c r="E315" s="148">
        <v>1</v>
      </c>
      <c r="F315" s="148">
        <v>151635</v>
      </c>
      <c r="G315" s="148"/>
      <c r="H315" s="179"/>
      <c r="I315" s="148"/>
      <c r="J315" s="179"/>
      <c r="K315" s="179"/>
      <c r="L315" s="179"/>
      <c r="M315" s="148"/>
      <c r="N315" s="148"/>
      <c r="O315" s="148"/>
      <c r="P315" s="289"/>
      <c r="Q315" s="148">
        <f t="shared" si="24"/>
        <v>0</v>
      </c>
      <c r="R315" s="598"/>
    </row>
    <row r="316" spans="1:18" ht="14.1" hidden="1" customHeight="1" x14ac:dyDescent="0.2">
      <c r="A316" s="174"/>
      <c r="B316" s="174"/>
      <c r="C316" s="194"/>
      <c r="D316" s="298" t="s">
        <v>616</v>
      </c>
      <c r="E316" s="148">
        <v>1</v>
      </c>
      <c r="F316" s="148">
        <v>151612</v>
      </c>
      <c r="G316" s="148"/>
      <c r="H316" s="179"/>
      <c r="I316" s="148"/>
      <c r="J316" s="179"/>
      <c r="K316" s="179"/>
      <c r="L316" s="179"/>
      <c r="M316" s="148"/>
      <c r="N316" s="148"/>
      <c r="O316" s="148"/>
      <c r="P316" s="289"/>
      <c r="Q316" s="148">
        <f t="shared" si="24"/>
        <v>0</v>
      </c>
      <c r="R316" s="598"/>
    </row>
    <row r="317" spans="1:18" ht="14.1" hidden="1" customHeight="1" x14ac:dyDescent="0.2">
      <c r="A317" s="174"/>
      <c r="B317" s="174"/>
      <c r="C317" s="194"/>
      <c r="D317" s="298" t="s">
        <v>617</v>
      </c>
      <c r="E317" s="148">
        <v>1</v>
      </c>
      <c r="F317" s="148">
        <v>151614</v>
      </c>
      <c r="G317" s="148"/>
      <c r="H317" s="179"/>
      <c r="I317" s="148"/>
      <c r="J317" s="179"/>
      <c r="K317" s="179"/>
      <c r="L317" s="179"/>
      <c r="M317" s="148"/>
      <c r="N317" s="148"/>
      <c r="O317" s="148"/>
      <c r="P317" s="289"/>
      <c r="Q317" s="148">
        <f t="shared" si="24"/>
        <v>0</v>
      </c>
      <c r="R317" s="598"/>
    </row>
    <row r="318" spans="1:18" ht="12.95" hidden="1" customHeight="1" x14ac:dyDescent="0.2">
      <c r="A318" s="174"/>
      <c r="B318" s="174"/>
      <c r="C318" s="194"/>
      <c r="D318" s="287" t="s">
        <v>540</v>
      </c>
      <c r="E318" s="148"/>
      <c r="F318" s="148"/>
      <c r="G318" s="148"/>
      <c r="H318" s="179"/>
      <c r="I318" s="148"/>
      <c r="J318" s="179"/>
      <c r="K318" s="179"/>
      <c r="L318" s="179"/>
      <c r="M318" s="148"/>
      <c r="N318" s="148"/>
      <c r="O318" s="148"/>
      <c r="P318" s="148"/>
      <c r="Q318" s="148"/>
      <c r="R318" s="598"/>
    </row>
    <row r="319" spans="1:18" ht="24" hidden="1" customHeight="1" x14ac:dyDescent="0.2">
      <c r="A319" s="174"/>
      <c r="B319" s="174"/>
      <c r="C319" s="194"/>
      <c r="D319" s="150" t="s">
        <v>618</v>
      </c>
      <c r="E319" s="148">
        <v>1</v>
      </c>
      <c r="F319" s="148">
        <v>151505</v>
      </c>
      <c r="G319" s="148"/>
      <c r="H319" s="179"/>
      <c r="I319" s="148"/>
      <c r="J319" s="179"/>
      <c r="K319" s="179"/>
      <c r="L319" s="179"/>
      <c r="M319" s="148"/>
      <c r="N319" s="148"/>
      <c r="O319" s="148"/>
      <c r="P319" s="148"/>
      <c r="Q319" s="148">
        <f>SUM(G319:P319)</f>
        <v>0</v>
      </c>
      <c r="R319" s="598"/>
    </row>
    <row r="320" spans="1:18" ht="12.95" customHeight="1" x14ac:dyDescent="0.2">
      <c r="A320" s="174"/>
      <c r="B320" s="174"/>
      <c r="C320" s="194"/>
      <c r="D320" s="288" t="s">
        <v>241</v>
      </c>
      <c r="E320" s="185"/>
      <c r="F320" s="185"/>
      <c r="G320" s="148"/>
      <c r="H320" s="179"/>
      <c r="I320" s="148"/>
      <c r="J320" s="179"/>
      <c r="K320" s="179"/>
      <c r="L320" s="179"/>
      <c r="M320" s="148"/>
      <c r="N320" s="148"/>
      <c r="O320" s="148"/>
      <c r="P320" s="148"/>
      <c r="Q320" s="148"/>
      <c r="R320" s="598"/>
    </row>
    <row r="321" spans="1:18" ht="14.1" hidden="1" customHeight="1" x14ac:dyDescent="0.2">
      <c r="A321" s="174"/>
      <c r="B321" s="174"/>
      <c r="C321" s="174"/>
      <c r="D321" s="277" t="s">
        <v>242</v>
      </c>
      <c r="E321" s="148">
        <v>2</v>
      </c>
      <c r="F321" s="148">
        <v>151906</v>
      </c>
      <c r="G321" s="148"/>
      <c r="H321" s="179"/>
      <c r="I321" s="148"/>
      <c r="J321" s="179"/>
      <c r="K321" s="179"/>
      <c r="L321" s="179"/>
      <c r="M321" s="148"/>
      <c r="N321" s="148"/>
      <c r="O321" s="148"/>
      <c r="P321" s="148"/>
      <c r="Q321" s="148">
        <f>SUM(G321:P321)</f>
        <v>0</v>
      </c>
      <c r="R321" s="598"/>
    </row>
    <row r="322" spans="1:18" ht="14.1" hidden="1" customHeight="1" x14ac:dyDescent="0.2">
      <c r="A322" s="174"/>
      <c r="B322" s="174"/>
      <c r="C322" s="194"/>
      <c r="D322" s="277" t="s">
        <v>619</v>
      </c>
      <c r="E322" s="148">
        <v>2</v>
      </c>
      <c r="F322" s="148">
        <v>151915</v>
      </c>
      <c r="G322" s="148"/>
      <c r="H322" s="179"/>
      <c r="I322" s="148"/>
      <c r="J322" s="179"/>
      <c r="K322" s="179"/>
      <c r="L322" s="179"/>
      <c r="M322" s="148"/>
      <c r="N322" s="148"/>
      <c r="O322" s="148"/>
      <c r="P322" s="148"/>
      <c r="Q322" s="148">
        <f>SUM(G322:P322)</f>
        <v>0</v>
      </c>
      <c r="R322" s="598"/>
    </row>
    <row r="323" spans="1:18" ht="14.1" hidden="1" customHeight="1" x14ac:dyDescent="0.2">
      <c r="A323" s="174"/>
      <c r="B323" s="174"/>
      <c r="C323" s="194"/>
      <c r="D323" s="277" t="s">
        <v>243</v>
      </c>
      <c r="E323" s="148">
        <v>2</v>
      </c>
      <c r="F323" s="148">
        <v>151907</v>
      </c>
      <c r="G323" s="148"/>
      <c r="H323" s="179"/>
      <c r="I323" s="148"/>
      <c r="J323" s="179"/>
      <c r="K323" s="179"/>
      <c r="L323" s="179"/>
      <c r="M323" s="148"/>
      <c r="N323" s="148"/>
      <c r="O323" s="148"/>
      <c r="P323" s="148"/>
      <c r="Q323" s="148">
        <f>SUM(G323:P323)</f>
        <v>0</v>
      </c>
      <c r="R323" s="598"/>
    </row>
    <row r="324" spans="1:18" ht="25.5" hidden="1" customHeight="1" x14ac:dyDescent="0.2">
      <c r="A324" s="174"/>
      <c r="B324" s="174"/>
      <c r="C324" s="194"/>
      <c r="D324" s="150" t="s">
        <v>620</v>
      </c>
      <c r="E324" s="148">
        <v>2</v>
      </c>
      <c r="F324" s="148">
        <v>151924</v>
      </c>
      <c r="G324" s="148"/>
      <c r="H324" s="179"/>
      <c r="I324" s="148"/>
      <c r="J324" s="179"/>
      <c r="K324" s="179"/>
      <c r="L324" s="179"/>
      <c r="M324" s="148"/>
      <c r="N324" s="148"/>
      <c r="O324" s="148"/>
      <c r="P324" s="148"/>
      <c r="Q324" s="148">
        <f>SUM(G324:P324)</f>
        <v>0</v>
      </c>
      <c r="R324" s="598"/>
    </row>
    <row r="325" spans="1:18" ht="18.75" customHeight="1" x14ac:dyDescent="0.2">
      <c r="A325" s="915"/>
      <c r="B325" s="915"/>
      <c r="C325" s="879"/>
      <c r="D325" s="919" t="s">
        <v>1369</v>
      </c>
      <c r="E325" s="920">
        <v>2</v>
      </c>
      <c r="F325" s="920">
        <v>151909</v>
      </c>
      <c r="G325" s="866"/>
      <c r="H325" s="917"/>
      <c r="I325" s="866"/>
      <c r="J325" s="917"/>
      <c r="K325" s="917">
        <v>2101</v>
      </c>
      <c r="L325" s="917"/>
      <c r="M325" s="866"/>
      <c r="N325" s="866"/>
      <c r="O325" s="866"/>
      <c r="P325" s="866"/>
      <c r="Q325" s="148">
        <f>SUM(G325:P325)</f>
        <v>2101</v>
      </c>
      <c r="R325" s="867" t="s">
        <v>1365</v>
      </c>
    </row>
    <row r="326" spans="1:18" ht="14.1" customHeight="1" x14ac:dyDescent="0.2">
      <c r="A326" s="174"/>
      <c r="B326" s="174"/>
      <c r="C326" s="194"/>
      <c r="D326" s="288" t="s">
        <v>621</v>
      </c>
      <c r="E326" s="185"/>
      <c r="F326" s="185"/>
      <c r="G326" s="148"/>
      <c r="H326" s="179"/>
      <c r="I326" s="148"/>
      <c r="J326" s="179"/>
      <c r="K326" s="179"/>
      <c r="L326" s="179"/>
      <c r="M326" s="148"/>
      <c r="N326" s="148"/>
      <c r="O326" s="148"/>
      <c r="P326" s="148"/>
      <c r="Q326" s="148"/>
      <c r="R326" s="598"/>
    </row>
    <row r="327" spans="1:18" ht="14.1" customHeight="1" x14ac:dyDescent="0.2">
      <c r="A327" s="174"/>
      <c r="B327" s="174"/>
      <c r="C327" s="194"/>
      <c r="D327" s="288" t="s">
        <v>622</v>
      </c>
      <c r="E327" s="185">
        <v>1</v>
      </c>
      <c r="F327" s="148">
        <v>151801</v>
      </c>
      <c r="G327" s="148"/>
      <c r="H327" s="179"/>
      <c r="I327" s="148"/>
      <c r="J327" s="179"/>
      <c r="K327" s="179">
        <v>1016</v>
      </c>
      <c r="L327" s="179"/>
      <c r="M327" s="148"/>
      <c r="N327" s="148"/>
      <c r="O327" s="148"/>
      <c r="P327" s="148"/>
      <c r="Q327" s="148">
        <f>SUM(G327:P327)</f>
        <v>1016</v>
      </c>
      <c r="R327" s="598" t="s">
        <v>1366</v>
      </c>
    </row>
    <row r="328" spans="1:18" ht="14.1" hidden="1" customHeight="1" x14ac:dyDescent="0.2">
      <c r="A328" s="174"/>
      <c r="B328" s="174"/>
      <c r="C328" s="194"/>
      <c r="D328" s="288" t="s">
        <v>623</v>
      </c>
      <c r="E328" s="185">
        <v>1</v>
      </c>
      <c r="F328" s="148">
        <v>151803</v>
      </c>
      <c r="G328" s="148"/>
      <c r="H328" s="179"/>
      <c r="I328" s="148"/>
      <c r="J328" s="179"/>
      <c r="K328" s="179"/>
      <c r="L328" s="179"/>
      <c r="M328" s="148"/>
      <c r="N328" s="148"/>
      <c r="O328" s="148"/>
      <c r="P328" s="148"/>
      <c r="Q328" s="148">
        <f>SUM(G328:P328)</f>
        <v>0</v>
      </c>
      <c r="R328" s="598"/>
    </row>
    <row r="329" spans="1:18" ht="14.1" hidden="1" customHeight="1" x14ac:dyDescent="0.2">
      <c r="A329" s="174"/>
      <c r="B329" s="174"/>
      <c r="C329" s="194"/>
      <c r="D329" s="299" t="s">
        <v>624</v>
      </c>
      <c r="E329" s="188">
        <v>1</v>
      </c>
      <c r="F329" s="148">
        <v>151802</v>
      </c>
      <c r="G329" s="148"/>
      <c r="H329" s="179"/>
      <c r="I329" s="148"/>
      <c r="J329" s="179"/>
      <c r="K329" s="179"/>
      <c r="L329" s="179"/>
      <c r="M329" s="148"/>
      <c r="N329" s="148"/>
      <c r="O329" s="148"/>
      <c r="P329" s="148"/>
      <c r="Q329" s="148">
        <f>SUM(G329:P329)</f>
        <v>0</v>
      </c>
      <c r="R329" s="598"/>
    </row>
    <row r="330" spans="1:18" ht="14.1" hidden="1" customHeight="1" x14ac:dyDescent="0.2">
      <c r="A330" s="174"/>
      <c r="B330" s="174"/>
      <c r="C330" s="194"/>
      <c r="D330" s="288" t="s">
        <v>625</v>
      </c>
      <c r="E330" s="185"/>
      <c r="F330" s="185"/>
      <c r="G330" s="148"/>
      <c r="H330" s="179"/>
      <c r="I330" s="148"/>
      <c r="J330" s="179"/>
      <c r="K330" s="179"/>
      <c r="L330" s="179"/>
      <c r="M330" s="148"/>
      <c r="N330" s="148"/>
      <c r="O330" s="148"/>
      <c r="P330" s="148"/>
      <c r="Q330" s="148"/>
      <c r="R330" s="598"/>
    </row>
    <row r="331" spans="1:18" ht="14.1" hidden="1" customHeight="1" x14ac:dyDescent="0.2">
      <c r="A331" s="174"/>
      <c r="B331" s="174"/>
      <c r="C331" s="194"/>
      <c r="D331" s="288" t="s">
        <v>626</v>
      </c>
      <c r="E331" s="148">
        <v>1</v>
      </c>
      <c r="F331" s="148">
        <v>151201</v>
      </c>
      <c r="G331" s="148"/>
      <c r="H331" s="179"/>
      <c r="I331" s="148"/>
      <c r="J331" s="179"/>
      <c r="K331" s="179"/>
      <c r="L331" s="179"/>
      <c r="M331" s="148"/>
      <c r="N331" s="148"/>
      <c r="O331" s="148"/>
      <c r="P331" s="148"/>
      <c r="Q331" s="148">
        <f t="shared" ref="Q331:Q337" si="25">SUM(G331:P331)</f>
        <v>0</v>
      </c>
      <c r="R331" s="598"/>
    </row>
    <row r="332" spans="1:18" ht="14.1" hidden="1" customHeight="1" x14ac:dyDescent="0.2">
      <c r="A332" s="174"/>
      <c r="B332" s="174"/>
      <c r="C332" s="194"/>
      <c r="D332" s="288" t="s">
        <v>627</v>
      </c>
      <c r="E332" s="185">
        <v>1</v>
      </c>
      <c r="F332" s="148">
        <v>151204</v>
      </c>
      <c r="G332" s="148"/>
      <c r="H332" s="179"/>
      <c r="I332" s="148"/>
      <c r="J332" s="179"/>
      <c r="K332" s="179"/>
      <c r="L332" s="179"/>
      <c r="M332" s="148"/>
      <c r="N332" s="148"/>
      <c r="O332" s="148"/>
      <c r="P332" s="148"/>
      <c r="Q332" s="148">
        <f t="shared" si="25"/>
        <v>0</v>
      </c>
      <c r="R332" s="598"/>
    </row>
    <row r="333" spans="1:18" ht="14.1" hidden="1" customHeight="1" x14ac:dyDescent="0.2">
      <c r="A333" s="174"/>
      <c r="B333" s="174"/>
      <c r="C333" s="194"/>
      <c r="D333" s="288" t="s">
        <v>628</v>
      </c>
      <c r="E333" s="185">
        <v>1</v>
      </c>
      <c r="F333" s="148">
        <v>151202</v>
      </c>
      <c r="G333" s="148"/>
      <c r="H333" s="179"/>
      <c r="I333" s="148"/>
      <c r="J333" s="179"/>
      <c r="K333" s="179"/>
      <c r="L333" s="179"/>
      <c r="M333" s="148"/>
      <c r="N333" s="148"/>
      <c r="O333" s="148"/>
      <c r="P333" s="148"/>
      <c r="Q333" s="148">
        <f t="shared" si="25"/>
        <v>0</v>
      </c>
      <c r="R333" s="598"/>
    </row>
    <row r="334" spans="1:18" ht="14.1" hidden="1" customHeight="1" x14ac:dyDescent="0.2">
      <c r="A334" s="174"/>
      <c r="B334" s="174"/>
      <c r="C334" s="194"/>
      <c r="D334" s="288" t="s">
        <v>629</v>
      </c>
      <c r="E334" s="185">
        <v>1</v>
      </c>
      <c r="F334" s="148">
        <v>151205</v>
      </c>
      <c r="G334" s="148"/>
      <c r="H334" s="179"/>
      <c r="I334" s="148"/>
      <c r="J334" s="179"/>
      <c r="K334" s="179"/>
      <c r="L334" s="179"/>
      <c r="M334" s="148"/>
      <c r="N334" s="148"/>
      <c r="O334" s="148"/>
      <c r="P334" s="148"/>
      <c r="Q334" s="148">
        <f t="shared" si="25"/>
        <v>0</v>
      </c>
      <c r="R334" s="598"/>
    </row>
    <row r="335" spans="1:18" ht="23.25" hidden="1" customHeight="1" x14ac:dyDescent="0.2">
      <c r="A335" s="174"/>
      <c r="B335" s="174"/>
      <c r="C335" s="194"/>
      <c r="D335" s="149" t="s">
        <v>630</v>
      </c>
      <c r="E335" s="185">
        <v>2</v>
      </c>
      <c r="F335" s="148">
        <v>151207</v>
      </c>
      <c r="G335" s="148"/>
      <c r="H335" s="179"/>
      <c r="I335" s="148"/>
      <c r="J335" s="179"/>
      <c r="K335" s="179"/>
      <c r="L335" s="179"/>
      <c r="M335" s="148"/>
      <c r="N335" s="148"/>
      <c r="O335" s="148"/>
      <c r="P335" s="148"/>
      <c r="Q335" s="148">
        <f t="shared" si="25"/>
        <v>0</v>
      </c>
      <c r="R335" s="598"/>
    </row>
    <row r="336" spans="1:18" ht="14.1" hidden="1" customHeight="1" x14ac:dyDescent="0.2">
      <c r="A336" s="174"/>
      <c r="B336" s="174"/>
      <c r="C336" s="194"/>
      <c r="D336" s="288" t="s">
        <v>631</v>
      </c>
      <c r="E336" s="185">
        <v>1</v>
      </c>
      <c r="F336" s="148">
        <v>151902</v>
      </c>
      <c r="G336" s="148"/>
      <c r="H336" s="179"/>
      <c r="I336" s="148"/>
      <c r="J336" s="179"/>
      <c r="K336" s="179"/>
      <c r="L336" s="179"/>
      <c r="M336" s="148"/>
      <c r="N336" s="148"/>
      <c r="O336" s="148"/>
      <c r="P336" s="148"/>
      <c r="Q336" s="148">
        <f t="shared" si="25"/>
        <v>0</v>
      </c>
      <c r="R336" s="598"/>
    </row>
    <row r="337" spans="1:18" ht="25.5" hidden="1" customHeight="1" x14ac:dyDescent="0.2">
      <c r="A337" s="174"/>
      <c r="B337" s="174"/>
      <c r="C337" s="194"/>
      <c r="D337" s="149" t="s">
        <v>632</v>
      </c>
      <c r="E337" s="185"/>
      <c r="F337" s="148">
        <v>151925</v>
      </c>
      <c r="G337" s="148"/>
      <c r="H337" s="179"/>
      <c r="I337" s="148"/>
      <c r="J337" s="179"/>
      <c r="K337" s="179"/>
      <c r="L337" s="179"/>
      <c r="M337" s="148"/>
      <c r="N337" s="148"/>
      <c r="O337" s="148"/>
      <c r="P337" s="148"/>
      <c r="Q337" s="148">
        <f t="shared" si="25"/>
        <v>0</v>
      </c>
      <c r="R337" s="598"/>
    </row>
    <row r="338" spans="1:18" ht="15" hidden="1" customHeight="1" x14ac:dyDescent="0.2">
      <c r="A338" s="174"/>
      <c r="B338" s="174"/>
      <c r="C338" s="194"/>
      <c r="D338" s="150" t="s">
        <v>254</v>
      </c>
      <c r="E338" s="217"/>
      <c r="F338" s="217"/>
      <c r="G338" s="148"/>
      <c r="H338" s="179"/>
      <c r="I338" s="148"/>
      <c r="J338" s="179"/>
      <c r="K338" s="179"/>
      <c r="L338" s="179"/>
      <c r="M338" s="148"/>
      <c r="N338" s="148"/>
      <c r="O338" s="148"/>
      <c r="P338" s="148"/>
      <c r="Q338" s="148"/>
      <c r="R338" s="598"/>
    </row>
    <row r="339" spans="1:18" ht="24.95" hidden="1" customHeight="1" x14ac:dyDescent="0.2">
      <c r="A339" s="174"/>
      <c r="B339" s="174"/>
      <c r="C339" s="194"/>
      <c r="D339" s="150" t="s">
        <v>633</v>
      </c>
      <c r="E339" s="156">
        <v>2</v>
      </c>
      <c r="F339" s="226">
        <v>151910</v>
      </c>
      <c r="G339" s="148"/>
      <c r="H339" s="179"/>
      <c r="I339" s="148"/>
      <c r="J339" s="179"/>
      <c r="K339" s="179"/>
      <c r="L339" s="179"/>
      <c r="M339" s="148"/>
      <c r="N339" s="148"/>
      <c r="O339" s="148"/>
      <c r="P339" s="148"/>
      <c r="Q339" s="148">
        <f>SUM(G339:P339)</f>
        <v>0</v>
      </c>
      <c r="R339" s="598"/>
    </row>
    <row r="340" spans="1:18" ht="24.75" hidden="1" customHeight="1" x14ac:dyDescent="0.2">
      <c r="A340" s="174"/>
      <c r="B340" s="174"/>
      <c r="C340" s="194"/>
      <c r="D340" s="150" t="s">
        <v>312</v>
      </c>
      <c r="E340" s="156"/>
      <c r="F340" s="217"/>
      <c r="G340" s="148"/>
      <c r="H340" s="179"/>
      <c r="I340" s="148"/>
      <c r="J340" s="179"/>
      <c r="K340" s="179"/>
      <c r="L340" s="179"/>
      <c r="M340" s="148"/>
      <c r="N340" s="148"/>
      <c r="O340" s="148"/>
      <c r="P340" s="148"/>
      <c r="Q340" s="148"/>
      <c r="R340" s="598"/>
    </row>
    <row r="341" spans="1:18" ht="24.95" hidden="1" customHeight="1" x14ac:dyDescent="0.2">
      <c r="A341" s="174"/>
      <c r="B341" s="174"/>
      <c r="C341" s="194"/>
      <c r="D341" s="150" t="s">
        <v>634</v>
      </c>
      <c r="E341" s="156">
        <v>1</v>
      </c>
      <c r="F341" s="226">
        <v>152915</v>
      </c>
      <c r="G341" s="148"/>
      <c r="H341" s="179"/>
      <c r="I341" s="148"/>
      <c r="J341" s="179"/>
      <c r="K341" s="179"/>
      <c r="L341" s="179"/>
      <c r="M341" s="148"/>
      <c r="N341" s="148"/>
      <c r="O341" s="148"/>
      <c r="P341" s="148"/>
      <c r="Q341" s="148">
        <f>SUM(G341:P341)</f>
        <v>0</v>
      </c>
      <c r="R341" s="598"/>
    </row>
    <row r="342" spans="1:18" ht="17.100000000000001" hidden="1" customHeight="1" x14ac:dyDescent="0.2">
      <c r="A342" s="174"/>
      <c r="B342" s="174"/>
      <c r="C342" s="194"/>
      <c r="D342" s="288" t="s">
        <v>635</v>
      </c>
      <c r="E342" s="185"/>
      <c r="F342" s="185"/>
      <c r="G342" s="148"/>
      <c r="H342" s="179"/>
      <c r="I342" s="148"/>
      <c r="J342" s="179"/>
      <c r="K342" s="179"/>
      <c r="L342" s="179"/>
      <c r="M342" s="148"/>
      <c r="N342" s="148"/>
      <c r="O342" s="148"/>
      <c r="P342" s="148"/>
      <c r="Q342" s="148"/>
      <c r="R342" s="598"/>
    </row>
    <row r="343" spans="1:18" ht="17.100000000000001" hidden="1" customHeight="1" x14ac:dyDescent="0.2">
      <c r="A343" s="174"/>
      <c r="B343" s="174"/>
      <c r="C343" s="194"/>
      <c r="D343" s="288" t="s">
        <v>636</v>
      </c>
      <c r="E343" s="148">
        <v>1</v>
      </c>
      <c r="F343" s="148">
        <v>151704</v>
      </c>
      <c r="G343" s="148"/>
      <c r="H343" s="179"/>
      <c r="I343" s="148"/>
      <c r="J343" s="179"/>
      <c r="K343" s="179"/>
      <c r="L343" s="179"/>
      <c r="M343" s="148"/>
      <c r="N343" s="148"/>
      <c r="O343" s="148"/>
      <c r="P343" s="148"/>
      <c r="Q343" s="148">
        <f>SUM(G343:P343)</f>
        <v>0</v>
      </c>
      <c r="R343" s="598"/>
    </row>
    <row r="344" spans="1:18" ht="17.100000000000001" customHeight="1" x14ac:dyDescent="0.2">
      <c r="A344" s="200"/>
      <c r="B344" s="200"/>
      <c r="C344" s="201"/>
      <c r="D344" s="300" t="s">
        <v>637</v>
      </c>
      <c r="E344" s="203"/>
      <c r="F344" s="204"/>
      <c r="G344" s="204">
        <f t="shared" ref="G344:Q344" si="26">SUM(G232:G343)</f>
        <v>43</v>
      </c>
      <c r="H344" s="204">
        <f t="shared" si="26"/>
        <v>8</v>
      </c>
      <c r="I344" s="204">
        <f t="shared" si="26"/>
        <v>-7486</v>
      </c>
      <c r="J344" s="204">
        <f t="shared" si="26"/>
        <v>0</v>
      </c>
      <c r="K344" s="204">
        <f t="shared" si="26"/>
        <v>5232</v>
      </c>
      <c r="L344" s="204">
        <f t="shared" si="26"/>
        <v>897</v>
      </c>
      <c r="M344" s="204">
        <f t="shared" si="26"/>
        <v>194</v>
      </c>
      <c r="N344" s="204">
        <f t="shared" si="26"/>
        <v>0</v>
      </c>
      <c r="O344" s="204">
        <f t="shared" si="26"/>
        <v>0</v>
      </c>
      <c r="P344" s="204">
        <f t="shared" si="26"/>
        <v>0</v>
      </c>
      <c r="Q344" s="204">
        <f t="shared" si="26"/>
        <v>-1112</v>
      </c>
      <c r="R344" s="599"/>
    </row>
    <row r="345" spans="1:18" ht="17.100000000000001" customHeight="1" x14ac:dyDescent="0.2">
      <c r="A345" s="206"/>
      <c r="B345" s="206"/>
      <c r="C345" s="206"/>
      <c r="D345" s="281" t="s">
        <v>378</v>
      </c>
      <c r="E345" s="209"/>
      <c r="F345" s="210"/>
      <c r="G345" s="210"/>
      <c r="H345" s="210"/>
      <c r="I345" s="210"/>
      <c r="J345" s="210"/>
      <c r="K345" s="210"/>
      <c r="L345" s="210"/>
      <c r="M345" s="210"/>
      <c r="N345" s="210"/>
      <c r="O345" s="210"/>
      <c r="P345" s="210"/>
      <c r="Q345" s="210"/>
      <c r="R345" s="598"/>
    </row>
    <row r="346" spans="1:18" ht="17.25" customHeight="1" x14ac:dyDescent="0.2">
      <c r="A346" s="206"/>
      <c r="B346" s="206"/>
      <c r="C346" s="301" t="s">
        <v>100</v>
      </c>
      <c r="D346" s="302" t="s">
        <v>638</v>
      </c>
      <c r="E346" s="209"/>
      <c r="F346" s="210"/>
      <c r="G346" s="210"/>
      <c r="H346" s="210"/>
      <c r="I346" s="210"/>
      <c r="J346" s="210"/>
      <c r="K346" s="210"/>
      <c r="L346" s="210"/>
      <c r="M346" s="210"/>
      <c r="N346" s="210"/>
      <c r="O346" s="210"/>
      <c r="P346" s="210"/>
      <c r="Q346" s="210"/>
      <c r="R346" s="598"/>
    </row>
    <row r="347" spans="1:18" ht="20.25" customHeight="1" x14ac:dyDescent="0.2">
      <c r="A347" s="206"/>
      <c r="B347" s="206"/>
      <c r="C347" s="578" t="s">
        <v>379</v>
      </c>
      <c r="D347" s="701" t="s">
        <v>1143</v>
      </c>
      <c r="E347" s="702"/>
      <c r="F347" s="503">
        <v>154133</v>
      </c>
      <c r="G347" s="210"/>
      <c r="H347" s="210"/>
      <c r="I347" s="210"/>
      <c r="J347" s="210"/>
      <c r="K347" s="210"/>
      <c r="L347" s="210"/>
      <c r="M347" s="148">
        <v>-230</v>
      </c>
      <c r="N347" s="148"/>
      <c r="O347" s="148"/>
      <c r="P347" s="148"/>
      <c r="Q347" s="148">
        <f>SUM(G347:P347)</f>
        <v>-230</v>
      </c>
      <c r="R347" s="598" t="s">
        <v>1366</v>
      </c>
    </row>
    <row r="348" spans="1:18" ht="17.100000000000001" customHeight="1" x14ac:dyDescent="0.2">
      <c r="A348" s="206"/>
      <c r="B348" s="206"/>
      <c r="C348" s="578" t="s">
        <v>639</v>
      </c>
      <c r="D348" s="703" t="s">
        <v>641</v>
      </c>
      <c r="E348" s="503"/>
      <c r="F348" s="503">
        <v>152112</v>
      </c>
      <c r="G348" s="210"/>
      <c r="H348" s="210"/>
      <c r="I348" s="210"/>
      <c r="J348" s="210"/>
      <c r="K348" s="210"/>
      <c r="L348" s="148">
        <v>-440</v>
      </c>
      <c r="M348" s="148"/>
      <c r="N348" s="148"/>
      <c r="O348" s="148"/>
      <c r="P348" s="148"/>
      <c r="Q348" s="148">
        <f>SUM(G348:P348)</f>
        <v>-440</v>
      </c>
      <c r="R348" s="598" t="s">
        <v>1366</v>
      </c>
    </row>
    <row r="349" spans="1:18" ht="15.75" customHeight="1" x14ac:dyDescent="0.2">
      <c r="A349" s="206"/>
      <c r="B349" s="206"/>
      <c r="C349" s="174" t="s">
        <v>640</v>
      </c>
      <c r="D349" s="704" t="s">
        <v>643</v>
      </c>
      <c r="E349" s="503"/>
      <c r="F349" s="503">
        <v>152133</v>
      </c>
      <c r="G349" s="210"/>
      <c r="H349" s="210"/>
      <c r="I349" s="148">
        <v>258</v>
      </c>
      <c r="J349" s="210"/>
      <c r="K349" s="210"/>
      <c r="L349" s="148"/>
      <c r="M349" s="148"/>
      <c r="N349" s="148"/>
      <c r="O349" s="148"/>
      <c r="P349" s="148"/>
      <c r="Q349" s="148">
        <f t="shared" ref="Q349:Q355" si="27">SUM(G349:P349)</f>
        <v>258</v>
      </c>
      <c r="R349" s="598" t="s">
        <v>1366</v>
      </c>
    </row>
    <row r="350" spans="1:18" ht="17.100000000000001" hidden="1" customHeight="1" x14ac:dyDescent="0.2">
      <c r="A350" s="206"/>
      <c r="B350" s="206"/>
      <c r="C350" s="174" t="s">
        <v>642</v>
      </c>
      <c r="D350" s="705" t="s">
        <v>1144</v>
      </c>
      <c r="E350" s="503"/>
      <c r="F350" s="503">
        <v>154134</v>
      </c>
      <c r="G350" s="210"/>
      <c r="H350" s="210"/>
      <c r="I350" s="210"/>
      <c r="J350" s="210"/>
      <c r="K350" s="210"/>
      <c r="L350" s="148"/>
      <c r="M350" s="148"/>
      <c r="N350" s="148"/>
      <c r="O350" s="148"/>
      <c r="P350" s="148"/>
      <c r="Q350" s="148">
        <f t="shared" si="27"/>
        <v>0</v>
      </c>
      <c r="R350" s="598"/>
    </row>
    <row r="351" spans="1:18" ht="17.100000000000001" hidden="1" customHeight="1" x14ac:dyDescent="0.2">
      <c r="A351" s="836"/>
      <c r="B351" s="836"/>
      <c r="C351" s="839" t="s">
        <v>1302</v>
      </c>
      <c r="D351" s="840" t="s">
        <v>1303</v>
      </c>
      <c r="E351" s="841"/>
      <c r="F351" s="841">
        <v>154922</v>
      </c>
      <c r="G351" s="838"/>
      <c r="H351" s="838"/>
      <c r="I351" s="838"/>
      <c r="J351" s="838"/>
      <c r="K351" s="838"/>
      <c r="L351" s="784"/>
      <c r="M351" s="784"/>
      <c r="N351" s="784"/>
      <c r="O351" s="784"/>
      <c r="P351" s="784"/>
      <c r="Q351" s="148">
        <f t="shared" si="27"/>
        <v>0</v>
      </c>
      <c r="R351" s="827"/>
    </row>
    <row r="352" spans="1:18" ht="17.100000000000001" hidden="1" customHeight="1" x14ac:dyDescent="0.2">
      <c r="A352" s="206"/>
      <c r="B352" s="206"/>
      <c r="C352" s="706"/>
      <c r="D352" s="707" t="s">
        <v>1145</v>
      </c>
      <c r="E352" s="708"/>
      <c r="F352" s="708"/>
      <c r="G352" s="210"/>
      <c r="H352" s="210"/>
      <c r="I352" s="210"/>
      <c r="J352" s="210"/>
      <c r="K352" s="210"/>
      <c r="L352" s="148"/>
      <c r="M352" s="148"/>
      <c r="N352" s="148"/>
      <c r="O352" s="148"/>
      <c r="P352" s="148"/>
      <c r="Q352" s="148"/>
      <c r="R352" s="598"/>
    </row>
    <row r="353" spans="1:18" ht="17.100000000000001" hidden="1" customHeight="1" x14ac:dyDescent="0.2">
      <c r="A353" s="206"/>
      <c r="B353" s="206"/>
      <c r="C353" s="709" t="s">
        <v>382</v>
      </c>
      <c r="D353" s="710" t="s">
        <v>1013</v>
      </c>
      <c r="E353" s="503"/>
      <c r="F353" s="503">
        <v>154103</v>
      </c>
      <c r="G353" s="210"/>
      <c r="H353" s="210"/>
      <c r="I353" s="210"/>
      <c r="J353" s="210"/>
      <c r="K353" s="210"/>
      <c r="L353" s="148"/>
      <c r="M353" s="148"/>
      <c r="N353" s="148"/>
      <c r="O353" s="148"/>
      <c r="P353" s="148"/>
      <c r="Q353" s="148">
        <f t="shared" si="27"/>
        <v>0</v>
      </c>
      <c r="R353" s="598"/>
    </row>
    <row r="354" spans="1:18" ht="17.100000000000001" hidden="1" customHeight="1" x14ac:dyDescent="0.2">
      <c r="A354" s="206"/>
      <c r="B354" s="206"/>
      <c r="C354" s="709" t="s">
        <v>644</v>
      </c>
      <c r="D354" s="711" t="s">
        <v>645</v>
      </c>
      <c r="E354" s="708"/>
      <c r="F354" s="503">
        <v>152129</v>
      </c>
      <c r="G354" s="210"/>
      <c r="H354" s="210"/>
      <c r="I354" s="210"/>
      <c r="J354" s="210"/>
      <c r="K354" s="210"/>
      <c r="L354" s="148"/>
      <c r="M354" s="148"/>
      <c r="N354" s="148"/>
      <c r="O354" s="148"/>
      <c r="P354" s="148"/>
      <c r="Q354" s="148">
        <f t="shared" si="27"/>
        <v>0</v>
      </c>
      <c r="R354" s="598"/>
    </row>
    <row r="355" spans="1:18" ht="23.25" customHeight="1" x14ac:dyDescent="0.2">
      <c r="A355" s="206"/>
      <c r="B355" s="206"/>
      <c r="C355" s="709" t="s">
        <v>646</v>
      </c>
      <c r="D355" s="712" t="s">
        <v>647</v>
      </c>
      <c r="E355" s="503"/>
      <c r="F355" s="503">
        <v>152122</v>
      </c>
      <c r="G355" s="210"/>
      <c r="H355" s="210"/>
      <c r="I355" s="210"/>
      <c r="J355" s="210"/>
      <c r="K355" s="210"/>
      <c r="L355" s="148">
        <v>440</v>
      </c>
      <c r="M355" s="148"/>
      <c r="N355" s="148"/>
      <c r="O355" s="148"/>
      <c r="P355" s="148"/>
      <c r="Q355" s="148">
        <f t="shared" si="27"/>
        <v>440</v>
      </c>
      <c r="R355" s="598" t="s">
        <v>1366</v>
      </c>
    </row>
    <row r="356" spans="1:18" ht="17.100000000000001" hidden="1" customHeight="1" x14ac:dyDescent="0.2">
      <c r="A356" s="206"/>
      <c r="B356" s="206"/>
      <c r="C356" s="709" t="s">
        <v>648</v>
      </c>
      <c r="D356" s="713" t="s">
        <v>649</v>
      </c>
      <c r="E356" s="708"/>
      <c r="F356" s="503">
        <v>154128</v>
      </c>
      <c r="G356" s="148"/>
      <c r="H356" s="148"/>
      <c r="I356" s="148"/>
      <c r="J356" s="148"/>
      <c r="K356" s="148"/>
      <c r="L356" s="148"/>
      <c r="M356" s="148"/>
      <c r="N356" s="148"/>
      <c r="O356" s="148"/>
      <c r="P356" s="148"/>
      <c r="Q356" s="148"/>
      <c r="R356" s="598"/>
    </row>
    <row r="357" spans="1:18" ht="17.100000000000001" hidden="1" customHeight="1" x14ac:dyDescent="0.2">
      <c r="A357" s="206"/>
      <c r="B357" s="206"/>
      <c r="C357" s="306" t="s">
        <v>99</v>
      </c>
      <c r="D357" s="307" t="s">
        <v>650</v>
      </c>
      <c r="E357" s="209"/>
      <c r="F357" s="148"/>
      <c r="G357" s="148"/>
      <c r="H357" s="148"/>
      <c r="I357" s="148"/>
      <c r="J357" s="148"/>
      <c r="K357" s="148"/>
      <c r="L357" s="148"/>
      <c r="M357" s="148"/>
      <c r="N357" s="148"/>
      <c r="O357" s="148"/>
      <c r="P357" s="148"/>
      <c r="Q357" s="148"/>
      <c r="R357" s="598"/>
    </row>
    <row r="358" spans="1:18" ht="17.100000000000001" customHeight="1" x14ac:dyDescent="0.2">
      <c r="A358" s="206"/>
      <c r="B358" s="206"/>
      <c r="C358" s="308" t="s">
        <v>101</v>
      </c>
      <c r="D358" s="516" t="s">
        <v>651</v>
      </c>
      <c r="E358" s="209"/>
      <c r="F358" s="210"/>
      <c r="G358" s="148"/>
      <c r="H358" s="148"/>
      <c r="I358" s="148"/>
      <c r="J358" s="148"/>
      <c r="K358" s="148"/>
      <c r="L358" s="148"/>
      <c r="M358" s="148"/>
      <c r="N358" s="148"/>
      <c r="O358" s="148"/>
      <c r="P358" s="148"/>
      <c r="Q358" s="148"/>
      <c r="R358" s="598"/>
    </row>
    <row r="359" spans="1:18" ht="17.100000000000001" hidden="1" customHeight="1" x14ac:dyDescent="0.2">
      <c r="A359" s="206"/>
      <c r="B359" s="206"/>
      <c r="C359" s="309" t="s">
        <v>521</v>
      </c>
      <c r="D359" s="716" t="s">
        <v>1146</v>
      </c>
      <c r="E359" s="503"/>
      <c r="F359" s="503">
        <v>152309</v>
      </c>
      <c r="G359" s="148"/>
      <c r="H359" s="148"/>
      <c r="I359" s="148"/>
      <c r="J359" s="148"/>
      <c r="K359" s="148"/>
      <c r="L359" s="148"/>
      <c r="M359" s="148"/>
      <c r="N359" s="148"/>
      <c r="O359" s="148"/>
      <c r="P359" s="148"/>
      <c r="Q359" s="148">
        <f t="shared" ref="Q359:Q365" si="28">SUM(G359:P359)</f>
        <v>0</v>
      </c>
      <c r="R359" s="598"/>
    </row>
    <row r="360" spans="1:18" ht="17.100000000000001" hidden="1" customHeight="1" x14ac:dyDescent="0.2">
      <c r="A360" s="206"/>
      <c r="B360" s="206"/>
      <c r="C360" s="309" t="s">
        <v>522</v>
      </c>
      <c r="D360" s="716" t="s">
        <v>1147</v>
      </c>
      <c r="E360" s="708"/>
      <c r="F360" s="503">
        <v>152310</v>
      </c>
      <c r="G360" s="148"/>
      <c r="H360" s="148"/>
      <c r="I360" s="148"/>
      <c r="J360" s="148"/>
      <c r="K360" s="148"/>
      <c r="L360" s="148"/>
      <c r="M360" s="148"/>
      <c r="N360" s="148"/>
      <c r="O360" s="148"/>
      <c r="P360" s="148"/>
      <c r="Q360" s="148">
        <f t="shared" si="28"/>
        <v>0</v>
      </c>
      <c r="R360" s="598"/>
    </row>
    <row r="361" spans="1:18" ht="17.100000000000001" hidden="1" customHeight="1" x14ac:dyDescent="0.2">
      <c r="A361" s="206"/>
      <c r="B361" s="206"/>
      <c r="C361" s="309" t="s">
        <v>652</v>
      </c>
      <c r="D361" s="705" t="s">
        <v>1148</v>
      </c>
      <c r="E361" s="503"/>
      <c r="F361" s="503">
        <v>152349</v>
      </c>
      <c r="G361" s="148"/>
      <c r="H361" s="148"/>
      <c r="I361" s="148"/>
      <c r="J361" s="148"/>
      <c r="K361" s="148"/>
      <c r="L361" s="148"/>
      <c r="M361" s="148"/>
      <c r="N361" s="148"/>
      <c r="O361" s="148"/>
      <c r="P361" s="148"/>
      <c r="Q361" s="148">
        <f t="shared" si="28"/>
        <v>0</v>
      </c>
      <c r="R361" s="598"/>
    </row>
    <row r="362" spans="1:18" ht="18.75" hidden="1" customHeight="1" x14ac:dyDescent="0.2">
      <c r="A362" s="206"/>
      <c r="B362" s="206"/>
      <c r="C362" s="309" t="s">
        <v>653</v>
      </c>
      <c r="D362" s="714" t="s">
        <v>1149</v>
      </c>
      <c r="E362" s="717"/>
      <c r="F362" s="148">
        <v>152311</v>
      </c>
      <c r="G362" s="148"/>
      <c r="H362" s="148"/>
      <c r="I362" s="148"/>
      <c r="J362" s="148"/>
      <c r="K362" s="148"/>
      <c r="L362" s="148"/>
      <c r="M362" s="148"/>
      <c r="N362" s="148"/>
      <c r="O362" s="148"/>
      <c r="P362" s="148"/>
      <c r="Q362" s="148">
        <f t="shared" si="28"/>
        <v>0</v>
      </c>
      <c r="R362" s="598"/>
    </row>
    <row r="363" spans="1:18" ht="18.75" customHeight="1" x14ac:dyDescent="0.2">
      <c r="A363" s="863"/>
      <c r="B363" s="863"/>
      <c r="C363" s="309" t="s">
        <v>1371</v>
      </c>
      <c r="D363" s="924" t="s">
        <v>1370</v>
      </c>
      <c r="E363" s="865"/>
      <c r="F363" s="864">
        <v>154301</v>
      </c>
      <c r="G363" s="866"/>
      <c r="H363" s="866"/>
      <c r="I363" s="866"/>
      <c r="J363" s="866"/>
      <c r="K363" s="866"/>
      <c r="L363" s="866"/>
      <c r="M363" s="866">
        <v>10000</v>
      </c>
      <c r="N363" s="866"/>
      <c r="O363" s="866"/>
      <c r="P363" s="866"/>
      <c r="Q363" s="148">
        <f t="shared" si="28"/>
        <v>10000</v>
      </c>
      <c r="R363" s="867" t="s">
        <v>1365</v>
      </c>
    </row>
    <row r="364" spans="1:18" ht="14.25" hidden="1" customHeight="1" x14ac:dyDescent="0.2">
      <c r="A364" s="206"/>
      <c r="B364" s="206"/>
      <c r="C364" s="718"/>
      <c r="D364" s="707" t="s">
        <v>1145</v>
      </c>
      <c r="E364" s="708"/>
      <c r="F364" s="503"/>
      <c r="G364" s="148"/>
      <c r="H364" s="148"/>
      <c r="I364" s="148"/>
      <c r="J364" s="148"/>
      <c r="K364" s="148"/>
      <c r="L364" s="148"/>
      <c r="M364" s="148"/>
      <c r="N364" s="148"/>
      <c r="O364" s="148"/>
      <c r="P364" s="148"/>
      <c r="Q364" s="148"/>
      <c r="R364" s="598"/>
    </row>
    <row r="365" spans="1:18" ht="17.100000000000001" customHeight="1" x14ac:dyDescent="0.2">
      <c r="A365" s="206"/>
      <c r="B365" s="206"/>
      <c r="C365" s="311" t="s">
        <v>654</v>
      </c>
      <c r="D365" s="719" t="s">
        <v>655</v>
      </c>
      <c r="E365" s="708"/>
      <c r="F365" s="503">
        <v>152301</v>
      </c>
      <c r="G365" s="148"/>
      <c r="H365" s="148"/>
      <c r="I365" s="148"/>
      <c r="J365" s="148"/>
      <c r="K365" s="148"/>
      <c r="L365" s="148">
        <v>450</v>
      </c>
      <c r="M365" s="148"/>
      <c r="N365" s="148"/>
      <c r="O365" s="148"/>
      <c r="P365" s="148"/>
      <c r="Q365" s="148">
        <f t="shared" si="28"/>
        <v>450</v>
      </c>
      <c r="R365" s="598" t="s">
        <v>1366</v>
      </c>
    </row>
    <row r="366" spans="1:18" ht="17.100000000000001" customHeight="1" x14ac:dyDescent="0.2">
      <c r="A366" s="206"/>
      <c r="B366" s="206"/>
      <c r="C366" s="310" t="s">
        <v>102</v>
      </c>
      <c r="D366" s="312" t="s">
        <v>656</v>
      </c>
      <c r="E366" s="313"/>
      <c r="F366" s="148"/>
      <c r="G366" s="148"/>
      <c r="H366" s="148"/>
      <c r="I366" s="148"/>
      <c r="J366" s="148"/>
      <c r="K366" s="148"/>
      <c r="L366" s="148"/>
      <c r="M366" s="148"/>
      <c r="N366" s="148"/>
      <c r="O366" s="148"/>
      <c r="P366" s="148"/>
      <c r="Q366" s="148"/>
      <c r="R366" s="598"/>
    </row>
    <row r="367" spans="1:18" ht="22.5" customHeight="1" x14ac:dyDescent="0.2">
      <c r="A367" s="206"/>
      <c r="B367" s="206"/>
      <c r="C367" s="309" t="s">
        <v>657</v>
      </c>
      <c r="D367" s="704" t="s">
        <v>1150</v>
      </c>
      <c r="E367" s="503"/>
      <c r="F367" s="503">
        <v>152429</v>
      </c>
      <c r="G367" s="148"/>
      <c r="H367" s="148"/>
      <c r="I367" s="148"/>
      <c r="J367" s="148"/>
      <c r="K367" s="148"/>
      <c r="L367" s="148">
        <v>2548</v>
      </c>
      <c r="M367" s="148"/>
      <c r="N367" s="148"/>
      <c r="O367" s="148"/>
      <c r="P367" s="148"/>
      <c r="Q367" s="148">
        <f t="shared" ref="Q367:Q435" si="29">SUM(G367:P367)</f>
        <v>2548</v>
      </c>
      <c r="R367" s="598" t="s">
        <v>1366</v>
      </c>
    </row>
    <row r="368" spans="1:18" ht="17.25" hidden="1" customHeight="1" x14ac:dyDescent="0.2">
      <c r="A368" s="206"/>
      <c r="B368" s="206"/>
      <c r="C368" s="309" t="s">
        <v>658</v>
      </c>
      <c r="D368" s="704" t="s">
        <v>1151</v>
      </c>
      <c r="E368" s="503"/>
      <c r="F368" s="503">
        <v>155421</v>
      </c>
      <c r="G368" s="148"/>
      <c r="H368" s="148"/>
      <c r="I368" s="148"/>
      <c r="J368" s="148"/>
      <c r="K368" s="148"/>
      <c r="L368" s="148"/>
      <c r="M368" s="148"/>
      <c r="N368" s="148"/>
      <c r="O368" s="148"/>
      <c r="P368" s="148"/>
      <c r="Q368" s="148">
        <f t="shared" si="29"/>
        <v>0</v>
      </c>
      <c r="R368" s="598"/>
    </row>
    <row r="369" spans="1:18" ht="16.5" customHeight="1" x14ac:dyDescent="0.2">
      <c r="A369" s="206"/>
      <c r="B369" s="206"/>
      <c r="C369" s="309" t="s">
        <v>659</v>
      </c>
      <c r="D369" s="704" t="s">
        <v>1152</v>
      </c>
      <c r="E369" s="503"/>
      <c r="F369" s="503">
        <v>152430</v>
      </c>
      <c r="G369" s="148"/>
      <c r="H369" s="148"/>
      <c r="I369" s="148"/>
      <c r="J369" s="148"/>
      <c r="K369" s="148"/>
      <c r="L369" s="148">
        <v>-3830</v>
      </c>
      <c r="M369" s="148"/>
      <c r="N369" s="148"/>
      <c r="O369" s="148"/>
      <c r="P369" s="148"/>
      <c r="Q369" s="148">
        <f t="shared" si="29"/>
        <v>-3830</v>
      </c>
      <c r="R369" s="598" t="s">
        <v>1366</v>
      </c>
    </row>
    <row r="370" spans="1:18" ht="17.25" hidden="1" customHeight="1" x14ac:dyDescent="0.2">
      <c r="A370" s="206"/>
      <c r="B370" s="206"/>
      <c r="C370" s="309" t="s">
        <v>661</v>
      </c>
      <c r="D370" s="704" t="s">
        <v>1153</v>
      </c>
      <c r="E370" s="503"/>
      <c r="F370" s="503">
        <v>151422</v>
      </c>
      <c r="G370" s="148"/>
      <c r="H370" s="148"/>
      <c r="I370" s="148"/>
      <c r="J370" s="148"/>
      <c r="K370" s="148"/>
      <c r="L370" s="148"/>
      <c r="M370" s="148"/>
      <c r="N370" s="148"/>
      <c r="O370" s="148"/>
      <c r="P370" s="148"/>
      <c r="Q370" s="148">
        <f t="shared" si="29"/>
        <v>0</v>
      </c>
      <c r="R370" s="598"/>
    </row>
    <row r="371" spans="1:18" hidden="1" x14ac:dyDescent="0.2">
      <c r="A371" s="206"/>
      <c r="B371" s="206"/>
      <c r="C371" s="309" t="s">
        <v>662</v>
      </c>
      <c r="D371" s="704" t="s">
        <v>1340</v>
      </c>
      <c r="E371" s="503"/>
      <c r="F371" s="503">
        <v>155433</v>
      </c>
      <c r="G371" s="148"/>
      <c r="H371" s="148"/>
      <c r="I371" s="148"/>
      <c r="J371" s="148"/>
      <c r="K371" s="148"/>
      <c r="L371" s="148"/>
      <c r="M371" s="148"/>
      <c r="N371" s="148"/>
      <c r="O371" s="148"/>
      <c r="P371" s="148"/>
      <c r="Q371" s="148">
        <f t="shared" si="29"/>
        <v>0</v>
      </c>
      <c r="R371" s="598"/>
    </row>
    <row r="372" spans="1:18" hidden="1" x14ac:dyDescent="0.2">
      <c r="A372" s="206"/>
      <c r="B372" s="206"/>
      <c r="C372" s="309" t="s">
        <v>663</v>
      </c>
      <c r="D372" s="720" t="s">
        <v>1154</v>
      </c>
      <c r="E372" s="503"/>
      <c r="F372" s="503">
        <v>155434</v>
      </c>
      <c r="G372" s="148"/>
      <c r="H372" s="148"/>
      <c r="I372" s="148"/>
      <c r="J372" s="148"/>
      <c r="K372" s="148"/>
      <c r="L372" s="148"/>
      <c r="M372" s="148"/>
      <c r="N372" s="148"/>
      <c r="O372" s="148"/>
      <c r="P372" s="148"/>
      <c r="Q372" s="148">
        <f t="shared" si="29"/>
        <v>0</v>
      </c>
      <c r="R372" s="598"/>
    </row>
    <row r="373" spans="1:18" hidden="1" x14ac:dyDescent="0.2">
      <c r="A373" s="206"/>
      <c r="B373" s="206"/>
      <c r="C373" s="309" t="s">
        <v>665</v>
      </c>
      <c r="D373" s="721" t="s">
        <v>1155</v>
      </c>
      <c r="E373" s="503"/>
      <c r="F373" s="503">
        <v>155435</v>
      </c>
      <c r="G373" s="148"/>
      <c r="H373" s="148"/>
      <c r="I373" s="148"/>
      <c r="J373" s="148"/>
      <c r="K373" s="148"/>
      <c r="L373" s="148"/>
      <c r="M373" s="148"/>
      <c r="N373" s="148"/>
      <c r="O373" s="148"/>
      <c r="P373" s="148"/>
      <c r="Q373" s="148">
        <f t="shared" si="29"/>
        <v>0</v>
      </c>
      <c r="R373" s="598"/>
    </row>
    <row r="374" spans="1:18" ht="15.95" customHeight="1" x14ac:dyDescent="0.2">
      <c r="A374" s="206"/>
      <c r="B374" s="206"/>
      <c r="C374" s="309" t="s">
        <v>667</v>
      </c>
      <c r="D374" s="721" t="s">
        <v>1156</v>
      </c>
      <c r="E374" s="503"/>
      <c r="F374" s="503">
        <v>151423</v>
      </c>
      <c r="G374" s="179"/>
      <c r="H374" s="179"/>
      <c r="I374" s="179">
        <v>-2000</v>
      </c>
      <c r="J374" s="148"/>
      <c r="K374" s="148"/>
      <c r="L374" s="148"/>
      <c r="M374" s="148">
        <v>2000</v>
      </c>
      <c r="N374" s="148"/>
      <c r="O374" s="148"/>
      <c r="P374" s="148"/>
      <c r="Q374" s="148">
        <f t="shared" si="29"/>
        <v>0</v>
      </c>
      <c r="R374" s="598" t="s">
        <v>1366</v>
      </c>
    </row>
    <row r="375" spans="1:18" ht="15.95" customHeight="1" x14ac:dyDescent="0.2">
      <c r="A375" s="206"/>
      <c r="B375" s="206"/>
      <c r="C375" s="309" t="s">
        <v>669</v>
      </c>
      <c r="D375" s="705" t="s">
        <v>664</v>
      </c>
      <c r="E375" s="503"/>
      <c r="F375" s="503">
        <v>155483</v>
      </c>
      <c r="G375" s="179"/>
      <c r="H375" s="179"/>
      <c r="I375" s="179"/>
      <c r="J375" s="148"/>
      <c r="K375" s="148"/>
      <c r="L375" s="148"/>
      <c r="M375" s="148">
        <v>413</v>
      </c>
      <c r="N375" s="148"/>
      <c r="O375" s="148"/>
      <c r="P375" s="148"/>
      <c r="Q375" s="148">
        <f t="shared" si="29"/>
        <v>413</v>
      </c>
      <c r="R375" s="598" t="s">
        <v>1366</v>
      </c>
    </row>
    <row r="376" spans="1:18" ht="15.95" customHeight="1" x14ac:dyDescent="0.2">
      <c r="A376" s="206"/>
      <c r="B376" s="206"/>
      <c r="C376" s="309" t="s">
        <v>670</v>
      </c>
      <c r="D376" s="722" t="s">
        <v>1157</v>
      </c>
      <c r="E376" s="503"/>
      <c r="F376" s="503">
        <v>152431</v>
      </c>
      <c r="G376" s="179"/>
      <c r="H376" s="179"/>
      <c r="I376" s="179"/>
      <c r="J376" s="148"/>
      <c r="K376" s="148"/>
      <c r="L376" s="148">
        <v>1876</v>
      </c>
      <c r="M376" s="148"/>
      <c r="N376" s="148"/>
      <c r="O376" s="148"/>
      <c r="P376" s="148"/>
      <c r="Q376" s="148">
        <f t="shared" si="29"/>
        <v>1876</v>
      </c>
      <c r="R376" s="598" t="s">
        <v>1366</v>
      </c>
    </row>
    <row r="377" spans="1:18" ht="15.95" hidden="1" customHeight="1" x14ac:dyDescent="0.2">
      <c r="A377" s="206"/>
      <c r="B377" s="206"/>
      <c r="C377" s="309" t="s">
        <v>671</v>
      </c>
      <c r="D377" s="722" t="s">
        <v>1158</v>
      </c>
      <c r="E377" s="503"/>
      <c r="F377" s="503">
        <v>155436</v>
      </c>
      <c r="G377" s="179"/>
      <c r="H377" s="179"/>
      <c r="I377" s="179"/>
      <c r="J377" s="148"/>
      <c r="K377" s="148"/>
      <c r="L377" s="148"/>
      <c r="M377" s="148"/>
      <c r="N377" s="148"/>
      <c r="O377" s="148"/>
      <c r="P377" s="148"/>
      <c r="Q377" s="148">
        <f t="shared" si="29"/>
        <v>0</v>
      </c>
      <c r="R377" s="598"/>
    </row>
    <row r="378" spans="1:18" ht="15.95" hidden="1" customHeight="1" x14ac:dyDescent="0.2">
      <c r="A378" s="206"/>
      <c r="B378" s="206"/>
      <c r="C378" s="309" t="s">
        <v>672</v>
      </c>
      <c r="D378" s="722" t="s">
        <v>1159</v>
      </c>
      <c r="E378" s="503"/>
      <c r="F378" s="503">
        <v>155437</v>
      </c>
      <c r="G378" s="148"/>
      <c r="H378" s="148"/>
      <c r="I378" s="148"/>
      <c r="J378" s="148"/>
      <c r="K378" s="148"/>
      <c r="L378" s="148"/>
      <c r="M378" s="148"/>
      <c r="N378" s="148"/>
      <c r="O378" s="148"/>
      <c r="P378" s="148"/>
      <c r="Q378" s="148">
        <f t="shared" si="29"/>
        <v>0</v>
      </c>
      <c r="R378" s="598"/>
    </row>
    <row r="379" spans="1:18" ht="15.95" hidden="1" customHeight="1" x14ac:dyDescent="0.2">
      <c r="A379" s="206" t="s">
        <v>96</v>
      </c>
      <c r="B379" s="206"/>
      <c r="C379" s="309" t="s">
        <v>673</v>
      </c>
      <c r="D379" s="722" t="s">
        <v>1160</v>
      </c>
      <c r="E379" s="503"/>
      <c r="F379" s="503">
        <v>155438</v>
      </c>
      <c r="G379" s="148"/>
      <c r="H379" s="148"/>
      <c r="I379" s="148"/>
      <c r="J379" s="148"/>
      <c r="K379" s="148"/>
      <c r="L379" s="148"/>
      <c r="M379" s="148"/>
      <c r="N379" s="148"/>
      <c r="O379" s="148"/>
      <c r="P379" s="148"/>
      <c r="Q379" s="148">
        <f t="shared" si="29"/>
        <v>0</v>
      </c>
      <c r="R379" s="598"/>
    </row>
    <row r="380" spans="1:18" ht="17.100000000000001" hidden="1" customHeight="1" x14ac:dyDescent="0.2">
      <c r="A380" s="206"/>
      <c r="B380" s="206"/>
      <c r="C380" s="309" t="s">
        <v>674</v>
      </c>
      <c r="D380" s="722" t="s">
        <v>1161</v>
      </c>
      <c r="E380" s="503"/>
      <c r="F380" s="503">
        <v>155439</v>
      </c>
      <c r="G380" s="148"/>
      <c r="H380" s="148"/>
      <c r="I380" s="148"/>
      <c r="J380" s="148"/>
      <c r="K380" s="148"/>
      <c r="L380" s="148"/>
      <c r="M380" s="148"/>
      <c r="N380" s="148"/>
      <c r="O380" s="148"/>
      <c r="P380" s="148"/>
      <c r="Q380" s="148">
        <f t="shared" si="29"/>
        <v>0</v>
      </c>
      <c r="R380" s="598"/>
    </row>
    <row r="381" spans="1:18" ht="17.100000000000001" customHeight="1" x14ac:dyDescent="0.2">
      <c r="A381" s="206"/>
      <c r="B381" s="206"/>
      <c r="C381" s="309" t="s">
        <v>675</v>
      </c>
      <c r="D381" s="722" t="s">
        <v>1162</v>
      </c>
      <c r="E381" s="503"/>
      <c r="F381" s="503">
        <v>155440</v>
      </c>
      <c r="G381" s="148"/>
      <c r="H381" s="148"/>
      <c r="I381" s="148"/>
      <c r="J381" s="148"/>
      <c r="K381" s="148"/>
      <c r="L381" s="148"/>
      <c r="M381" s="148">
        <v>3025</v>
      </c>
      <c r="N381" s="148"/>
      <c r="O381" s="148"/>
      <c r="P381" s="148"/>
      <c r="Q381" s="148">
        <f t="shared" si="29"/>
        <v>3025</v>
      </c>
      <c r="R381" s="598" t="s">
        <v>1366</v>
      </c>
    </row>
    <row r="382" spans="1:18" ht="17.100000000000001" customHeight="1" x14ac:dyDescent="0.2">
      <c r="A382" s="206"/>
      <c r="B382" s="206"/>
      <c r="C382" s="309" t="s">
        <v>676</v>
      </c>
      <c r="D382" s="722" t="s">
        <v>1163</v>
      </c>
      <c r="E382" s="503"/>
      <c r="F382" s="503">
        <v>155441</v>
      </c>
      <c r="G382" s="148"/>
      <c r="H382" s="148"/>
      <c r="I382" s="148"/>
      <c r="J382" s="148"/>
      <c r="K382" s="148"/>
      <c r="L382" s="148"/>
      <c r="M382" s="148">
        <v>-822</v>
      </c>
      <c r="N382" s="148"/>
      <c r="O382" s="148"/>
      <c r="P382" s="148"/>
      <c r="Q382" s="148">
        <f t="shared" si="29"/>
        <v>-822</v>
      </c>
      <c r="R382" s="598" t="s">
        <v>1366</v>
      </c>
    </row>
    <row r="383" spans="1:18" ht="17.100000000000001" hidden="1" customHeight="1" x14ac:dyDescent="0.2">
      <c r="A383" s="206"/>
      <c r="B383" s="206"/>
      <c r="C383" s="309" t="s">
        <v>678</v>
      </c>
      <c r="D383" s="722" t="s">
        <v>1164</v>
      </c>
      <c r="E383" s="503"/>
      <c r="F383" s="503">
        <v>155442</v>
      </c>
      <c r="G383" s="148"/>
      <c r="H383" s="148"/>
      <c r="I383" s="148"/>
      <c r="J383" s="148"/>
      <c r="K383" s="148"/>
      <c r="L383" s="148"/>
      <c r="M383" s="148"/>
      <c r="N383" s="148"/>
      <c r="O383" s="148"/>
      <c r="P383" s="148"/>
      <c r="Q383" s="148">
        <f t="shared" si="29"/>
        <v>0</v>
      </c>
      <c r="R383" s="598"/>
    </row>
    <row r="384" spans="1:18" ht="17.100000000000001" hidden="1" customHeight="1" x14ac:dyDescent="0.2">
      <c r="A384" s="206"/>
      <c r="B384" s="206"/>
      <c r="C384" s="309" t="s">
        <v>679</v>
      </c>
      <c r="D384" s="723" t="s">
        <v>1165</v>
      </c>
      <c r="E384" s="503"/>
      <c r="F384" s="503">
        <v>155443</v>
      </c>
      <c r="G384" s="148"/>
      <c r="H384" s="148"/>
      <c r="I384" s="148"/>
      <c r="J384" s="148"/>
      <c r="K384" s="148"/>
      <c r="L384" s="148"/>
      <c r="M384" s="148"/>
      <c r="N384" s="148"/>
      <c r="O384" s="148"/>
      <c r="P384" s="148"/>
      <c r="Q384" s="148">
        <f t="shared" si="29"/>
        <v>0</v>
      </c>
      <c r="R384" s="598"/>
    </row>
    <row r="385" spans="1:18" ht="17.100000000000001" hidden="1" customHeight="1" x14ac:dyDescent="0.2">
      <c r="A385" s="206"/>
      <c r="B385" s="206"/>
      <c r="C385" s="309" t="s">
        <v>681</v>
      </c>
      <c r="D385" s="722" t="s">
        <v>1166</v>
      </c>
      <c r="E385" s="503"/>
      <c r="F385" s="503">
        <v>155444</v>
      </c>
      <c r="G385" s="148"/>
      <c r="H385" s="148"/>
      <c r="I385" s="148"/>
      <c r="J385" s="148"/>
      <c r="K385" s="148"/>
      <c r="L385" s="148"/>
      <c r="M385" s="148"/>
      <c r="N385" s="148"/>
      <c r="O385" s="148"/>
      <c r="P385" s="148"/>
      <c r="Q385" s="148">
        <f t="shared" si="29"/>
        <v>0</v>
      </c>
      <c r="R385" s="598"/>
    </row>
    <row r="386" spans="1:18" ht="17.100000000000001" hidden="1" customHeight="1" x14ac:dyDescent="0.2">
      <c r="A386" s="206"/>
      <c r="B386" s="206"/>
      <c r="C386" s="309" t="s">
        <v>682</v>
      </c>
      <c r="D386" s="722" t="s">
        <v>1167</v>
      </c>
      <c r="E386" s="503"/>
      <c r="F386" s="503">
        <v>155445</v>
      </c>
      <c r="G386" s="148"/>
      <c r="H386" s="148"/>
      <c r="I386" s="148"/>
      <c r="J386" s="148"/>
      <c r="K386" s="148"/>
      <c r="L386" s="148"/>
      <c r="M386" s="148"/>
      <c r="N386" s="148"/>
      <c r="O386" s="148"/>
      <c r="P386" s="148"/>
      <c r="Q386" s="148">
        <f t="shared" si="29"/>
        <v>0</v>
      </c>
      <c r="R386" s="598"/>
    </row>
    <row r="387" spans="1:18" ht="17.100000000000001" hidden="1" customHeight="1" x14ac:dyDescent="0.2">
      <c r="A387" s="206"/>
      <c r="B387" s="206"/>
      <c r="C387" s="309" t="s">
        <v>683</v>
      </c>
      <c r="D387" s="722" t="s">
        <v>1168</v>
      </c>
      <c r="E387" s="503"/>
      <c r="F387" s="503">
        <v>152432</v>
      </c>
      <c r="G387" s="148"/>
      <c r="H387" s="148"/>
      <c r="I387" s="148"/>
      <c r="J387" s="148"/>
      <c r="K387" s="148"/>
      <c r="L387" s="148"/>
      <c r="M387" s="148"/>
      <c r="N387" s="148"/>
      <c r="O387" s="148"/>
      <c r="P387" s="148"/>
      <c r="Q387" s="148">
        <f t="shared" si="29"/>
        <v>0</v>
      </c>
      <c r="R387" s="598"/>
    </row>
    <row r="388" spans="1:18" ht="25.5" customHeight="1" x14ac:dyDescent="0.2">
      <c r="A388" s="206"/>
      <c r="B388" s="206"/>
      <c r="C388" s="309" t="s">
        <v>684</v>
      </c>
      <c r="D388" s="722" t="s">
        <v>1169</v>
      </c>
      <c r="E388" s="503"/>
      <c r="F388" s="503">
        <v>155446</v>
      </c>
      <c r="G388" s="148"/>
      <c r="H388" s="148"/>
      <c r="I388" s="148"/>
      <c r="J388" s="148"/>
      <c r="K388" s="148"/>
      <c r="L388" s="148"/>
      <c r="M388" s="148">
        <v>260</v>
      </c>
      <c r="N388" s="148"/>
      <c r="O388" s="148"/>
      <c r="P388" s="148"/>
      <c r="Q388" s="148">
        <f t="shared" si="29"/>
        <v>260</v>
      </c>
      <c r="R388" s="598" t="s">
        <v>1366</v>
      </c>
    </row>
    <row r="389" spans="1:18" ht="23.25" hidden="1" customHeight="1" x14ac:dyDescent="0.2">
      <c r="A389" s="206"/>
      <c r="B389" s="206"/>
      <c r="C389" s="309" t="s">
        <v>686</v>
      </c>
      <c r="D389" s="722" t="s">
        <v>1170</v>
      </c>
      <c r="E389" s="503"/>
      <c r="F389" s="503">
        <v>155448</v>
      </c>
      <c r="G389" s="148"/>
      <c r="H389" s="148"/>
      <c r="I389" s="148"/>
      <c r="J389" s="148"/>
      <c r="K389" s="148"/>
      <c r="L389" s="148"/>
      <c r="M389" s="148"/>
      <c r="N389" s="148"/>
      <c r="O389" s="148"/>
      <c r="P389" s="148"/>
      <c r="Q389" s="148">
        <f t="shared" si="29"/>
        <v>0</v>
      </c>
      <c r="R389" s="598"/>
    </row>
    <row r="390" spans="1:18" ht="23.25" hidden="1" customHeight="1" x14ac:dyDescent="0.2">
      <c r="A390" s="206"/>
      <c r="B390" s="206"/>
      <c r="C390" s="309" t="s">
        <v>688</v>
      </c>
      <c r="D390" s="722" t="s">
        <v>1171</v>
      </c>
      <c r="E390" s="503"/>
      <c r="F390" s="503">
        <v>155447</v>
      </c>
      <c r="G390" s="148"/>
      <c r="H390" s="148"/>
      <c r="I390" s="148"/>
      <c r="J390" s="148"/>
      <c r="K390" s="148"/>
      <c r="L390" s="148"/>
      <c r="M390" s="148"/>
      <c r="N390" s="148"/>
      <c r="O390" s="148"/>
      <c r="P390" s="148"/>
      <c r="Q390" s="148">
        <f t="shared" si="29"/>
        <v>0</v>
      </c>
      <c r="R390" s="598"/>
    </row>
    <row r="391" spans="1:18" ht="16.5" hidden="1" customHeight="1" x14ac:dyDescent="0.2">
      <c r="A391" s="206"/>
      <c r="B391" s="206"/>
      <c r="C391" s="309" t="s">
        <v>689</v>
      </c>
      <c r="D391" s="722" t="s">
        <v>1172</v>
      </c>
      <c r="E391" s="503"/>
      <c r="F391" s="503">
        <v>152433</v>
      </c>
      <c r="G391" s="148"/>
      <c r="H391" s="148"/>
      <c r="I391" s="148"/>
      <c r="J391" s="148"/>
      <c r="K391" s="148"/>
      <c r="L391" s="148"/>
      <c r="M391" s="148"/>
      <c r="N391" s="148"/>
      <c r="O391" s="148"/>
      <c r="P391" s="148"/>
      <c r="Q391" s="148">
        <f t="shared" si="29"/>
        <v>0</v>
      </c>
      <c r="R391" s="598"/>
    </row>
    <row r="392" spans="1:18" ht="16.5" hidden="1" customHeight="1" x14ac:dyDescent="0.2">
      <c r="A392" s="206"/>
      <c r="B392" s="206"/>
      <c r="C392" s="309" t="s">
        <v>691</v>
      </c>
      <c r="D392" s="722" t="s">
        <v>1173</v>
      </c>
      <c r="E392" s="503"/>
      <c r="F392" s="503">
        <v>155450</v>
      </c>
      <c r="G392" s="148"/>
      <c r="H392" s="148"/>
      <c r="I392" s="148"/>
      <c r="J392" s="148"/>
      <c r="K392" s="148"/>
      <c r="L392" s="148"/>
      <c r="M392" s="148"/>
      <c r="N392" s="148"/>
      <c r="O392" s="148"/>
      <c r="P392" s="148"/>
      <c r="Q392" s="148">
        <f t="shared" si="29"/>
        <v>0</v>
      </c>
      <c r="R392" s="598"/>
    </row>
    <row r="393" spans="1:18" ht="23.25" hidden="1" customHeight="1" x14ac:dyDescent="0.2">
      <c r="A393" s="206"/>
      <c r="B393" s="206"/>
      <c r="C393" s="309" t="s">
        <v>692</v>
      </c>
      <c r="D393" s="722" t="s">
        <v>1174</v>
      </c>
      <c r="E393" s="503"/>
      <c r="F393" s="503">
        <v>155449</v>
      </c>
      <c r="G393" s="148"/>
      <c r="H393" s="148"/>
      <c r="I393" s="148"/>
      <c r="J393" s="148"/>
      <c r="K393" s="148"/>
      <c r="L393" s="148"/>
      <c r="M393" s="148"/>
      <c r="N393" s="148"/>
      <c r="O393" s="148"/>
      <c r="P393" s="148"/>
      <c r="Q393" s="148">
        <f t="shared" si="29"/>
        <v>0</v>
      </c>
      <c r="R393" s="598"/>
    </row>
    <row r="394" spans="1:18" ht="16.5" hidden="1" customHeight="1" x14ac:dyDescent="0.2">
      <c r="A394" s="206"/>
      <c r="B394" s="206"/>
      <c r="C394" s="309" t="s">
        <v>694</v>
      </c>
      <c r="D394" s="722" t="s">
        <v>1175</v>
      </c>
      <c r="E394" s="503"/>
      <c r="F394" s="503">
        <v>155451</v>
      </c>
      <c r="G394" s="148"/>
      <c r="H394" s="148"/>
      <c r="I394" s="148"/>
      <c r="J394" s="148"/>
      <c r="K394" s="148"/>
      <c r="L394" s="148"/>
      <c r="M394" s="148"/>
      <c r="N394" s="148"/>
      <c r="O394" s="148"/>
      <c r="P394" s="148"/>
      <c r="Q394" s="148">
        <f t="shared" si="29"/>
        <v>0</v>
      </c>
      <c r="R394" s="598"/>
    </row>
    <row r="395" spans="1:18" ht="15.75" customHeight="1" x14ac:dyDescent="0.2">
      <c r="A395" s="206"/>
      <c r="B395" s="206"/>
      <c r="C395" s="309" t="s">
        <v>696</v>
      </c>
      <c r="D395" s="722" t="s">
        <v>1176</v>
      </c>
      <c r="E395" s="503"/>
      <c r="F395" s="503">
        <v>155452</v>
      </c>
      <c r="G395" s="148"/>
      <c r="H395" s="148"/>
      <c r="I395" s="148"/>
      <c r="J395" s="148"/>
      <c r="K395" s="148"/>
      <c r="L395" s="148"/>
      <c r="M395" s="148">
        <v>62</v>
      </c>
      <c r="N395" s="148"/>
      <c r="O395" s="148"/>
      <c r="P395" s="148"/>
      <c r="Q395" s="148">
        <f t="shared" si="29"/>
        <v>62</v>
      </c>
      <c r="R395" s="598" t="s">
        <v>1366</v>
      </c>
    </row>
    <row r="396" spans="1:18" ht="17.100000000000001" customHeight="1" x14ac:dyDescent="0.2">
      <c r="A396" s="206"/>
      <c r="B396" s="206"/>
      <c r="C396" s="309" t="s">
        <v>698</v>
      </c>
      <c r="D396" s="722" t="s">
        <v>1177</v>
      </c>
      <c r="E396" s="503"/>
      <c r="F396" s="503">
        <v>155453</v>
      </c>
      <c r="G396" s="148"/>
      <c r="H396" s="148"/>
      <c r="I396" s="148"/>
      <c r="J396" s="148"/>
      <c r="K396" s="148"/>
      <c r="L396" s="148"/>
      <c r="M396" s="148">
        <v>21</v>
      </c>
      <c r="N396" s="148"/>
      <c r="O396" s="148"/>
      <c r="P396" s="148"/>
      <c r="Q396" s="148">
        <f t="shared" si="29"/>
        <v>21</v>
      </c>
      <c r="R396" s="598" t="s">
        <v>1366</v>
      </c>
    </row>
    <row r="397" spans="1:18" ht="17.100000000000001" customHeight="1" x14ac:dyDescent="0.2">
      <c r="A397" s="206"/>
      <c r="B397" s="206"/>
      <c r="C397" s="309" t="s">
        <v>700</v>
      </c>
      <c r="D397" s="705" t="s">
        <v>668</v>
      </c>
      <c r="E397" s="503"/>
      <c r="F397" s="503">
        <v>152420</v>
      </c>
      <c r="G397" s="148"/>
      <c r="H397" s="148"/>
      <c r="I397" s="148"/>
      <c r="J397" s="148"/>
      <c r="K397" s="148"/>
      <c r="L397" s="148">
        <v>-1876</v>
      </c>
      <c r="M397" s="148"/>
      <c r="N397" s="148"/>
      <c r="O397" s="148"/>
      <c r="P397" s="148"/>
      <c r="Q397" s="148">
        <f t="shared" si="29"/>
        <v>-1876</v>
      </c>
      <c r="R397" s="598" t="s">
        <v>1366</v>
      </c>
    </row>
    <row r="398" spans="1:18" ht="17.100000000000001" hidden="1" customHeight="1" x14ac:dyDescent="0.2">
      <c r="A398" s="206"/>
      <c r="B398" s="206"/>
      <c r="C398" s="309" t="s">
        <v>701</v>
      </c>
      <c r="D398" s="705" t="s">
        <v>1178</v>
      </c>
      <c r="E398" s="503"/>
      <c r="F398" s="503">
        <v>155484</v>
      </c>
      <c r="G398" s="148"/>
      <c r="H398" s="148"/>
      <c r="I398" s="148"/>
      <c r="J398" s="148"/>
      <c r="K398" s="148"/>
      <c r="L398" s="148"/>
      <c r="M398" s="148"/>
      <c r="N398" s="148"/>
      <c r="O398" s="148"/>
      <c r="P398" s="148"/>
      <c r="Q398" s="148">
        <f t="shared" si="29"/>
        <v>0</v>
      </c>
      <c r="R398" s="598"/>
    </row>
    <row r="399" spans="1:18" ht="17.100000000000001" hidden="1" customHeight="1" x14ac:dyDescent="0.2">
      <c r="A399" s="206"/>
      <c r="B399" s="206"/>
      <c r="C399" s="309" t="s">
        <v>703</v>
      </c>
      <c r="D399" s="705" t="s">
        <v>680</v>
      </c>
      <c r="E399" s="503"/>
      <c r="F399" s="503">
        <v>155489</v>
      </c>
      <c r="G399" s="148"/>
      <c r="H399" s="148"/>
      <c r="I399" s="148"/>
      <c r="J399" s="148"/>
      <c r="K399" s="148"/>
      <c r="L399" s="148"/>
      <c r="M399" s="148"/>
      <c r="N399" s="148"/>
      <c r="O399" s="148"/>
      <c r="P399" s="148"/>
      <c r="Q399" s="148">
        <f t="shared" si="29"/>
        <v>0</v>
      </c>
      <c r="R399" s="598"/>
    </row>
    <row r="400" spans="1:18" ht="24" hidden="1" customHeight="1" x14ac:dyDescent="0.2">
      <c r="A400" s="206"/>
      <c r="B400" s="206"/>
      <c r="C400" s="309" t="s">
        <v>704</v>
      </c>
      <c r="D400" s="685" t="s">
        <v>685</v>
      </c>
      <c r="E400" s="503"/>
      <c r="F400" s="503">
        <v>155491</v>
      </c>
      <c r="G400" s="148"/>
      <c r="H400" s="148"/>
      <c r="I400" s="148"/>
      <c r="J400" s="148"/>
      <c r="K400" s="148"/>
      <c r="L400" s="148"/>
      <c r="M400" s="148"/>
      <c r="N400" s="148"/>
      <c r="O400" s="148"/>
      <c r="P400" s="148"/>
      <c r="Q400" s="148">
        <f t="shared" si="29"/>
        <v>0</v>
      </c>
      <c r="R400" s="598"/>
    </row>
    <row r="401" spans="1:18" ht="17.100000000000001" customHeight="1" x14ac:dyDescent="0.2">
      <c r="A401" s="206"/>
      <c r="B401" s="206"/>
      <c r="C401" s="309" t="s">
        <v>705</v>
      </c>
      <c r="D401" s="710" t="s">
        <v>687</v>
      </c>
      <c r="E401" s="503"/>
      <c r="F401" s="503">
        <v>154468</v>
      </c>
      <c r="G401" s="148"/>
      <c r="H401" s="148"/>
      <c r="I401" s="148"/>
      <c r="J401" s="148"/>
      <c r="K401" s="148"/>
      <c r="L401" s="148"/>
      <c r="M401" s="148">
        <v>-670</v>
      </c>
      <c r="N401" s="148"/>
      <c r="O401" s="148"/>
      <c r="P401" s="148"/>
      <c r="Q401" s="148">
        <f t="shared" si="29"/>
        <v>-670</v>
      </c>
      <c r="R401" s="598" t="s">
        <v>1366</v>
      </c>
    </row>
    <row r="402" spans="1:18" ht="17.100000000000001" customHeight="1" x14ac:dyDescent="0.2">
      <c r="A402" s="206"/>
      <c r="B402" s="206"/>
      <c r="C402" s="309" t="s">
        <v>706</v>
      </c>
      <c r="D402" s="705" t="s">
        <v>690</v>
      </c>
      <c r="E402" s="503"/>
      <c r="F402" s="503">
        <v>155492</v>
      </c>
      <c r="G402" s="148"/>
      <c r="H402" s="148"/>
      <c r="I402" s="148"/>
      <c r="J402" s="148"/>
      <c r="K402" s="148"/>
      <c r="L402" s="148"/>
      <c r="M402" s="148">
        <v>9278</v>
      </c>
      <c r="N402" s="148"/>
      <c r="O402" s="148"/>
      <c r="P402" s="148"/>
      <c r="Q402" s="148">
        <f t="shared" si="29"/>
        <v>9278</v>
      </c>
      <c r="R402" s="598" t="s">
        <v>1366</v>
      </c>
    </row>
    <row r="403" spans="1:18" ht="15.75" customHeight="1" x14ac:dyDescent="0.2">
      <c r="A403" s="206"/>
      <c r="B403" s="206"/>
      <c r="C403" s="309" t="s">
        <v>707</v>
      </c>
      <c r="D403" s="705" t="s">
        <v>695</v>
      </c>
      <c r="E403" s="503"/>
      <c r="F403" s="503">
        <v>155494</v>
      </c>
      <c r="G403" s="148"/>
      <c r="H403" s="148"/>
      <c r="I403" s="148"/>
      <c r="J403" s="148"/>
      <c r="K403" s="148"/>
      <c r="L403" s="148"/>
      <c r="M403" s="148">
        <v>-3000</v>
      </c>
      <c r="N403" s="148"/>
      <c r="O403" s="148"/>
      <c r="P403" s="148"/>
      <c r="Q403" s="148">
        <f t="shared" si="29"/>
        <v>-3000</v>
      </c>
      <c r="R403" s="598" t="s">
        <v>1366</v>
      </c>
    </row>
    <row r="404" spans="1:18" ht="15.95" customHeight="1" x14ac:dyDescent="0.2">
      <c r="A404" s="206"/>
      <c r="B404" s="206"/>
      <c r="C404" s="309" t="s">
        <v>708</v>
      </c>
      <c r="D404" s="685" t="s">
        <v>699</v>
      </c>
      <c r="E404" s="503"/>
      <c r="F404" s="503">
        <v>152495</v>
      </c>
      <c r="G404" s="148"/>
      <c r="H404" s="148"/>
      <c r="I404" s="148"/>
      <c r="J404" s="148"/>
      <c r="K404" s="148"/>
      <c r="L404" s="148">
        <v>1002</v>
      </c>
      <c r="M404" s="148"/>
      <c r="N404" s="148"/>
      <c r="O404" s="148"/>
      <c r="P404" s="148"/>
      <c r="Q404" s="148">
        <f t="shared" si="29"/>
        <v>1002</v>
      </c>
      <c r="R404" s="598" t="s">
        <v>1366</v>
      </c>
    </row>
    <row r="405" spans="1:18" ht="22.5" customHeight="1" x14ac:dyDescent="0.2">
      <c r="A405" s="206"/>
      <c r="B405" s="206"/>
      <c r="C405" s="309" t="s">
        <v>709</v>
      </c>
      <c r="D405" s="705" t="s">
        <v>710</v>
      </c>
      <c r="E405" s="503"/>
      <c r="F405" s="503">
        <v>155497</v>
      </c>
      <c r="G405" s="148"/>
      <c r="H405" s="148"/>
      <c r="I405" s="148"/>
      <c r="J405" s="148"/>
      <c r="K405" s="148"/>
      <c r="L405" s="148"/>
      <c r="M405" s="148">
        <v>2569</v>
      </c>
      <c r="N405" s="148"/>
      <c r="O405" s="148"/>
      <c r="P405" s="148"/>
      <c r="Q405" s="148">
        <f t="shared" si="29"/>
        <v>2569</v>
      </c>
      <c r="R405" s="598" t="s">
        <v>1366</v>
      </c>
    </row>
    <row r="406" spans="1:18" ht="15.95" customHeight="1" x14ac:dyDescent="0.2">
      <c r="A406" s="206"/>
      <c r="B406" s="206"/>
      <c r="C406" s="309" t="s">
        <v>711</v>
      </c>
      <c r="D406" s="705" t="s">
        <v>717</v>
      </c>
      <c r="E406" s="503"/>
      <c r="F406" s="503">
        <v>155499</v>
      </c>
      <c r="G406" s="148"/>
      <c r="H406" s="148"/>
      <c r="I406" s="148"/>
      <c r="J406" s="148"/>
      <c r="K406" s="148"/>
      <c r="L406" s="148"/>
      <c r="M406" s="148">
        <v>2281</v>
      </c>
      <c r="N406" s="148"/>
      <c r="O406" s="148"/>
      <c r="P406" s="148"/>
      <c r="Q406" s="148">
        <f t="shared" si="29"/>
        <v>2281</v>
      </c>
      <c r="R406" s="598" t="s">
        <v>1366</v>
      </c>
    </row>
    <row r="407" spans="1:18" ht="15.95" hidden="1" customHeight="1" x14ac:dyDescent="0.2">
      <c r="A407" s="206"/>
      <c r="B407" s="206"/>
      <c r="C407" s="309" t="s">
        <v>712</v>
      </c>
      <c r="D407" s="705" t="s">
        <v>719</v>
      </c>
      <c r="E407" s="503"/>
      <c r="F407" s="503">
        <v>155404</v>
      </c>
      <c r="G407" s="148"/>
      <c r="H407" s="148"/>
      <c r="I407" s="148"/>
      <c r="J407" s="148"/>
      <c r="K407" s="148"/>
      <c r="L407" s="148"/>
      <c r="M407" s="148"/>
      <c r="N407" s="148"/>
      <c r="O407" s="148"/>
      <c r="P407" s="148"/>
      <c r="Q407" s="148">
        <f t="shared" si="29"/>
        <v>0</v>
      </c>
      <c r="R407" s="598"/>
    </row>
    <row r="408" spans="1:18" ht="15.95" hidden="1" customHeight="1" x14ac:dyDescent="0.2">
      <c r="A408" s="206"/>
      <c r="B408" s="206"/>
      <c r="C408" s="309" t="s">
        <v>714</v>
      </c>
      <c r="D408" s="705" t="s">
        <v>721</v>
      </c>
      <c r="E408" s="503"/>
      <c r="F408" s="503">
        <v>155403</v>
      </c>
      <c r="G408" s="148"/>
      <c r="H408" s="148"/>
      <c r="I408" s="148"/>
      <c r="J408" s="148"/>
      <c r="K408" s="148"/>
      <c r="L408" s="148"/>
      <c r="M408" s="148"/>
      <c r="N408" s="148"/>
      <c r="O408" s="148"/>
      <c r="P408" s="148"/>
      <c r="Q408" s="148">
        <f t="shared" si="29"/>
        <v>0</v>
      </c>
      <c r="R408" s="598"/>
    </row>
    <row r="409" spans="1:18" ht="15.95" customHeight="1" x14ac:dyDescent="0.2">
      <c r="A409" s="206"/>
      <c r="B409" s="206"/>
      <c r="C409" s="309" t="s">
        <v>715</v>
      </c>
      <c r="D409" s="685" t="s">
        <v>727</v>
      </c>
      <c r="E409" s="503"/>
      <c r="F409" s="503">
        <v>155409</v>
      </c>
      <c r="G409" s="148"/>
      <c r="H409" s="148"/>
      <c r="I409" s="148"/>
      <c r="J409" s="148"/>
      <c r="K409" s="148"/>
      <c r="L409" s="148"/>
      <c r="M409" s="148">
        <v>1756</v>
      </c>
      <c r="N409" s="148"/>
      <c r="O409" s="148"/>
      <c r="P409" s="148"/>
      <c r="Q409" s="148">
        <f t="shared" si="29"/>
        <v>1756</v>
      </c>
      <c r="R409" s="598" t="s">
        <v>1366</v>
      </c>
    </row>
    <row r="410" spans="1:18" ht="15.95" customHeight="1" x14ac:dyDescent="0.2">
      <c r="A410" s="206"/>
      <c r="B410" s="206"/>
      <c r="C410" s="309" t="s">
        <v>716</v>
      </c>
      <c r="D410" s="705" t="s">
        <v>728</v>
      </c>
      <c r="E410" s="503"/>
      <c r="F410" s="503">
        <v>155410</v>
      </c>
      <c r="G410" s="148"/>
      <c r="H410" s="148"/>
      <c r="I410" s="148"/>
      <c r="J410" s="148"/>
      <c r="K410" s="148"/>
      <c r="L410" s="148"/>
      <c r="M410" s="148">
        <v>1218</v>
      </c>
      <c r="N410" s="148"/>
      <c r="O410" s="148"/>
      <c r="P410" s="148"/>
      <c r="Q410" s="148">
        <f t="shared" si="29"/>
        <v>1218</v>
      </c>
      <c r="R410" s="598" t="s">
        <v>1366</v>
      </c>
    </row>
    <row r="411" spans="1:18" ht="15.95" hidden="1" customHeight="1" x14ac:dyDescent="0.2">
      <c r="A411" s="206"/>
      <c r="B411" s="206"/>
      <c r="C411" s="309" t="s">
        <v>718</v>
      </c>
      <c r="D411" s="710" t="s">
        <v>729</v>
      </c>
      <c r="E411" s="503"/>
      <c r="F411" s="503">
        <v>152411</v>
      </c>
      <c r="G411" s="148"/>
      <c r="H411" s="148"/>
      <c r="I411" s="148"/>
      <c r="J411" s="148"/>
      <c r="K411" s="148"/>
      <c r="L411" s="148"/>
      <c r="M411" s="148"/>
      <c r="N411" s="148"/>
      <c r="O411" s="148"/>
      <c r="P411" s="148"/>
      <c r="Q411" s="148">
        <f t="shared" si="29"/>
        <v>0</v>
      </c>
      <c r="R411" s="598"/>
    </row>
    <row r="412" spans="1:18" ht="15.95" hidden="1" customHeight="1" x14ac:dyDescent="0.2">
      <c r="A412" s="206"/>
      <c r="B412" s="206"/>
      <c r="C412" s="309" t="s">
        <v>720</v>
      </c>
      <c r="D412" s="710" t="s">
        <v>730</v>
      </c>
      <c r="E412" s="503"/>
      <c r="F412" s="503">
        <v>154493</v>
      </c>
      <c r="G412" s="148"/>
      <c r="H412" s="148"/>
      <c r="I412" s="148"/>
      <c r="J412" s="148"/>
      <c r="K412" s="148"/>
      <c r="L412" s="148"/>
      <c r="M412" s="148"/>
      <c r="N412" s="148"/>
      <c r="O412" s="148"/>
      <c r="P412" s="148"/>
      <c r="Q412" s="148">
        <f t="shared" si="29"/>
        <v>0</v>
      </c>
      <c r="R412" s="598"/>
    </row>
    <row r="413" spans="1:18" ht="15" customHeight="1" x14ac:dyDescent="0.2">
      <c r="A413" s="206"/>
      <c r="B413" s="206"/>
      <c r="C413" s="309" t="s">
        <v>722</v>
      </c>
      <c r="D413" s="722" t="s">
        <v>1179</v>
      </c>
      <c r="E413" s="715"/>
      <c r="F413" s="503">
        <v>155454</v>
      </c>
      <c r="G413" s="148"/>
      <c r="H413" s="148"/>
      <c r="I413" s="148"/>
      <c r="J413" s="148"/>
      <c r="K413" s="148"/>
      <c r="L413" s="148"/>
      <c r="M413" s="148">
        <v>-1756</v>
      </c>
      <c r="N413" s="148"/>
      <c r="O413" s="148"/>
      <c r="P413" s="148"/>
      <c r="Q413" s="148">
        <f t="shared" si="29"/>
        <v>-1756</v>
      </c>
      <c r="R413" s="598" t="s">
        <v>1366</v>
      </c>
    </row>
    <row r="414" spans="1:18" ht="19.5" hidden="1" customHeight="1" x14ac:dyDescent="0.2">
      <c r="A414" s="206"/>
      <c r="B414" s="206"/>
      <c r="C414" s="309" t="s">
        <v>723</v>
      </c>
      <c r="D414" s="705" t="s">
        <v>731</v>
      </c>
      <c r="E414" s="503"/>
      <c r="F414" s="503">
        <v>155412</v>
      </c>
      <c r="G414" s="148"/>
      <c r="H414" s="148"/>
      <c r="I414" s="148"/>
      <c r="J414" s="148"/>
      <c r="K414" s="148"/>
      <c r="L414" s="148"/>
      <c r="M414" s="148"/>
      <c r="N414" s="148"/>
      <c r="O414" s="148"/>
      <c r="P414" s="148"/>
      <c r="Q414" s="148">
        <f t="shared" si="29"/>
        <v>0</v>
      </c>
      <c r="R414" s="598"/>
    </row>
    <row r="415" spans="1:18" ht="16.5" customHeight="1" x14ac:dyDescent="0.2">
      <c r="A415" s="206"/>
      <c r="B415" s="206"/>
      <c r="C415" s="309" t="s">
        <v>724</v>
      </c>
      <c r="D415" s="704" t="s">
        <v>1000</v>
      </c>
      <c r="E415" s="503"/>
      <c r="F415" s="503">
        <v>155414</v>
      </c>
      <c r="G415" s="148"/>
      <c r="H415" s="148"/>
      <c r="I415" s="148"/>
      <c r="J415" s="148"/>
      <c r="K415" s="148"/>
      <c r="L415" s="148"/>
      <c r="M415" s="148">
        <v>10830</v>
      </c>
      <c r="N415" s="148"/>
      <c r="O415" s="148"/>
      <c r="P415" s="148"/>
      <c r="Q415" s="148">
        <f t="shared" si="29"/>
        <v>10830</v>
      </c>
      <c r="R415" s="598" t="s">
        <v>1366</v>
      </c>
    </row>
    <row r="416" spans="1:18" ht="17.25" hidden="1" customHeight="1" x14ac:dyDescent="0.2">
      <c r="A416" s="206"/>
      <c r="B416" s="206"/>
      <c r="C416" s="309" t="s">
        <v>726</v>
      </c>
      <c r="D416" s="704" t="s">
        <v>735</v>
      </c>
      <c r="E416" s="503"/>
      <c r="F416" s="503">
        <v>155430</v>
      </c>
      <c r="G416" s="148"/>
      <c r="H416" s="148"/>
      <c r="I416" s="148"/>
      <c r="J416" s="148"/>
      <c r="K416" s="148"/>
      <c r="L416" s="148"/>
      <c r="M416" s="148"/>
      <c r="N416" s="148"/>
      <c r="O416" s="148"/>
      <c r="P416" s="148"/>
      <c r="Q416" s="148">
        <f t="shared" si="29"/>
        <v>0</v>
      </c>
      <c r="R416" s="598"/>
    </row>
    <row r="417" spans="1:18" ht="26.25" hidden="1" customHeight="1" x14ac:dyDescent="0.2">
      <c r="A417" s="585"/>
      <c r="B417" s="585"/>
      <c r="C417" s="171" t="s">
        <v>1268</v>
      </c>
      <c r="D417" s="700" t="s">
        <v>1269</v>
      </c>
      <c r="E417" s="587"/>
      <c r="F417" s="778">
        <v>152434</v>
      </c>
      <c r="G417" s="582"/>
      <c r="H417" s="582"/>
      <c r="I417" s="582"/>
      <c r="J417" s="582"/>
      <c r="K417" s="582"/>
      <c r="L417" s="582"/>
      <c r="M417" s="582"/>
      <c r="N417" s="582"/>
      <c r="O417" s="582"/>
      <c r="P417" s="582"/>
      <c r="Q417" s="148">
        <f t="shared" si="29"/>
        <v>0</v>
      </c>
      <c r="R417" s="598"/>
    </row>
    <row r="418" spans="1:18" ht="19.5" hidden="1" customHeight="1" x14ac:dyDescent="0.2">
      <c r="A418" s="836"/>
      <c r="B418" s="836"/>
      <c r="C418" s="842" t="s">
        <v>1304</v>
      </c>
      <c r="D418" s="843" t="s">
        <v>1305</v>
      </c>
      <c r="E418" s="841"/>
      <c r="F418" s="841">
        <v>155455</v>
      </c>
      <c r="G418" s="784"/>
      <c r="H418" s="784"/>
      <c r="I418" s="784"/>
      <c r="J418" s="784"/>
      <c r="K418" s="784"/>
      <c r="L418" s="784"/>
      <c r="M418" s="784"/>
      <c r="N418" s="784"/>
      <c r="O418" s="784"/>
      <c r="P418" s="784"/>
      <c r="Q418" s="148">
        <f t="shared" si="29"/>
        <v>0</v>
      </c>
      <c r="R418" s="827"/>
    </row>
    <row r="419" spans="1:18" ht="26.25" hidden="1" customHeight="1" x14ac:dyDescent="0.2">
      <c r="A419" s="836"/>
      <c r="B419" s="836"/>
      <c r="C419" s="842" t="s">
        <v>1306</v>
      </c>
      <c r="D419" s="843" t="s">
        <v>1307</v>
      </c>
      <c r="E419" s="841"/>
      <c r="F419" s="841">
        <v>152435</v>
      </c>
      <c r="G419" s="784"/>
      <c r="H419" s="784"/>
      <c r="I419" s="784"/>
      <c r="J419" s="784"/>
      <c r="K419" s="784"/>
      <c r="L419" s="784"/>
      <c r="M419" s="784"/>
      <c r="N419" s="784"/>
      <c r="O419" s="784"/>
      <c r="P419" s="784"/>
      <c r="Q419" s="148">
        <f t="shared" si="29"/>
        <v>0</v>
      </c>
      <c r="R419" s="827"/>
    </row>
    <row r="420" spans="1:18" ht="19.5" hidden="1" customHeight="1" x14ac:dyDescent="0.2">
      <c r="A420" s="836"/>
      <c r="B420" s="836"/>
      <c r="C420" s="842" t="s">
        <v>1308</v>
      </c>
      <c r="D420" s="843" t="s">
        <v>1309</v>
      </c>
      <c r="E420" s="841"/>
      <c r="F420" s="841">
        <v>155458</v>
      </c>
      <c r="G420" s="784"/>
      <c r="H420" s="784"/>
      <c r="I420" s="784"/>
      <c r="J420" s="784"/>
      <c r="K420" s="784"/>
      <c r="L420" s="784"/>
      <c r="M420" s="784"/>
      <c r="N420" s="784"/>
      <c r="O420" s="784"/>
      <c r="P420" s="784"/>
      <c r="Q420" s="148">
        <f t="shared" si="29"/>
        <v>0</v>
      </c>
      <c r="R420" s="827"/>
    </row>
    <row r="421" spans="1:18" ht="19.5" hidden="1" customHeight="1" x14ac:dyDescent="0.2">
      <c r="A421" s="836"/>
      <c r="B421" s="836"/>
      <c r="C421" s="842" t="s">
        <v>1310</v>
      </c>
      <c r="D421" s="844" t="s">
        <v>1311</v>
      </c>
      <c r="E421" s="841"/>
      <c r="F421" s="841">
        <v>152442</v>
      </c>
      <c r="G421" s="784"/>
      <c r="H421" s="784"/>
      <c r="I421" s="784"/>
      <c r="J421" s="784"/>
      <c r="K421" s="784"/>
      <c r="L421" s="784"/>
      <c r="M421" s="784"/>
      <c r="N421" s="784"/>
      <c r="O421" s="784"/>
      <c r="P421" s="784"/>
      <c r="Q421" s="148">
        <f t="shared" si="29"/>
        <v>0</v>
      </c>
      <c r="R421" s="827"/>
    </row>
    <row r="422" spans="1:18" ht="19.5" customHeight="1" x14ac:dyDescent="0.2">
      <c r="A422" s="863"/>
      <c r="B422" s="863"/>
      <c r="C422" s="171" t="s">
        <v>1372</v>
      </c>
      <c r="D422" s="925" t="s">
        <v>1373</v>
      </c>
      <c r="E422" s="865"/>
      <c r="F422" s="865">
        <v>155459</v>
      </c>
      <c r="G422" s="866"/>
      <c r="H422" s="866"/>
      <c r="I422" s="866"/>
      <c r="J422" s="866"/>
      <c r="K422" s="866"/>
      <c r="L422" s="866"/>
      <c r="M422" s="866">
        <v>988</v>
      </c>
      <c r="N422" s="866"/>
      <c r="O422" s="866"/>
      <c r="P422" s="866"/>
      <c r="Q422" s="148">
        <f t="shared" si="29"/>
        <v>988</v>
      </c>
      <c r="R422" s="867" t="s">
        <v>1366</v>
      </c>
    </row>
    <row r="423" spans="1:18" ht="19.5" customHeight="1" x14ac:dyDescent="0.2">
      <c r="A423" s="863"/>
      <c r="B423" s="863"/>
      <c r="C423" s="171" t="s">
        <v>1374</v>
      </c>
      <c r="D423" s="925" t="s">
        <v>1375</v>
      </c>
      <c r="E423" s="865"/>
      <c r="F423" s="865">
        <v>155460</v>
      </c>
      <c r="G423" s="866"/>
      <c r="H423" s="866"/>
      <c r="I423" s="866"/>
      <c r="J423" s="866"/>
      <c r="K423" s="866"/>
      <c r="L423" s="866"/>
      <c r="M423" s="866">
        <v>1508</v>
      </c>
      <c r="N423" s="866"/>
      <c r="O423" s="866"/>
      <c r="P423" s="866"/>
      <c r="Q423" s="148">
        <f t="shared" si="29"/>
        <v>1508</v>
      </c>
      <c r="R423" s="867" t="s">
        <v>1366</v>
      </c>
    </row>
    <row r="424" spans="1:18" ht="19.5" customHeight="1" x14ac:dyDescent="0.2">
      <c r="A424" s="863"/>
      <c r="B424" s="863"/>
      <c r="C424" s="171" t="s">
        <v>1376</v>
      </c>
      <c r="D424" s="926" t="s">
        <v>1377</v>
      </c>
      <c r="E424" s="865"/>
      <c r="F424" s="865">
        <v>164419</v>
      </c>
      <c r="G424" s="866"/>
      <c r="H424" s="866"/>
      <c r="I424" s="866"/>
      <c r="J424" s="866"/>
      <c r="K424" s="866"/>
      <c r="L424" s="866"/>
      <c r="M424" s="866">
        <v>600</v>
      </c>
      <c r="N424" s="866"/>
      <c r="O424" s="866"/>
      <c r="P424" s="866"/>
      <c r="Q424" s="148">
        <f t="shared" si="29"/>
        <v>600</v>
      </c>
      <c r="R424" s="867" t="s">
        <v>1366</v>
      </c>
    </row>
    <row r="425" spans="1:18" ht="26.25" customHeight="1" x14ac:dyDescent="0.2">
      <c r="A425" s="863"/>
      <c r="B425" s="863"/>
      <c r="C425" s="171" t="s">
        <v>1378</v>
      </c>
      <c r="D425" s="926" t="s">
        <v>1379</v>
      </c>
      <c r="E425" s="865"/>
      <c r="F425" s="865">
        <v>164411</v>
      </c>
      <c r="G425" s="866"/>
      <c r="H425" s="866"/>
      <c r="I425" s="866"/>
      <c r="J425" s="866"/>
      <c r="K425" s="866"/>
      <c r="L425" s="866"/>
      <c r="M425" s="866">
        <v>2076</v>
      </c>
      <c r="N425" s="866"/>
      <c r="O425" s="866"/>
      <c r="P425" s="866"/>
      <c r="Q425" s="148">
        <f t="shared" si="29"/>
        <v>2076</v>
      </c>
      <c r="R425" s="867" t="s">
        <v>1366</v>
      </c>
    </row>
    <row r="426" spans="1:18" ht="19.5" customHeight="1" x14ac:dyDescent="0.2">
      <c r="A426" s="863"/>
      <c r="B426" s="863"/>
      <c r="C426" s="171" t="s">
        <v>1380</v>
      </c>
      <c r="D426" s="926" t="s">
        <v>1381</v>
      </c>
      <c r="E426" s="865"/>
      <c r="F426" s="865">
        <v>152581</v>
      </c>
      <c r="G426" s="866"/>
      <c r="H426" s="866"/>
      <c r="I426" s="866"/>
      <c r="J426" s="866"/>
      <c r="K426" s="866"/>
      <c r="L426" s="866">
        <v>1711</v>
      </c>
      <c r="M426" s="866"/>
      <c r="N426" s="866"/>
      <c r="O426" s="866"/>
      <c r="P426" s="866"/>
      <c r="Q426" s="148">
        <f t="shared" si="29"/>
        <v>1711</v>
      </c>
      <c r="R426" s="867" t="s">
        <v>1366</v>
      </c>
    </row>
    <row r="427" spans="1:18" ht="19.5" customHeight="1" x14ac:dyDescent="0.2">
      <c r="A427" s="863"/>
      <c r="B427" s="863"/>
      <c r="C427" s="171" t="s">
        <v>1382</v>
      </c>
      <c r="D427" s="926" t="s">
        <v>1383</v>
      </c>
      <c r="E427" s="865"/>
      <c r="F427" s="864">
        <v>164413</v>
      </c>
      <c r="G427" s="866"/>
      <c r="H427" s="866"/>
      <c r="I427" s="866"/>
      <c r="J427" s="866"/>
      <c r="K427" s="866"/>
      <c r="L427" s="866"/>
      <c r="M427" s="866">
        <v>1345</v>
      </c>
      <c r="N427" s="866"/>
      <c r="O427" s="866"/>
      <c r="P427" s="866"/>
      <c r="Q427" s="148">
        <f t="shared" si="29"/>
        <v>1345</v>
      </c>
      <c r="R427" s="867" t="s">
        <v>1366</v>
      </c>
    </row>
    <row r="428" spans="1:18" ht="25.5" customHeight="1" x14ac:dyDescent="0.2">
      <c r="A428" s="863"/>
      <c r="B428" s="863"/>
      <c r="C428" s="171" t="s">
        <v>1384</v>
      </c>
      <c r="D428" s="926" t="s">
        <v>1385</v>
      </c>
      <c r="E428" s="865"/>
      <c r="F428" s="864">
        <v>164414</v>
      </c>
      <c r="G428" s="866"/>
      <c r="H428" s="866"/>
      <c r="I428" s="866"/>
      <c r="J428" s="866"/>
      <c r="K428" s="866"/>
      <c r="L428" s="866"/>
      <c r="M428" s="866">
        <v>10017</v>
      </c>
      <c r="N428" s="866"/>
      <c r="O428" s="866"/>
      <c r="P428" s="866"/>
      <c r="Q428" s="148">
        <f t="shared" si="29"/>
        <v>10017</v>
      </c>
      <c r="R428" s="867" t="s">
        <v>1365</v>
      </c>
    </row>
    <row r="429" spans="1:18" ht="18" customHeight="1" x14ac:dyDescent="0.2">
      <c r="A429" s="206"/>
      <c r="B429" s="206"/>
      <c r="C429" s="314"/>
      <c r="D429" s="277" t="s">
        <v>1145</v>
      </c>
      <c r="E429" s="313"/>
      <c r="F429" s="148"/>
      <c r="G429" s="148"/>
      <c r="H429" s="148"/>
      <c r="I429" s="148"/>
      <c r="J429" s="148"/>
      <c r="K429" s="148"/>
      <c r="L429" s="148"/>
      <c r="M429" s="148"/>
      <c r="N429" s="148"/>
      <c r="O429" s="148"/>
      <c r="P429" s="148"/>
      <c r="Q429" s="148"/>
      <c r="R429" s="598"/>
    </row>
    <row r="430" spans="1:18" ht="18" hidden="1" customHeight="1" x14ac:dyDescent="0.2">
      <c r="A430" s="206"/>
      <c r="B430" s="206"/>
      <c r="C430" s="309" t="s">
        <v>737</v>
      </c>
      <c r="D430" s="710" t="s">
        <v>738</v>
      </c>
      <c r="E430" s="503"/>
      <c r="F430" s="503">
        <v>155420</v>
      </c>
      <c r="G430" s="148"/>
      <c r="H430" s="148"/>
      <c r="I430" s="148"/>
      <c r="J430" s="148"/>
      <c r="K430" s="148"/>
      <c r="L430" s="148"/>
      <c r="M430" s="148"/>
      <c r="N430" s="148"/>
      <c r="O430" s="148"/>
      <c r="P430" s="148"/>
      <c r="Q430" s="148">
        <f t="shared" si="29"/>
        <v>0</v>
      </c>
      <c r="R430" s="598"/>
    </row>
    <row r="431" spans="1:18" ht="17.25" hidden="1" customHeight="1" x14ac:dyDescent="0.2">
      <c r="A431" s="206"/>
      <c r="B431" s="206"/>
      <c r="C431" s="309" t="s">
        <v>739</v>
      </c>
      <c r="D431" s="710" t="s">
        <v>741</v>
      </c>
      <c r="E431" s="503"/>
      <c r="F431" s="503">
        <v>154479</v>
      </c>
      <c r="G431" s="148"/>
      <c r="H431" s="148"/>
      <c r="I431" s="148"/>
      <c r="J431" s="148"/>
      <c r="K431" s="148"/>
      <c r="L431" s="148"/>
      <c r="M431" s="148"/>
      <c r="N431" s="148"/>
      <c r="O431" s="148"/>
      <c r="P431" s="148"/>
      <c r="Q431" s="148">
        <f t="shared" si="29"/>
        <v>0</v>
      </c>
      <c r="R431" s="598"/>
    </row>
    <row r="432" spans="1:18" ht="18" hidden="1" customHeight="1" x14ac:dyDescent="0.2">
      <c r="A432" s="206"/>
      <c r="B432" s="206"/>
      <c r="C432" s="309" t="s">
        <v>740</v>
      </c>
      <c r="D432" s="720" t="s">
        <v>744</v>
      </c>
      <c r="E432" s="503"/>
      <c r="F432" s="503">
        <v>152414</v>
      </c>
      <c r="G432" s="148"/>
      <c r="H432" s="148"/>
      <c r="I432" s="148"/>
      <c r="J432" s="148"/>
      <c r="K432" s="148"/>
      <c r="L432" s="148"/>
      <c r="M432" s="148"/>
      <c r="N432" s="148"/>
      <c r="O432" s="148"/>
      <c r="P432" s="148"/>
      <c r="Q432" s="148">
        <f t="shared" si="29"/>
        <v>0</v>
      </c>
      <c r="R432" s="598"/>
    </row>
    <row r="433" spans="1:18" ht="21" customHeight="1" x14ac:dyDescent="0.2">
      <c r="A433" s="206"/>
      <c r="B433" s="206"/>
      <c r="C433" s="309" t="s">
        <v>742</v>
      </c>
      <c r="D433" s="724" t="s">
        <v>749</v>
      </c>
      <c r="E433" s="503"/>
      <c r="F433" s="503">
        <v>152405</v>
      </c>
      <c r="G433" s="148"/>
      <c r="H433" s="148"/>
      <c r="I433" s="148">
        <v>100</v>
      </c>
      <c r="J433" s="148"/>
      <c r="K433" s="148"/>
      <c r="L433" s="148">
        <v>-280</v>
      </c>
      <c r="M433" s="148">
        <v>180</v>
      </c>
      <c r="N433" s="148"/>
      <c r="O433" s="148"/>
      <c r="P433" s="148"/>
      <c r="Q433" s="148">
        <f t="shared" si="29"/>
        <v>0</v>
      </c>
      <c r="R433" s="598" t="s">
        <v>1366</v>
      </c>
    </row>
    <row r="434" spans="1:18" ht="18" hidden="1" customHeight="1" x14ac:dyDescent="0.2">
      <c r="A434" s="206"/>
      <c r="B434" s="206"/>
      <c r="C434" s="309" t="s">
        <v>743</v>
      </c>
      <c r="D434" s="705" t="s">
        <v>660</v>
      </c>
      <c r="E434" s="503"/>
      <c r="F434" s="503">
        <v>151419</v>
      </c>
      <c r="G434" s="148"/>
      <c r="H434" s="148"/>
      <c r="I434" s="148"/>
      <c r="J434" s="148"/>
      <c r="K434" s="148"/>
      <c r="L434" s="148"/>
      <c r="M434" s="148"/>
      <c r="N434" s="148"/>
      <c r="O434" s="148"/>
      <c r="P434" s="148"/>
      <c r="Q434" s="148">
        <f t="shared" si="29"/>
        <v>0</v>
      </c>
      <c r="R434" s="598"/>
    </row>
    <row r="435" spans="1:18" ht="18" hidden="1" customHeight="1" x14ac:dyDescent="0.2">
      <c r="A435" s="206"/>
      <c r="B435" s="206"/>
      <c r="C435" s="309" t="s">
        <v>745</v>
      </c>
      <c r="D435" s="705" t="s">
        <v>693</v>
      </c>
      <c r="E435" s="503"/>
      <c r="F435" s="503">
        <v>154471</v>
      </c>
      <c r="G435" s="148"/>
      <c r="H435" s="148"/>
      <c r="I435" s="148"/>
      <c r="J435" s="148"/>
      <c r="K435" s="148"/>
      <c r="L435" s="148"/>
      <c r="M435" s="148"/>
      <c r="N435" s="148"/>
      <c r="O435" s="148"/>
      <c r="P435" s="148"/>
      <c r="Q435" s="148">
        <f t="shared" si="29"/>
        <v>0</v>
      </c>
      <c r="R435" s="598"/>
    </row>
    <row r="436" spans="1:18" ht="17.25" hidden="1" customHeight="1" x14ac:dyDescent="0.2">
      <c r="A436" s="206"/>
      <c r="B436" s="206"/>
      <c r="C436" s="309" t="s">
        <v>747</v>
      </c>
      <c r="D436" s="710" t="s">
        <v>725</v>
      </c>
      <c r="E436" s="503"/>
      <c r="F436" s="503">
        <v>154411</v>
      </c>
      <c r="G436" s="148"/>
      <c r="H436" s="148"/>
      <c r="I436" s="148"/>
      <c r="J436" s="148"/>
      <c r="K436" s="148"/>
      <c r="L436" s="148"/>
      <c r="M436" s="148"/>
      <c r="N436" s="148"/>
      <c r="O436" s="148"/>
      <c r="P436" s="148"/>
      <c r="Q436" s="148">
        <f>SUM(G436:P436)</f>
        <v>0</v>
      </c>
      <c r="R436" s="598"/>
    </row>
    <row r="437" spans="1:18" ht="15.75" hidden="1" customHeight="1" x14ac:dyDescent="0.2">
      <c r="A437" s="206"/>
      <c r="B437" s="206"/>
      <c r="C437" s="309" t="s">
        <v>748</v>
      </c>
      <c r="D437" s="705" t="s">
        <v>1014</v>
      </c>
      <c r="E437" s="503"/>
      <c r="F437" s="503">
        <v>155418</v>
      </c>
      <c r="G437" s="148"/>
      <c r="H437" s="148"/>
      <c r="I437" s="148"/>
      <c r="J437" s="148"/>
      <c r="K437" s="148"/>
      <c r="L437" s="148"/>
      <c r="M437" s="148"/>
      <c r="N437" s="148"/>
      <c r="O437" s="148"/>
      <c r="P437" s="148"/>
      <c r="Q437" s="148">
        <f>SUM(G437:P437)</f>
        <v>0</v>
      </c>
      <c r="R437" s="598"/>
    </row>
    <row r="438" spans="1:18" ht="29.25" hidden="1" customHeight="1" x14ac:dyDescent="0.2">
      <c r="A438" s="206"/>
      <c r="B438" s="206"/>
      <c r="C438" s="309" t="s">
        <v>1180</v>
      </c>
      <c r="D438" s="704" t="s">
        <v>732</v>
      </c>
      <c r="E438" s="503"/>
      <c r="F438" s="503">
        <v>155424</v>
      </c>
      <c r="G438" s="148"/>
      <c r="H438" s="148"/>
      <c r="I438" s="148"/>
      <c r="J438" s="148"/>
      <c r="K438" s="148"/>
      <c r="L438" s="148"/>
      <c r="M438" s="148"/>
      <c r="N438" s="148"/>
      <c r="O438" s="148"/>
      <c r="P438" s="148"/>
      <c r="Q438" s="148">
        <f t="shared" ref="Q438:Q446" si="30">SUM(G438:P438)</f>
        <v>0</v>
      </c>
      <c r="R438" s="303"/>
    </row>
    <row r="439" spans="1:18" ht="18" hidden="1" customHeight="1" x14ac:dyDescent="0.2">
      <c r="A439" s="206"/>
      <c r="B439" s="206"/>
      <c r="C439" s="309" t="s">
        <v>1181</v>
      </c>
      <c r="D439" s="704" t="s">
        <v>733</v>
      </c>
      <c r="E439" s="503"/>
      <c r="F439" s="503">
        <v>155426</v>
      </c>
      <c r="G439" s="148"/>
      <c r="H439" s="148"/>
      <c r="I439" s="148"/>
      <c r="J439" s="148"/>
      <c r="K439" s="148"/>
      <c r="L439" s="148"/>
      <c r="M439" s="148"/>
      <c r="N439" s="148"/>
      <c r="O439" s="148"/>
      <c r="P439" s="148"/>
      <c r="Q439" s="148">
        <f t="shared" si="30"/>
        <v>0</v>
      </c>
      <c r="R439" s="303"/>
    </row>
    <row r="440" spans="1:18" ht="14.25" hidden="1" customHeight="1" x14ac:dyDescent="0.2">
      <c r="A440" s="206"/>
      <c r="B440" s="206"/>
      <c r="C440" s="309" t="s">
        <v>1182</v>
      </c>
      <c r="D440" s="704" t="s">
        <v>734</v>
      </c>
      <c r="E440" s="503"/>
      <c r="F440" s="503">
        <v>152426</v>
      </c>
      <c r="G440" s="148"/>
      <c r="H440" s="148"/>
      <c r="I440" s="148"/>
      <c r="J440" s="148"/>
      <c r="K440" s="148"/>
      <c r="L440" s="148"/>
      <c r="M440" s="148"/>
      <c r="N440" s="148"/>
      <c r="O440" s="148"/>
      <c r="P440" s="148"/>
      <c r="Q440" s="148">
        <f t="shared" si="30"/>
        <v>0</v>
      </c>
      <c r="R440" s="303"/>
    </row>
    <row r="441" spans="1:18" ht="15.75" hidden="1" customHeight="1" x14ac:dyDescent="0.2">
      <c r="A441" s="206"/>
      <c r="B441" s="206"/>
      <c r="C441" s="309" t="s">
        <v>1183</v>
      </c>
      <c r="D441" s="704" t="s">
        <v>736</v>
      </c>
      <c r="E441" s="503"/>
      <c r="F441" s="503">
        <v>155427</v>
      </c>
      <c r="G441" s="148"/>
      <c r="H441" s="148"/>
      <c r="I441" s="148"/>
      <c r="J441" s="148"/>
      <c r="K441" s="148"/>
      <c r="L441" s="148"/>
      <c r="M441" s="148"/>
      <c r="N441" s="148"/>
      <c r="O441" s="148"/>
      <c r="P441" s="148"/>
      <c r="Q441" s="148">
        <f t="shared" si="30"/>
        <v>0</v>
      </c>
      <c r="R441" s="303"/>
    </row>
    <row r="442" spans="1:18" ht="15" hidden="1" customHeight="1" x14ac:dyDescent="0.2">
      <c r="A442" s="206"/>
      <c r="B442" s="206"/>
      <c r="C442" s="309" t="s">
        <v>1184</v>
      </c>
      <c r="D442" s="531" t="s">
        <v>1189</v>
      </c>
      <c r="E442" s="503"/>
      <c r="F442" s="503">
        <v>155431</v>
      </c>
      <c r="G442" s="148"/>
      <c r="H442" s="148"/>
      <c r="I442" s="148"/>
      <c r="J442" s="148"/>
      <c r="K442" s="148"/>
      <c r="L442" s="148"/>
      <c r="M442" s="148"/>
      <c r="N442" s="148"/>
      <c r="O442" s="148"/>
      <c r="P442" s="148"/>
      <c r="Q442" s="148">
        <f t="shared" si="30"/>
        <v>0</v>
      </c>
      <c r="R442" s="303"/>
    </row>
    <row r="443" spans="1:18" ht="29.25" hidden="1" customHeight="1" x14ac:dyDescent="0.2">
      <c r="A443" s="206"/>
      <c r="B443" s="206"/>
      <c r="C443" s="309" t="s">
        <v>1185</v>
      </c>
      <c r="D443" s="725" t="s">
        <v>1190</v>
      </c>
      <c r="E443" s="503"/>
      <c r="F443" s="503">
        <v>154401</v>
      </c>
      <c r="G443" s="148"/>
      <c r="H443" s="148"/>
      <c r="I443" s="148"/>
      <c r="J443" s="148"/>
      <c r="K443" s="148"/>
      <c r="L443" s="148"/>
      <c r="M443" s="148"/>
      <c r="N443" s="148"/>
      <c r="O443" s="148"/>
      <c r="P443" s="148"/>
      <c r="Q443" s="148">
        <f t="shared" si="30"/>
        <v>0</v>
      </c>
      <c r="R443" s="303"/>
    </row>
    <row r="444" spans="1:18" ht="29.25" hidden="1" customHeight="1" x14ac:dyDescent="0.2">
      <c r="A444" s="206"/>
      <c r="B444" s="206"/>
      <c r="C444" s="309" t="s">
        <v>1186</v>
      </c>
      <c r="D444" s="725" t="s">
        <v>1191</v>
      </c>
      <c r="E444" s="503"/>
      <c r="F444" s="503">
        <v>152136</v>
      </c>
      <c r="G444" s="148"/>
      <c r="H444" s="148"/>
      <c r="I444" s="148"/>
      <c r="J444" s="148"/>
      <c r="K444" s="148"/>
      <c r="L444" s="148"/>
      <c r="M444" s="148"/>
      <c r="N444" s="148"/>
      <c r="O444" s="148"/>
      <c r="P444" s="148"/>
      <c r="Q444" s="148">
        <f t="shared" si="30"/>
        <v>0</v>
      </c>
      <c r="R444" s="303"/>
    </row>
    <row r="445" spans="1:18" ht="18" hidden="1" customHeight="1" x14ac:dyDescent="0.2">
      <c r="A445" s="206"/>
      <c r="B445" s="206"/>
      <c r="C445" s="309" t="s">
        <v>1187</v>
      </c>
      <c r="D445" s="725" t="s">
        <v>1192</v>
      </c>
      <c r="E445" s="503"/>
      <c r="F445" s="503">
        <v>152427</v>
      </c>
      <c r="G445" s="148"/>
      <c r="H445" s="148"/>
      <c r="I445" s="148"/>
      <c r="J445" s="148"/>
      <c r="K445" s="148"/>
      <c r="L445" s="148"/>
      <c r="M445" s="148"/>
      <c r="N445" s="148"/>
      <c r="O445" s="148"/>
      <c r="P445" s="148"/>
      <c r="Q445" s="148">
        <f t="shared" si="30"/>
        <v>0</v>
      </c>
      <c r="R445" s="303"/>
    </row>
    <row r="446" spans="1:18" ht="25.5" hidden="1" customHeight="1" x14ac:dyDescent="0.2">
      <c r="A446" s="206"/>
      <c r="B446" s="206"/>
      <c r="C446" s="309" t="s">
        <v>1188</v>
      </c>
      <c r="D446" s="725" t="s">
        <v>1193</v>
      </c>
      <c r="E446" s="503"/>
      <c r="F446" s="503">
        <v>152428</v>
      </c>
      <c r="G446" s="148"/>
      <c r="H446" s="148"/>
      <c r="I446" s="148"/>
      <c r="J446" s="148"/>
      <c r="K446" s="148"/>
      <c r="L446" s="148"/>
      <c r="M446" s="148"/>
      <c r="N446" s="148"/>
      <c r="O446" s="148"/>
      <c r="P446" s="148"/>
      <c r="Q446" s="148">
        <f t="shared" si="30"/>
        <v>0</v>
      </c>
      <c r="R446" s="303"/>
    </row>
    <row r="447" spans="1:18" ht="15.75" customHeight="1" x14ac:dyDescent="0.2">
      <c r="A447" s="206"/>
      <c r="B447" s="206"/>
      <c r="C447" s="315" t="s">
        <v>90</v>
      </c>
      <c r="D447" s="316" t="s">
        <v>750</v>
      </c>
      <c r="E447" s="209"/>
      <c r="F447" s="210"/>
      <c r="G447" s="148"/>
      <c r="H447" s="148"/>
      <c r="I447" s="148"/>
      <c r="J447" s="148"/>
      <c r="K447" s="148"/>
      <c r="L447" s="148"/>
      <c r="M447" s="148"/>
      <c r="N447" s="148"/>
      <c r="O447" s="148"/>
      <c r="P447" s="148"/>
      <c r="Q447" s="148"/>
      <c r="R447" s="598"/>
    </row>
    <row r="448" spans="1:18" ht="18.75" customHeight="1" x14ac:dyDescent="0.2">
      <c r="A448" s="206"/>
      <c r="B448" s="206"/>
      <c r="C448" s="726" t="s">
        <v>751</v>
      </c>
      <c r="D448" s="705" t="s">
        <v>1194</v>
      </c>
      <c r="E448" s="503"/>
      <c r="F448" s="503">
        <v>152574</v>
      </c>
      <c r="G448" s="148"/>
      <c r="H448" s="148"/>
      <c r="I448" s="148"/>
      <c r="J448" s="148"/>
      <c r="K448" s="148"/>
      <c r="L448" s="148">
        <v>2613</v>
      </c>
      <c r="M448" s="148"/>
      <c r="N448" s="148"/>
      <c r="O448" s="148"/>
      <c r="P448" s="148"/>
      <c r="Q448" s="148">
        <f t="shared" ref="Q448:Q464" si="31">SUM(G448:P448)</f>
        <v>2613</v>
      </c>
      <c r="R448" s="598" t="s">
        <v>1366</v>
      </c>
    </row>
    <row r="449" spans="1:18" ht="18.75" hidden="1" customHeight="1" x14ac:dyDescent="0.2">
      <c r="A449" s="206"/>
      <c r="B449" s="206"/>
      <c r="C449" s="726" t="s">
        <v>752</v>
      </c>
      <c r="D449" s="704" t="s">
        <v>765</v>
      </c>
      <c r="E449" s="503"/>
      <c r="F449" s="503">
        <v>152571</v>
      </c>
      <c r="G449" s="148"/>
      <c r="H449" s="148"/>
      <c r="I449" s="148"/>
      <c r="J449" s="148"/>
      <c r="K449" s="148"/>
      <c r="L449" s="148"/>
      <c r="M449" s="148"/>
      <c r="N449" s="148"/>
      <c r="O449" s="148"/>
      <c r="P449" s="148"/>
      <c r="Q449" s="148">
        <f t="shared" si="31"/>
        <v>0</v>
      </c>
      <c r="R449" s="598"/>
    </row>
    <row r="450" spans="1:18" ht="18.75" hidden="1" customHeight="1" x14ac:dyDescent="0.2">
      <c r="A450" s="206"/>
      <c r="B450" s="206"/>
      <c r="C450" s="726" t="s">
        <v>753</v>
      </c>
      <c r="D450" s="727" t="s">
        <v>1195</v>
      </c>
      <c r="E450" s="708"/>
      <c r="F450" s="503">
        <v>152558</v>
      </c>
      <c r="G450" s="148"/>
      <c r="H450" s="148"/>
      <c r="I450" s="148"/>
      <c r="J450" s="148"/>
      <c r="K450" s="148"/>
      <c r="L450" s="148"/>
      <c r="M450" s="148"/>
      <c r="N450" s="148"/>
      <c r="O450" s="148"/>
      <c r="P450" s="148"/>
      <c r="Q450" s="148">
        <f t="shared" si="31"/>
        <v>0</v>
      </c>
      <c r="R450" s="598"/>
    </row>
    <row r="451" spans="1:18" ht="18.75" customHeight="1" x14ac:dyDescent="0.2">
      <c r="A451" s="206"/>
      <c r="B451" s="206"/>
      <c r="C451" s="726" t="s">
        <v>754</v>
      </c>
      <c r="D451" s="714" t="s">
        <v>1196</v>
      </c>
      <c r="E451" s="503"/>
      <c r="F451" s="503">
        <v>152575</v>
      </c>
      <c r="G451" s="148"/>
      <c r="H451" s="148"/>
      <c r="I451" s="148"/>
      <c r="J451" s="148"/>
      <c r="K451" s="148"/>
      <c r="L451" s="148">
        <v>-1150</v>
      </c>
      <c r="M451" s="148"/>
      <c r="N451" s="148"/>
      <c r="O451" s="148"/>
      <c r="P451" s="148"/>
      <c r="Q451" s="148">
        <f t="shared" si="31"/>
        <v>-1150</v>
      </c>
      <c r="R451" s="598" t="s">
        <v>1366</v>
      </c>
    </row>
    <row r="452" spans="1:18" ht="18.75" hidden="1" customHeight="1" x14ac:dyDescent="0.2">
      <c r="A452" s="206"/>
      <c r="B452" s="206"/>
      <c r="C452" s="726" t="s">
        <v>756</v>
      </c>
      <c r="D452" s="728" t="s">
        <v>1197</v>
      </c>
      <c r="E452" s="729"/>
      <c r="F452" s="503">
        <v>152577</v>
      </c>
      <c r="G452" s="148"/>
      <c r="H452" s="148"/>
      <c r="I452" s="148"/>
      <c r="J452" s="148"/>
      <c r="K452" s="148"/>
      <c r="L452" s="148"/>
      <c r="M452" s="148"/>
      <c r="N452" s="148"/>
      <c r="O452" s="148"/>
      <c r="P452" s="148"/>
      <c r="Q452" s="148">
        <f t="shared" si="31"/>
        <v>0</v>
      </c>
      <c r="R452" s="598"/>
    </row>
    <row r="453" spans="1:18" ht="18.75" hidden="1" customHeight="1" x14ac:dyDescent="0.2">
      <c r="A453" s="206"/>
      <c r="B453" s="206"/>
      <c r="C453" s="726" t="s">
        <v>757</v>
      </c>
      <c r="D453" s="714" t="s">
        <v>1198</v>
      </c>
      <c r="E453" s="708"/>
      <c r="F453" s="503">
        <v>152578</v>
      </c>
      <c r="G453" s="148"/>
      <c r="H453" s="148"/>
      <c r="I453" s="148"/>
      <c r="J453" s="148"/>
      <c r="K453" s="148"/>
      <c r="L453" s="148"/>
      <c r="M453" s="148"/>
      <c r="N453" s="148"/>
      <c r="O453" s="148"/>
      <c r="P453" s="148"/>
      <c r="Q453" s="148">
        <f t="shared" si="31"/>
        <v>0</v>
      </c>
      <c r="R453" s="598"/>
    </row>
    <row r="454" spans="1:18" ht="18.75" hidden="1" customHeight="1" x14ac:dyDescent="0.2">
      <c r="A454" s="206"/>
      <c r="B454" s="206"/>
      <c r="C454" s="726" t="s">
        <v>758</v>
      </c>
      <c r="D454" s="705" t="s">
        <v>755</v>
      </c>
      <c r="E454" s="708"/>
      <c r="F454" s="503">
        <v>152566</v>
      </c>
      <c r="G454" s="148"/>
      <c r="H454" s="148"/>
      <c r="I454" s="148"/>
      <c r="J454" s="148"/>
      <c r="K454" s="148"/>
      <c r="L454" s="148"/>
      <c r="M454" s="148"/>
      <c r="N454" s="148"/>
      <c r="O454" s="148"/>
      <c r="P454" s="148"/>
      <c r="Q454" s="148">
        <f t="shared" si="31"/>
        <v>0</v>
      </c>
      <c r="R454" s="598"/>
    </row>
    <row r="455" spans="1:18" ht="18" hidden="1" customHeight="1" x14ac:dyDescent="0.2">
      <c r="A455" s="206"/>
      <c r="B455" s="206"/>
      <c r="C455" s="726" t="s">
        <v>759</v>
      </c>
      <c r="D455" s="714" t="s">
        <v>1199</v>
      </c>
      <c r="E455" s="715"/>
      <c r="F455" s="503">
        <v>152579</v>
      </c>
      <c r="G455" s="148"/>
      <c r="H455" s="148"/>
      <c r="I455" s="148"/>
      <c r="J455" s="148"/>
      <c r="K455" s="148"/>
      <c r="L455" s="148"/>
      <c r="M455" s="148"/>
      <c r="N455" s="148"/>
      <c r="O455" s="148"/>
      <c r="P455" s="148"/>
      <c r="Q455" s="148">
        <f t="shared" si="31"/>
        <v>0</v>
      </c>
      <c r="R455" s="598"/>
    </row>
    <row r="456" spans="1:18" ht="18" hidden="1" customHeight="1" x14ac:dyDescent="0.2">
      <c r="A456" s="206"/>
      <c r="B456" s="206"/>
      <c r="C456" s="726" t="s">
        <v>761</v>
      </c>
      <c r="D456" s="714" t="s">
        <v>1200</v>
      </c>
      <c r="E456" s="715"/>
      <c r="F456" s="503">
        <v>152580</v>
      </c>
      <c r="G456" s="148"/>
      <c r="H456" s="148"/>
      <c r="I456" s="148"/>
      <c r="J456" s="148"/>
      <c r="K456" s="148"/>
      <c r="L456" s="148"/>
      <c r="M456" s="148"/>
      <c r="N456" s="148"/>
      <c r="O456" s="148"/>
      <c r="P456" s="148"/>
      <c r="Q456" s="148">
        <f t="shared" si="31"/>
        <v>0</v>
      </c>
      <c r="R456" s="598"/>
    </row>
    <row r="457" spans="1:18" ht="18.75" hidden="1" customHeight="1" x14ac:dyDescent="0.2">
      <c r="A457" s="206"/>
      <c r="B457" s="206"/>
      <c r="C457" s="726" t="s">
        <v>762</v>
      </c>
      <c r="D457" s="728" t="s">
        <v>760</v>
      </c>
      <c r="E457" s="503"/>
      <c r="F457" s="503">
        <v>152570</v>
      </c>
      <c r="G457" s="148"/>
      <c r="H457" s="148"/>
      <c r="I457" s="148"/>
      <c r="J457" s="148"/>
      <c r="K457" s="148"/>
      <c r="L457" s="148"/>
      <c r="M457" s="148"/>
      <c r="N457" s="148"/>
      <c r="O457" s="148"/>
      <c r="P457" s="148"/>
      <c r="Q457" s="148">
        <f t="shared" si="31"/>
        <v>0</v>
      </c>
      <c r="R457" s="598"/>
    </row>
    <row r="458" spans="1:18" ht="18.75" hidden="1" customHeight="1" x14ac:dyDescent="0.2">
      <c r="A458" s="206"/>
      <c r="B458" s="206"/>
      <c r="C458" s="726" t="s">
        <v>764</v>
      </c>
      <c r="D458" s="705" t="s">
        <v>763</v>
      </c>
      <c r="E458" s="503"/>
      <c r="F458" s="503">
        <v>154544</v>
      </c>
      <c r="G458" s="148"/>
      <c r="H458" s="148"/>
      <c r="I458" s="148"/>
      <c r="J458" s="148"/>
      <c r="K458" s="148"/>
      <c r="L458" s="148"/>
      <c r="M458" s="148"/>
      <c r="N458" s="148"/>
      <c r="O458" s="148"/>
      <c r="P458" s="148"/>
      <c r="Q458" s="148">
        <f t="shared" si="31"/>
        <v>0</v>
      </c>
      <c r="R458" s="598"/>
    </row>
    <row r="459" spans="1:18" ht="16.5" hidden="1" customHeight="1" x14ac:dyDescent="0.2">
      <c r="A459" s="206"/>
      <c r="B459" s="206"/>
      <c r="C459" s="726" t="s">
        <v>766</v>
      </c>
      <c r="D459" s="714" t="s">
        <v>1201</v>
      </c>
      <c r="E459" s="717"/>
      <c r="F459" s="531">
        <v>154545</v>
      </c>
      <c r="G459" s="148"/>
      <c r="H459" s="148"/>
      <c r="I459" s="148"/>
      <c r="J459" s="148"/>
      <c r="K459" s="148"/>
      <c r="L459" s="148"/>
      <c r="M459" s="148"/>
      <c r="N459" s="148"/>
      <c r="O459" s="148"/>
      <c r="P459" s="148"/>
      <c r="Q459" s="148">
        <f t="shared" si="31"/>
        <v>0</v>
      </c>
      <c r="R459" s="598"/>
    </row>
    <row r="460" spans="1:18" ht="24.75" hidden="1" customHeight="1" x14ac:dyDescent="0.2">
      <c r="A460" s="836"/>
      <c r="B460" s="836"/>
      <c r="C460" s="845" t="s">
        <v>1312</v>
      </c>
      <c r="D460" s="846" t="s">
        <v>1313</v>
      </c>
      <c r="E460" s="841"/>
      <c r="F460" s="841">
        <v>152904</v>
      </c>
      <c r="G460" s="784"/>
      <c r="H460" s="784"/>
      <c r="I460" s="784"/>
      <c r="J460" s="784"/>
      <c r="K460" s="784"/>
      <c r="L460" s="784"/>
      <c r="M460" s="784"/>
      <c r="N460" s="784"/>
      <c r="O460" s="784"/>
      <c r="P460" s="784"/>
      <c r="Q460" s="148">
        <f t="shared" si="31"/>
        <v>0</v>
      </c>
      <c r="R460" s="827"/>
    </row>
    <row r="461" spans="1:18" ht="18" customHeight="1" x14ac:dyDescent="0.2">
      <c r="A461" s="863"/>
      <c r="B461" s="863"/>
      <c r="C461" s="879" t="s">
        <v>1387</v>
      </c>
      <c r="D461" s="924" t="s">
        <v>1386</v>
      </c>
      <c r="E461" s="865"/>
      <c r="F461" s="865">
        <v>152502</v>
      </c>
      <c r="G461" s="866"/>
      <c r="H461" s="866"/>
      <c r="I461" s="866"/>
      <c r="J461" s="866"/>
      <c r="K461" s="866"/>
      <c r="L461" s="866">
        <v>964</v>
      </c>
      <c r="M461" s="866"/>
      <c r="N461" s="866"/>
      <c r="O461" s="866"/>
      <c r="P461" s="866"/>
      <c r="Q461" s="148">
        <f t="shared" si="31"/>
        <v>964</v>
      </c>
      <c r="R461" s="867" t="s">
        <v>1366</v>
      </c>
    </row>
    <row r="462" spans="1:18" ht="16.5" hidden="1" customHeight="1" x14ac:dyDescent="0.2">
      <c r="A462" s="206"/>
      <c r="B462" s="206"/>
      <c r="C462" s="206"/>
      <c r="D462" s="707" t="s">
        <v>1145</v>
      </c>
      <c r="E462" s="708"/>
      <c r="F462" s="708"/>
      <c r="G462" s="148"/>
      <c r="H462" s="148"/>
      <c r="I462" s="148"/>
      <c r="J462" s="148"/>
      <c r="K462" s="148"/>
      <c r="L462" s="148"/>
      <c r="M462" s="148"/>
      <c r="N462" s="148"/>
      <c r="O462" s="148"/>
      <c r="P462" s="148"/>
      <c r="Q462" s="148"/>
      <c r="R462" s="598"/>
    </row>
    <row r="463" spans="1:18" ht="17.100000000000001" hidden="1" customHeight="1" x14ac:dyDescent="0.2">
      <c r="A463" s="206"/>
      <c r="B463" s="206"/>
      <c r="C463" s="317" t="s">
        <v>767</v>
      </c>
      <c r="D463" s="710" t="s">
        <v>769</v>
      </c>
      <c r="E463" s="730"/>
      <c r="F463" s="503">
        <v>152562</v>
      </c>
      <c r="G463" s="148"/>
      <c r="H463" s="148"/>
      <c r="I463" s="148"/>
      <c r="J463" s="148"/>
      <c r="K463" s="148"/>
      <c r="L463" s="148"/>
      <c r="M463" s="148"/>
      <c r="N463" s="148"/>
      <c r="O463" s="148"/>
      <c r="P463" s="148"/>
      <c r="Q463" s="148">
        <f t="shared" si="31"/>
        <v>0</v>
      </c>
      <c r="R463" s="598"/>
    </row>
    <row r="464" spans="1:18" ht="17.100000000000001" hidden="1" customHeight="1" x14ac:dyDescent="0.2">
      <c r="A464" s="206"/>
      <c r="B464" s="206"/>
      <c r="C464" s="317" t="s">
        <v>768</v>
      </c>
      <c r="D464" s="704" t="s">
        <v>1202</v>
      </c>
      <c r="E464" s="503"/>
      <c r="F464" s="503">
        <v>154905</v>
      </c>
      <c r="G464" s="148"/>
      <c r="H464" s="148"/>
      <c r="I464" s="148"/>
      <c r="J464" s="148"/>
      <c r="K464" s="148"/>
      <c r="L464" s="148"/>
      <c r="M464" s="148"/>
      <c r="N464" s="148"/>
      <c r="O464" s="148"/>
      <c r="P464" s="148"/>
      <c r="Q464" s="148">
        <f t="shared" si="31"/>
        <v>0</v>
      </c>
      <c r="R464" s="598"/>
    </row>
    <row r="465" spans="1:18" ht="17.100000000000001" hidden="1" customHeight="1" x14ac:dyDescent="0.2">
      <c r="A465" s="206"/>
      <c r="B465" s="206"/>
      <c r="C465" s="318" t="s">
        <v>91</v>
      </c>
      <c r="D465" s="307" t="s">
        <v>770</v>
      </c>
      <c r="E465" s="209"/>
      <c r="F465" s="210"/>
      <c r="G465" s="148"/>
      <c r="H465" s="148"/>
      <c r="I465" s="148"/>
      <c r="J465" s="148"/>
      <c r="K465" s="148"/>
      <c r="L465" s="148"/>
      <c r="M465" s="148"/>
      <c r="N465" s="148"/>
      <c r="O465" s="148"/>
      <c r="P465" s="148"/>
      <c r="Q465" s="148"/>
      <c r="R465" s="598"/>
    </row>
    <row r="466" spans="1:18" ht="17.100000000000001" customHeight="1" x14ac:dyDescent="0.2">
      <c r="A466" s="206"/>
      <c r="B466" s="206"/>
      <c r="C466" s="314" t="s">
        <v>92</v>
      </c>
      <c r="D466" s="517" t="s">
        <v>771</v>
      </c>
      <c r="E466" s="209"/>
      <c r="F466" s="210"/>
      <c r="G466" s="148"/>
      <c r="H466" s="148"/>
      <c r="I466" s="148"/>
      <c r="J466" s="148"/>
      <c r="K466" s="148"/>
      <c r="L466" s="148"/>
      <c r="M466" s="148"/>
      <c r="N466" s="148"/>
      <c r="O466" s="148"/>
      <c r="P466" s="148"/>
      <c r="Q466" s="148"/>
      <c r="R466" s="598"/>
    </row>
    <row r="467" spans="1:18" ht="17.100000000000001" customHeight="1" x14ac:dyDescent="0.2">
      <c r="A467" s="206"/>
      <c r="B467" s="206"/>
      <c r="C467" s="309" t="s">
        <v>1205</v>
      </c>
      <c r="D467" s="319" t="s">
        <v>772</v>
      </c>
      <c r="E467" s="209"/>
      <c r="F467" s="148">
        <v>152801</v>
      </c>
      <c r="G467" s="207"/>
      <c r="H467" s="148"/>
      <c r="I467" s="148">
        <v>70</v>
      </c>
      <c r="J467" s="148"/>
      <c r="K467" s="148"/>
      <c r="L467" s="148">
        <v>-70</v>
      </c>
      <c r="M467" s="148"/>
      <c r="N467" s="148"/>
      <c r="O467" s="148"/>
      <c r="P467" s="148"/>
      <c r="Q467" s="148">
        <f>SUM(G467:P467)</f>
        <v>0</v>
      </c>
      <c r="R467" s="598" t="s">
        <v>1366</v>
      </c>
    </row>
    <row r="468" spans="1:18" ht="17.100000000000001" customHeight="1" x14ac:dyDescent="0.2">
      <c r="A468" s="206"/>
      <c r="B468" s="206"/>
      <c r="C468" s="320" t="s">
        <v>93</v>
      </c>
      <c r="D468" s="518" t="s">
        <v>773</v>
      </c>
      <c r="E468" s="313"/>
      <c r="F468" s="148"/>
      <c r="G468" s="207"/>
      <c r="H468" s="148"/>
      <c r="I468" s="148"/>
      <c r="J468" s="148"/>
      <c r="K468" s="148"/>
      <c r="L468" s="148"/>
      <c r="M468" s="148"/>
      <c r="N468" s="148"/>
      <c r="O468" s="148"/>
      <c r="P468" s="148"/>
      <c r="Q468" s="148"/>
      <c r="R468" s="598"/>
    </row>
    <row r="469" spans="1:18" ht="17.100000000000001" hidden="1" customHeight="1" x14ac:dyDescent="0.2">
      <c r="A469" s="206"/>
      <c r="B469" s="206"/>
      <c r="C469" s="731" t="s">
        <v>774</v>
      </c>
      <c r="D469" s="685" t="s">
        <v>776</v>
      </c>
      <c r="E469" s="503"/>
      <c r="F469" s="503">
        <v>152947</v>
      </c>
      <c r="G469" s="207"/>
      <c r="H469" s="148"/>
      <c r="I469" s="148"/>
      <c r="J469" s="148"/>
      <c r="K469" s="148"/>
      <c r="L469" s="148"/>
      <c r="M469" s="148"/>
      <c r="N469" s="148"/>
      <c r="O469" s="148"/>
      <c r="P469" s="148"/>
      <c r="Q469" s="148">
        <f t="shared" ref="Q469:Q478" si="32">SUM(G469:P469)</f>
        <v>0</v>
      </c>
      <c r="R469" s="598"/>
    </row>
    <row r="470" spans="1:18" ht="17.100000000000001" hidden="1" customHeight="1" x14ac:dyDescent="0.2">
      <c r="A470" s="206"/>
      <c r="B470" s="206"/>
      <c r="C470" s="731" t="s">
        <v>775</v>
      </c>
      <c r="D470" s="705" t="s">
        <v>1203</v>
      </c>
      <c r="E470" s="503"/>
      <c r="F470" s="503">
        <v>154906</v>
      </c>
      <c r="G470" s="207"/>
      <c r="H470" s="148"/>
      <c r="I470" s="148"/>
      <c r="J470" s="148"/>
      <c r="K470" s="148"/>
      <c r="L470" s="148"/>
      <c r="M470" s="148"/>
      <c r="N470" s="148"/>
      <c r="O470" s="148"/>
      <c r="P470" s="148"/>
      <c r="Q470" s="148">
        <f t="shared" si="32"/>
        <v>0</v>
      </c>
      <c r="R470" s="598"/>
    </row>
    <row r="471" spans="1:18" ht="22.5" hidden="1" customHeight="1" x14ac:dyDescent="0.2">
      <c r="A471" s="836"/>
      <c r="B471" s="836"/>
      <c r="C471" s="847" t="s">
        <v>1314</v>
      </c>
      <c r="D471" s="840" t="s">
        <v>1341</v>
      </c>
      <c r="E471" s="841"/>
      <c r="F471" s="841">
        <v>154920</v>
      </c>
      <c r="G471" s="837"/>
      <c r="H471" s="784"/>
      <c r="I471" s="784"/>
      <c r="J471" s="784"/>
      <c r="K471" s="784"/>
      <c r="L471" s="784"/>
      <c r="M471" s="784"/>
      <c r="N471" s="784"/>
      <c r="O471" s="784"/>
      <c r="P471" s="784"/>
      <c r="Q471" s="148">
        <f t="shared" si="32"/>
        <v>0</v>
      </c>
      <c r="R471" s="827"/>
    </row>
    <row r="472" spans="1:18" ht="17.100000000000001" customHeight="1" x14ac:dyDescent="0.2">
      <c r="A472" s="836"/>
      <c r="B472" s="836"/>
      <c r="C472" s="847" t="s">
        <v>1315</v>
      </c>
      <c r="D472" s="840" t="s">
        <v>1316</v>
      </c>
      <c r="E472" s="841"/>
      <c r="F472" s="841">
        <v>152950</v>
      </c>
      <c r="G472" s="837"/>
      <c r="H472" s="784"/>
      <c r="I472" s="784"/>
      <c r="J472" s="784"/>
      <c r="K472" s="784"/>
      <c r="L472" s="784">
        <v>-26552</v>
      </c>
      <c r="M472" s="784"/>
      <c r="N472" s="784"/>
      <c r="O472" s="784"/>
      <c r="P472" s="784"/>
      <c r="Q472" s="148">
        <f t="shared" si="32"/>
        <v>-26552</v>
      </c>
      <c r="R472" s="827" t="s">
        <v>1366</v>
      </c>
    </row>
    <row r="473" spans="1:18" ht="17.100000000000001" customHeight="1" x14ac:dyDescent="0.2">
      <c r="A473" s="863"/>
      <c r="B473" s="863"/>
      <c r="C473" s="317" t="s">
        <v>1330</v>
      </c>
      <c r="D473" s="868" t="s">
        <v>1331</v>
      </c>
      <c r="E473" s="865"/>
      <c r="F473" s="864">
        <v>152951</v>
      </c>
      <c r="G473" s="865"/>
      <c r="H473" s="866"/>
      <c r="I473" s="866"/>
      <c r="J473" s="866"/>
      <c r="K473" s="866"/>
      <c r="L473" s="866">
        <v>-4000</v>
      </c>
      <c r="M473" s="866"/>
      <c r="N473" s="866"/>
      <c r="O473" s="866"/>
      <c r="P473" s="866"/>
      <c r="Q473" s="148">
        <f t="shared" si="32"/>
        <v>-4000</v>
      </c>
      <c r="R473" s="827" t="s">
        <v>1366</v>
      </c>
    </row>
    <row r="474" spans="1:18" ht="17.100000000000001" customHeight="1" x14ac:dyDescent="0.2">
      <c r="A474" s="863"/>
      <c r="B474" s="863"/>
      <c r="C474" s="927" t="s">
        <v>1389</v>
      </c>
      <c r="D474" s="868" t="s">
        <v>1388</v>
      </c>
      <c r="E474" s="865"/>
      <c r="F474" s="865">
        <v>154907</v>
      </c>
      <c r="G474" s="865"/>
      <c r="H474" s="866"/>
      <c r="I474" s="866"/>
      <c r="J474" s="866"/>
      <c r="K474" s="866"/>
      <c r="L474" s="866"/>
      <c r="M474" s="866"/>
      <c r="N474" s="866">
        <v>5000</v>
      </c>
      <c r="O474" s="866"/>
      <c r="P474" s="866"/>
      <c r="Q474" s="148">
        <f t="shared" si="32"/>
        <v>5000</v>
      </c>
      <c r="R474" s="827" t="s">
        <v>1366</v>
      </c>
    </row>
    <row r="475" spans="1:18" ht="17.100000000000001" customHeight="1" x14ac:dyDescent="0.2">
      <c r="A475" s="863"/>
      <c r="B475" s="863"/>
      <c r="C475" s="928" t="s">
        <v>1321</v>
      </c>
      <c r="D475" s="929" t="s">
        <v>1390</v>
      </c>
      <c r="E475" s="865"/>
      <c r="F475" s="865">
        <v>152812</v>
      </c>
      <c r="G475" s="865"/>
      <c r="H475" s="866"/>
      <c r="I475" s="866"/>
      <c r="J475" s="866"/>
      <c r="K475" s="866"/>
      <c r="L475" s="866">
        <v>619</v>
      </c>
      <c r="M475" s="866"/>
      <c r="N475" s="866"/>
      <c r="O475" s="866"/>
      <c r="P475" s="866"/>
      <c r="Q475" s="148">
        <f t="shared" si="32"/>
        <v>619</v>
      </c>
      <c r="R475" s="827" t="s">
        <v>1366</v>
      </c>
    </row>
    <row r="476" spans="1:18" ht="17.100000000000001" customHeight="1" x14ac:dyDescent="0.2">
      <c r="A476" s="206"/>
      <c r="B476" s="206"/>
      <c r="C476" s="732"/>
      <c r="D476" s="707" t="s">
        <v>1145</v>
      </c>
      <c r="E476" s="503"/>
      <c r="F476" s="503"/>
      <c r="G476" s="207"/>
      <c r="H476" s="148"/>
      <c r="I476" s="148"/>
      <c r="J476" s="148"/>
      <c r="K476" s="148"/>
      <c r="L476" s="148"/>
      <c r="M476" s="148"/>
      <c r="N476" s="148"/>
      <c r="O476" s="148"/>
      <c r="P476" s="148"/>
      <c r="Q476" s="148"/>
      <c r="R476" s="598"/>
    </row>
    <row r="477" spans="1:18" ht="24" customHeight="1" x14ac:dyDescent="0.2">
      <c r="A477" s="206"/>
      <c r="B477" s="206"/>
      <c r="C477" s="726" t="s">
        <v>777</v>
      </c>
      <c r="D477" s="733" t="s">
        <v>1204</v>
      </c>
      <c r="E477" s="503"/>
      <c r="F477" s="503">
        <v>152937</v>
      </c>
      <c r="G477" s="207"/>
      <c r="H477" s="148"/>
      <c r="I477" s="148">
        <v>585</v>
      </c>
      <c r="J477" s="148"/>
      <c r="K477" s="148"/>
      <c r="L477" s="148">
        <v>-585</v>
      </c>
      <c r="M477" s="148"/>
      <c r="N477" s="148"/>
      <c r="O477" s="148"/>
      <c r="P477" s="148"/>
      <c r="Q477" s="148">
        <f t="shared" si="32"/>
        <v>0</v>
      </c>
      <c r="R477" s="598" t="s">
        <v>1366</v>
      </c>
    </row>
    <row r="478" spans="1:18" ht="17.100000000000001" hidden="1" customHeight="1" x14ac:dyDescent="0.2">
      <c r="A478" s="206"/>
      <c r="B478" s="206"/>
      <c r="C478" s="726" t="s">
        <v>778</v>
      </c>
      <c r="D478" s="710" t="s">
        <v>779</v>
      </c>
      <c r="E478" s="503"/>
      <c r="F478" s="503">
        <v>152942</v>
      </c>
      <c r="G478" s="207"/>
      <c r="H478" s="148"/>
      <c r="I478" s="148"/>
      <c r="J478" s="148"/>
      <c r="K478" s="148"/>
      <c r="L478" s="148"/>
      <c r="M478" s="148"/>
      <c r="N478" s="148"/>
      <c r="O478" s="148"/>
      <c r="P478" s="148"/>
      <c r="Q478" s="148">
        <f t="shared" si="32"/>
        <v>0</v>
      </c>
      <c r="R478" s="598"/>
    </row>
    <row r="479" spans="1:18" ht="20.25" customHeight="1" x14ac:dyDescent="0.2">
      <c r="A479" s="200"/>
      <c r="B479" s="200"/>
      <c r="C479" s="201"/>
      <c r="D479" s="159" t="s">
        <v>784</v>
      </c>
      <c r="E479" s="204"/>
      <c r="F479" s="204"/>
      <c r="G479" s="204">
        <f t="shared" ref="G479:Q479" si="33">SUM(G344:G478)</f>
        <v>43</v>
      </c>
      <c r="H479" s="204">
        <f t="shared" si="33"/>
        <v>8</v>
      </c>
      <c r="I479" s="204">
        <f t="shared" si="33"/>
        <v>-8473</v>
      </c>
      <c r="J479" s="204">
        <f t="shared" si="33"/>
        <v>0</v>
      </c>
      <c r="K479" s="204">
        <f t="shared" si="33"/>
        <v>5232</v>
      </c>
      <c r="L479" s="204">
        <f t="shared" si="33"/>
        <v>-25663</v>
      </c>
      <c r="M479" s="204">
        <f t="shared" si="33"/>
        <v>54143</v>
      </c>
      <c r="N479" s="204">
        <f t="shared" si="33"/>
        <v>5000</v>
      </c>
      <c r="O479" s="204">
        <f t="shared" si="33"/>
        <v>0</v>
      </c>
      <c r="P479" s="204">
        <f t="shared" si="33"/>
        <v>0</v>
      </c>
      <c r="Q479" s="204">
        <f t="shared" si="33"/>
        <v>30290</v>
      </c>
      <c r="R479" s="599"/>
    </row>
    <row r="480" spans="1:18" ht="15" customHeight="1" x14ac:dyDescent="0.2">
      <c r="A480" s="174">
        <v>1</v>
      </c>
      <c r="B480" s="174">
        <v>16</v>
      </c>
      <c r="C480" s="194"/>
      <c r="D480" s="276" t="s">
        <v>785</v>
      </c>
      <c r="E480" s="207"/>
      <c r="F480" s="148"/>
      <c r="G480" s="148"/>
      <c r="H480" s="179"/>
      <c r="I480" s="179"/>
      <c r="J480" s="179"/>
      <c r="K480" s="179"/>
      <c r="L480" s="179"/>
      <c r="M480" s="148"/>
      <c r="N480" s="148"/>
      <c r="O480" s="148"/>
      <c r="P480" s="148"/>
      <c r="Q480" s="148"/>
      <c r="R480" s="598"/>
    </row>
    <row r="481" spans="1:18" ht="15" customHeight="1" x14ac:dyDescent="0.2">
      <c r="A481" s="174"/>
      <c r="B481" s="174"/>
      <c r="C481" s="194"/>
      <c r="D481" s="154" t="s">
        <v>238</v>
      </c>
      <c r="E481" s="207"/>
      <c r="F481" s="148"/>
      <c r="G481" s="148"/>
      <c r="H481" s="179"/>
      <c r="I481" s="179"/>
      <c r="J481" s="179"/>
      <c r="K481" s="179"/>
      <c r="L481" s="179"/>
      <c r="M481" s="148"/>
      <c r="N481" s="148"/>
      <c r="O481" s="148"/>
      <c r="P481" s="148"/>
      <c r="Q481" s="148"/>
      <c r="R481" s="598"/>
    </row>
    <row r="482" spans="1:18" ht="15" customHeight="1" x14ac:dyDescent="0.2">
      <c r="A482" s="174"/>
      <c r="B482" s="174"/>
      <c r="C482" s="194"/>
      <c r="D482" s="277" t="s">
        <v>786</v>
      </c>
      <c r="E482" s="148">
        <v>2</v>
      </c>
      <c r="F482" s="148">
        <v>161910</v>
      </c>
      <c r="G482" s="148"/>
      <c r="H482" s="179"/>
      <c r="I482" s="179">
        <v>-350</v>
      </c>
      <c r="J482" s="179"/>
      <c r="K482" s="179"/>
      <c r="L482" s="179"/>
      <c r="M482" s="148"/>
      <c r="N482" s="148"/>
      <c r="O482" s="148"/>
      <c r="P482" s="148"/>
      <c r="Q482" s="148">
        <f t="shared" ref="Q482:Q486" si="34">SUM(G482:P482)</f>
        <v>-350</v>
      </c>
      <c r="R482" s="598" t="s">
        <v>1366</v>
      </c>
    </row>
    <row r="483" spans="1:18" ht="15" customHeight="1" x14ac:dyDescent="0.2">
      <c r="A483" s="174"/>
      <c r="B483" s="174"/>
      <c r="C483" s="194"/>
      <c r="D483" s="277" t="s">
        <v>787</v>
      </c>
      <c r="E483" s="148">
        <v>1</v>
      </c>
      <c r="F483" s="148">
        <v>161908</v>
      </c>
      <c r="G483" s="148"/>
      <c r="H483" s="179"/>
      <c r="I483" s="179">
        <v>-495</v>
      </c>
      <c r="J483" s="179"/>
      <c r="K483" s="179"/>
      <c r="L483" s="179">
        <v>495</v>
      </c>
      <c r="M483" s="148"/>
      <c r="N483" s="148"/>
      <c r="O483" s="148"/>
      <c r="P483" s="289"/>
      <c r="Q483" s="148">
        <f t="shared" si="34"/>
        <v>0</v>
      </c>
      <c r="R483" s="598" t="s">
        <v>1366</v>
      </c>
    </row>
    <row r="484" spans="1:18" ht="29.25" hidden="1" customHeight="1" x14ac:dyDescent="0.2">
      <c r="A484" s="174"/>
      <c r="B484" s="174"/>
      <c r="C484" s="194"/>
      <c r="D484" s="150" t="s">
        <v>788</v>
      </c>
      <c r="E484" s="148">
        <v>2</v>
      </c>
      <c r="F484" s="148">
        <v>161911</v>
      </c>
      <c r="G484" s="148"/>
      <c r="H484" s="179"/>
      <c r="I484" s="179"/>
      <c r="J484" s="179"/>
      <c r="K484" s="179"/>
      <c r="L484" s="179"/>
      <c r="M484" s="148"/>
      <c r="N484" s="148"/>
      <c r="O484" s="148"/>
      <c r="P484" s="289"/>
      <c r="Q484" s="148">
        <f t="shared" si="34"/>
        <v>0</v>
      </c>
      <c r="R484" s="598"/>
    </row>
    <row r="485" spans="1:18" ht="24" customHeight="1" x14ac:dyDescent="0.2">
      <c r="A485" s="174"/>
      <c r="B485" s="174"/>
      <c r="C485" s="194"/>
      <c r="D485" s="149" t="s">
        <v>789</v>
      </c>
      <c r="E485" s="148">
        <v>2</v>
      </c>
      <c r="F485" s="148">
        <v>161904</v>
      </c>
      <c r="G485" s="148"/>
      <c r="H485" s="179"/>
      <c r="I485" s="179">
        <v>-514</v>
      </c>
      <c r="J485" s="179"/>
      <c r="K485" s="179"/>
      <c r="L485" s="179"/>
      <c r="M485" s="148"/>
      <c r="N485" s="148"/>
      <c r="O485" s="148"/>
      <c r="P485" s="289"/>
      <c r="Q485" s="148">
        <f t="shared" si="34"/>
        <v>-514</v>
      </c>
      <c r="R485" s="598" t="s">
        <v>1366</v>
      </c>
    </row>
    <row r="486" spans="1:18" ht="17.25" customHeight="1" x14ac:dyDescent="0.2">
      <c r="A486" s="174"/>
      <c r="B486" s="174"/>
      <c r="C486" s="879"/>
      <c r="D486" s="936" t="s">
        <v>1403</v>
      </c>
      <c r="E486" s="322">
        <v>2</v>
      </c>
      <c r="F486" s="148">
        <v>161903</v>
      </c>
      <c r="G486" s="148"/>
      <c r="H486" s="179"/>
      <c r="I486" s="179">
        <v>20</v>
      </c>
      <c r="J486" s="179"/>
      <c r="K486" s="179"/>
      <c r="L486" s="179"/>
      <c r="M486" s="148"/>
      <c r="N486" s="148"/>
      <c r="O486" s="148"/>
      <c r="P486" s="289"/>
      <c r="Q486" s="148">
        <f t="shared" si="34"/>
        <v>20</v>
      </c>
      <c r="R486" s="303" t="s">
        <v>1365</v>
      </c>
    </row>
    <row r="487" spans="1:18" ht="14.1" hidden="1" customHeight="1" x14ac:dyDescent="0.2">
      <c r="A487" s="174"/>
      <c r="B487" s="174"/>
      <c r="C487" s="194"/>
      <c r="D487" s="288" t="s">
        <v>252</v>
      </c>
      <c r="E487" s="322"/>
      <c r="F487" s="148"/>
      <c r="G487" s="148"/>
      <c r="H487" s="179"/>
      <c r="I487" s="179"/>
      <c r="J487" s="179"/>
      <c r="K487" s="179"/>
      <c r="L487" s="179"/>
      <c r="M487" s="148"/>
      <c r="N487" s="148"/>
      <c r="O487" s="148"/>
      <c r="P487" s="148"/>
      <c r="Q487" s="148"/>
      <c r="R487" s="598"/>
    </row>
    <row r="488" spans="1:18" ht="14.1" hidden="1" customHeight="1" x14ac:dyDescent="0.2">
      <c r="A488" s="174"/>
      <c r="B488" s="174"/>
      <c r="C488" s="194"/>
      <c r="D488" s="323" t="s">
        <v>790</v>
      </c>
      <c r="E488" s="148">
        <v>2</v>
      </c>
      <c r="F488" s="148">
        <v>151606</v>
      </c>
      <c r="G488" s="148"/>
      <c r="H488" s="179"/>
      <c r="I488" s="179"/>
      <c r="J488" s="179"/>
      <c r="K488" s="179"/>
      <c r="L488" s="179"/>
      <c r="M488" s="148"/>
      <c r="N488" s="148"/>
      <c r="O488" s="148"/>
      <c r="P488" s="148"/>
      <c r="Q488" s="148">
        <f>SUM(G488:P488)</f>
        <v>0</v>
      </c>
      <c r="R488" s="598"/>
    </row>
    <row r="489" spans="1:18" ht="16.5" hidden="1" customHeight="1" x14ac:dyDescent="0.2">
      <c r="A489" s="174"/>
      <c r="B489" s="174"/>
      <c r="C489" s="194"/>
      <c r="D489" s="288" t="s">
        <v>625</v>
      </c>
      <c r="E489" s="324"/>
      <c r="F489" s="148"/>
      <c r="G489" s="148"/>
      <c r="H489" s="179"/>
      <c r="I489" s="179"/>
      <c r="J489" s="179"/>
      <c r="K489" s="179"/>
      <c r="L489" s="179"/>
      <c r="M489" s="148"/>
      <c r="N489" s="148"/>
      <c r="O489" s="148"/>
      <c r="P489" s="148"/>
      <c r="Q489" s="148"/>
      <c r="R489" s="598"/>
    </row>
    <row r="490" spans="1:18" ht="14.25" hidden="1" customHeight="1" x14ac:dyDescent="0.2">
      <c r="A490" s="174"/>
      <c r="B490" s="174"/>
      <c r="C490" s="194"/>
      <c r="D490" s="288" t="s">
        <v>791</v>
      </c>
      <c r="E490" s="148">
        <v>2</v>
      </c>
      <c r="F490" s="148">
        <v>151203</v>
      </c>
      <c r="G490" s="148"/>
      <c r="H490" s="179"/>
      <c r="I490" s="148"/>
      <c r="J490" s="179"/>
      <c r="K490" s="179"/>
      <c r="L490" s="179"/>
      <c r="M490" s="148"/>
      <c r="N490" s="148"/>
      <c r="O490" s="148"/>
      <c r="P490" s="148"/>
      <c r="Q490" s="148">
        <f>SUM(G490:P490)</f>
        <v>0</v>
      </c>
      <c r="R490" s="598"/>
    </row>
    <row r="491" spans="1:18" ht="14.1" customHeight="1" x14ac:dyDescent="0.2">
      <c r="A491" s="325"/>
      <c r="B491" s="325"/>
      <c r="C491" s="326"/>
      <c r="D491" s="300" t="s">
        <v>792</v>
      </c>
      <c r="E491" s="278"/>
      <c r="F491" s="280"/>
      <c r="G491" s="280">
        <f t="shared" ref="G491:Q491" si="35">SUM(G482:G490)</f>
        <v>0</v>
      </c>
      <c r="H491" s="280">
        <f t="shared" si="35"/>
        <v>0</v>
      </c>
      <c r="I491" s="280">
        <f t="shared" si="35"/>
        <v>-1339</v>
      </c>
      <c r="J491" s="280">
        <f t="shared" si="35"/>
        <v>0</v>
      </c>
      <c r="K491" s="280">
        <f t="shared" si="35"/>
        <v>0</v>
      </c>
      <c r="L491" s="280">
        <f t="shared" si="35"/>
        <v>495</v>
      </c>
      <c r="M491" s="280">
        <f t="shared" si="35"/>
        <v>0</v>
      </c>
      <c r="N491" s="280">
        <f t="shared" si="35"/>
        <v>0</v>
      </c>
      <c r="O491" s="280">
        <f t="shared" si="35"/>
        <v>0</v>
      </c>
      <c r="P491" s="280">
        <f t="shared" si="35"/>
        <v>0</v>
      </c>
      <c r="Q491" s="280">
        <f t="shared" si="35"/>
        <v>-844</v>
      </c>
      <c r="R491" s="599"/>
    </row>
    <row r="492" spans="1:18" ht="14.1" customHeight="1" x14ac:dyDescent="0.2">
      <c r="A492" s="174"/>
      <c r="B492" s="174"/>
      <c r="C492" s="194"/>
      <c r="D492" s="281" t="s">
        <v>793</v>
      </c>
      <c r="E492" s="207"/>
      <c r="F492" s="148"/>
      <c r="G492" s="179"/>
      <c r="H492" s="179"/>
      <c r="I492" s="179"/>
      <c r="J492" s="148"/>
      <c r="K492" s="148"/>
      <c r="L492" s="148"/>
      <c r="M492" s="148"/>
      <c r="N492" s="148"/>
      <c r="O492" s="148"/>
      <c r="P492" s="148"/>
      <c r="Q492" s="148"/>
      <c r="R492" s="598"/>
    </row>
    <row r="493" spans="1:18" ht="17.25" hidden="1" customHeight="1" x14ac:dyDescent="0.2">
      <c r="A493" s="174"/>
      <c r="B493" s="174"/>
      <c r="C493" s="327" t="s">
        <v>100</v>
      </c>
      <c r="D493" s="328" t="s">
        <v>638</v>
      </c>
      <c r="E493" s="207"/>
      <c r="F493" s="148"/>
      <c r="G493" s="179"/>
      <c r="H493" s="179"/>
      <c r="I493" s="179"/>
      <c r="J493" s="148"/>
      <c r="K493" s="148"/>
      <c r="L493" s="148"/>
      <c r="M493" s="148"/>
      <c r="N493" s="148"/>
      <c r="O493" s="148"/>
      <c r="P493" s="148"/>
      <c r="Q493" s="148"/>
      <c r="R493" s="598"/>
    </row>
    <row r="494" spans="1:18" ht="17.25" hidden="1" customHeight="1" x14ac:dyDescent="0.2">
      <c r="A494" s="174"/>
      <c r="B494" s="174"/>
      <c r="C494" s="734" t="s">
        <v>379</v>
      </c>
      <c r="D494" s="735" t="s">
        <v>794</v>
      </c>
      <c r="E494" s="503"/>
      <c r="F494" s="503">
        <v>164106</v>
      </c>
      <c r="G494" s="179"/>
      <c r="H494" s="179"/>
      <c r="I494" s="179"/>
      <c r="J494" s="148"/>
      <c r="K494" s="148"/>
      <c r="L494" s="148"/>
      <c r="M494" s="148"/>
      <c r="N494" s="148"/>
      <c r="O494" s="148"/>
      <c r="P494" s="148"/>
      <c r="Q494" s="148">
        <f>SUM(G494:P494)</f>
        <v>0</v>
      </c>
      <c r="R494" s="598"/>
    </row>
    <row r="495" spans="1:18" ht="17.25" hidden="1" customHeight="1" x14ac:dyDescent="0.2">
      <c r="A495" s="174"/>
      <c r="B495" s="174"/>
      <c r="C495" s="734" t="s">
        <v>639</v>
      </c>
      <c r="D495" s="735" t="s">
        <v>1015</v>
      </c>
      <c r="E495" s="503"/>
      <c r="F495" s="503">
        <v>161909</v>
      </c>
      <c r="G495" s="179"/>
      <c r="H495" s="179"/>
      <c r="I495" s="179"/>
      <c r="J495" s="148"/>
      <c r="K495" s="148"/>
      <c r="L495" s="148"/>
      <c r="M495" s="148"/>
      <c r="N495" s="148"/>
      <c r="O495" s="148"/>
      <c r="P495" s="148"/>
      <c r="Q495" s="148">
        <f>SUM(G495:P495)</f>
        <v>0</v>
      </c>
      <c r="R495" s="598"/>
    </row>
    <row r="496" spans="1:18" ht="14.1" hidden="1" customHeight="1" x14ac:dyDescent="0.2">
      <c r="A496" s="174"/>
      <c r="B496" s="174"/>
      <c r="C496" s="726"/>
      <c r="D496" s="707" t="s">
        <v>1145</v>
      </c>
      <c r="E496" s="503"/>
      <c r="F496" s="503"/>
      <c r="G496" s="179"/>
      <c r="H496" s="179"/>
      <c r="I496" s="179"/>
      <c r="J496" s="148"/>
      <c r="K496" s="148"/>
      <c r="L496" s="148"/>
      <c r="M496" s="148"/>
      <c r="N496" s="148"/>
      <c r="O496" s="148"/>
      <c r="P496" s="148"/>
      <c r="Q496" s="148"/>
      <c r="R496" s="598"/>
    </row>
    <row r="497" spans="1:18" ht="14.1" hidden="1" customHeight="1" x14ac:dyDescent="0.2">
      <c r="A497" s="174"/>
      <c r="B497" s="174"/>
      <c r="C497" s="726" t="s">
        <v>382</v>
      </c>
      <c r="D497" s="736" t="s">
        <v>795</v>
      </c>
      <c r="E497" s="503"/>
      <c r="F497" s="503">
        <v>162107</v>
      </c>
      <c r="G497" s="179"/>
      <c r="H497" s="179"/>
      <c r="I497" s="179"/>
      <c r="J497" s="148"/>
      <c r="K497" s="148"/>
      <c r="L497" s="148"/>
      <c r="M497" s="148"/>
      <c r="N497" s="148"/>
      <c r="O497" s="148"/>
      <c r="P497" s="148"/>
      <c r="Q497" s="148">
        <f>SUM(G497:P497)</f>
        <v>0</v>
      </c>
      <c r="R497" s="598"/>
    </row>
    <row r="498" spans="1:18" ht="23.25" hidden="1" customHeight="1" x14ac:dyDescent="0.2">
      <c r="A498" s="174"/>
      <c r="B498" s="174"/>
      <c r="C498" s="726" t="s">
        <v>384</v>
      </c>
      <c r="D498" s="737" t="s">
        <v>796</v>
      </c>
      <c r="E498" s="503"/>
      <c r="F498" s="503">
        <v>162166</v>
      </c>
      <c r="G498" s="179"/>
      <c r="H498" s="179"/>
      <c r="I498" s="179"/>
      <c r="J498" s="148"/>
      <c r="K498" s="148"/>
      <c r="L498" s="148"/>
      <c r="M498" s="148"/>
      <c r="N498" s="148"/>
      <c r="O498" s="148"/>
      <c r="P498" s="148"/>
      <c r="Q498" s="148">
        <f>SUM(G498:P498)</f>
        <v>0</v>
      </c>
      <c r="R498" s="598"/>
    </row>
    <row r="499" spans="1:18" ht="13.5" customHeight="1" x14ac:dyDescent="0.2">
      <c r="A499" s="174"/>
      <c r="B499" s="174"/>
      <c r="C499" s="519" t="s">
        <v>99</v>
      </c>
      <c r="D499" s="307" t="s">
        <v>650</v>
      </c>
      <c r="E499" s="207"/>
      <c r="F499" s="207"/>
      <c r="G499" s="179"/>
      <c r="H499" s="179"/>
      <c r="I499" s="179"/>
      <c r="J499" s="148"/>
      <c r="K499" s="148"/>
      <c r="L499" s="148"/>
      <c r="M499" s="148"/>
      <c r="N499" s="148"/>
      <c r="O499" s="148"/>
      <c r="P499" s="148"/>
      <c r="Q499" s="148"/>
      <c r="R499" s="598"/>
    </row>
    <row r="500" spans="1:18" ht="16.5" hidden="1" customHeight="1" x14ac:dyDescent="0.2">
      <c r="A500" s="174"/>
      <c r="B500" s="174"/>
      <c r="C500" s="734" t="s">
        <v>797</v>
      </c>
      <c r="D500" s="738" t="s">
        <v>798</v>
      </c>
      <c r="E500" s="503"/>
      <c r="F500" s="503">
        <v>164204</v>
      </c>
      <c r="G500" s="179"/>
      <c r="H500" s="179"/>
      <c r="I500" s="179"/>
      <c r="J500" s="148"/>
      <c r="K500" s="148"/>
      <c r="L500" s="148"/>
      <c r="M500" s="148"/>
      <c r="N500" s="148"/>
      <c r="O500" s="148"/>
      <c r="P500" s="148"/>
      <c r="Q500" s="148">
        <f>SUM(G500:P500)</f>
        <v>0</v>
      </c>
      <c r="R500" s="598"/>
    </row>
    <row r="501" spans="1:18" ht="16.5" customHeight="1" x14ac:dyDescent="0.2">
      <c r="A501" s="174"/>
      <c r="B501" s="174"/>
      <c r="C501" s="734" t="s">
        <v>1206</v>
      </c>
      <c r="D501" s="739" t="s">
        <v>1207</v>
      </c>
      <c r="E501" s="503"/>
      <c r="F501" s="503">
        <v>162219</v>
      </c>
      <c r="G501" s="179"/>
      <c r="H501" s="179"/>
      <c r="I501" s="179"/>
      <c r="J501" s="148"/>
      <c r="K501" s="148"/>
      <c r="L501" s="148">
        <v>-1250</v>
      </c>
      <c r="M501" s="148"/>
      <c r="N501" s="148"/>
      <c r="O501" s="148"/>
      <c r="P501" s="148"/>
      <c r="Q501" s="148">
        <f>SUM(G501:P501)</f>
        <v>-1250</v>
      </c>
      <c r="R501" s="598" t="s">
        <v>1365</v>
      </c>
    </row>
    <row r="502" spans="1:18" ht="14.25" customHeight="1" x14ac:dyDescent="0.2">
      <c r="A502" s="174"/>
      <c r="B502" s="174"/>
      <c r="C502" s="726"/>
      <c r="D502" s="707" t="s">
        <v>1145</v>
      </c>
      <c r="E502" s="503"/>
      <c r="F502" s="503"/>
      <c r="G502" s="179"/>
      <c r="H502" s="179"/>
      <c r="I502" s="179"/>
      <c r="J502" s="148"/>
      <c r="K502" s="148"/>
      <c r="L502" s="148"/>
      <c r="M502" s="148"/>
      <c r="N502" s="148"/>
      <c r="O502" s="148"/>
      <c r="P502" s="148"/>
      <c r="Q502" s="148"/>
      <c r="R502" s="598"/>
    </row>
    <row r="503" spans="1:18" ht="28.5" customHeight="1" x14ac:dyDescent="0.2">
      <c r="A503" s="174"/>
      <c r="B503" s="174"/>
      <c r="C503" s="726" t="s">
        <v>799</v>
      </c>
      <c r="D503" s="710" t="s">
        <v>800</v>
      </c>
      <c r="E503" s="503"/>
      <c r="F503" s="503">
        <v>164205</v>
      </c>
      <c r="G503" s="179"/>
      <c r="H503" s="179"/>
      <c r="I503" s="179">
        <v>300</v>
      </c>
      <c r="J503" s="148"/>
      <c r="K503" s="148"/>
      <c r="L503" s="148">
        <v>-300</v>
      </c>
      <c r="M503" s="148"/>
      <c r="N503" s="148"/>
      <c r="O503" s="148"/>
      <c r="P503" s="148"/>
      <c r="Q503" s="148">
        <f>SUM(G503:P503)</f>
        <v>0</v>
      </c>
      <c r="R503" s="598" t="s">
        <v>1366</v>
      </c>
    </row>
    <row r="504" spans="1:18" ht="25.5" customHeight="1" x14ac:dyDescent="0.2">
      <c r="A504" s="174"/>
      <c r="B504" s="174"/>
      <c r="C504" s="726" t="s">
        <v>801</v>
      </c>
      <c r="D504" s="710" t="s">
        <v>802</v>
      </c>
      <c r="E504" s="503"/>
      <c r="F504" s="503">
        <v>164206</v>
      </c>
      <c r="G504" s="179"/>
      <c r="H504" s="179"/>
      <c r="I504" s="179">
        <v>-40770</v>
      </c>
      <c r="J504" s="148"/>
      <c r="K504" s="148"/>
      <c r="L504" s="148">
        <v>-151000</v>
      </c>
      <c r="M504" s="148"/>
      <c r="N504" s="148"/>
      <c r="O504" s="148"/>
      <c r="P504" s="148"/>
      <c r="Q504" s="148">
        <f>SUM(G504:P504)</f>
        <v>-191770</v>
      </c>
      <c r="R504" s="303" t="s">
        <v>1365</v>
      </c>
    </row>
    <row r="505" spans="1:18" ht="17.100000000000001" hidden="1" customHeight="1" x14ac:dyDescent="0.2">
      <c r="A505" s="174"/>
      <c r="B505" s="174"/>
      <c r="C505" s="520" t="s">
        <v>101</v>
      </c>
      <c r="D505" s="307" t="s">
        <v>803</v>
      </c>
      <c r="E505" s="207"/>
      <c r="F505" s="207"/>
      <c r="G505" s="179"/>
      <c r="H505" s="179"/>
      <c r="I505" s="179"/>
      <c r="J505" s="148"/>
      <c r="K505" s="148"/>
      <c r="L505" s="148"/>
      <c r="M505" s="148"/>
      <c r="N505" s="148"/>
      <c r="O505" s="148"/>
      <c r="P505" s="148"/>
      <c r="Q505" s="148"/>
      <c r="R505" s="598"/>
    </row>
    <row r="506" spans="1:18" ht="25.5" hidden="1" customHeight="1" x14ac:dyDescent="0.2">
      <c r="A506" s="174"/>
      <c r="B506" s="329"/>
      <c r="C506" s="740" t="s">
        <v>521</v>
      </c>
      <c r="D506" s="741" t="s">
        <v>995</v>
      </c>
      <c r="E506" s="503"/>
      <c r="F506" s="503">
        <v>164301</v>
      </c>
      <c r="G506" s="179"/>
      <c r="H506" s="179"/>
      <c r="I506" s="179"/>
      <c r="J506" s="148"/>
      <c r="K506" s="148"/>
      <c r="L506" s="148"/>
      <c r="M506" s="148"/>
      <c r="N506" s="148"/>
      <c r="O506" s="148"/>
      <c r="P506" s="148"/>
      <c r="Q506" s="148">
        <f>SUM(G506:P506)</f>
        <v>0</v>
      </c>
      <c r="R506" s="598"/>
    </row>
    <row r="507" spans="1:18" ht="17.100000000000001" hidden="1" customHeight="1" x14ac:dyDescent="0.2">
      <c r="A507" s="174"/>
      <c r="B507" s="329"/>
      <c r="C507" s="740"/>
      <c r="D507" s="707" t="s">
        <v>1145</v>
      </c>
      <c r="E507" s="503"/>
      <c r="F507" s="503"/>
      <c r="G507" s="179"/>
      <c r="H507" s="179"/>
      <c r="I507" s="179"/>
      <c r="J507" s="148"/>
      <c r="K507" s="148"/>
      <c r="L507" s="148"/>
      <c r="M507" s="148"/>
      <c r="N507" s="148"/>
      <c r="O507" s="148"/>
      <c r="P507" s="148"/>
      <c r="Q507" s="148"/>
      <c r="R507" s="598"/>
    </row>
    <row r="508" spans="1:18" ht="18.75" hidden="1" customHeight="1" x14ac:dyDescent="0.2">
      <c r="A508" s="174"/>
      <c r="B508" s="329"/>
      <c r="C508" s="740" t="s">
        <v>1208</v>
      </c>
      <c r="D508" s="741" t="s">
        <v>1209</v>
      </c>
      <c r="E508" s="503"/>
      <c r="F508" s="503">
        <v>162308</v>
      </c>
      <c r="G508" s="179"/>
      <c r="H508" s="179"/>
      <c r="I508" s="179"/>
      <c r="J508" s="148"/>
      <c r="K508" s="148"/>
      <c r="L508" s="148"/>
      <c r="M508" s="148"/>
      <c r="N508" s="148"/>
      <c r="O508" s="148"/>
      <c r="P508" s="148"/>
      <c r="Q508" s="148">
        <f>SUM(G508:P508)</f>
        <v>0</v>
      </c>
      <c r="R508" s="598"/>
    </row>
    <row r="509" spans="1:18" ht="17.100000000000001" customHeight="1" x14ac:dyDescent="0.2">
      <c r="A509" s="174"/>
      <c r="B509" s="329"/>
      <c r="C509" s="521" t="s">
        <v>102</v>
      </c>
      <c r="D509" s="307" t="s">
        <v>804</v>
      </c>
      <c r="E509" s="207"/>
      <c r="F509" s="207"/>
      <c r="G509" s="179"/>
      <c r="H509" s="179"/>
      <c r="I509" s="179"/>
      <c r="J509" s="148"/>
      <c r="K509" s="148"/>
      <c r="L509" s="148"/>
      <c r="M509" s="148"/>
      <c r="N509" s="148"/>
      <c r="O509" s="148"/>
      <c r="P509" s="148"/>
      <c r="Q509" s="148"/>
      <c r="R509" s="598"/>
    </row>
    <row r="510" spans="1:18" ht="17.100000000000001" hidden="1" customHeight="1" x14ac:dyDescent="0.2">
      <c r="A510" s="174"/>
      <c r="B510" s="329"/>
      <c r="C510" s="742" t="s">
        <v>657</v>
      </c>
      <c r="D510" s="720" t="s">
        <v>746</v>
      </c>
      <c r="E510" s="503"/>
      <c r="F510" s="503">
        <v>152415</v>
      </c>
      <c r="G510" s="148"/>
      <c r="H510" s="148"/>
      <c r="I510" s="148"/>
      <c r="J510" s="148"/>
      <c r="K510" s="148"/>
      <c r="L510" s="148"/>
      <c r="M510" s="148"/>
      <c r="N510" s="148"/>
      <c r="O510" s="148"/>
      <c r="P510" s="148"/>
      <c r="Q510" s="148">
        <f t="shared" ref="Q510:Q530" si="36">SUM(G510:P510)</f>
        <v>0</v>
      </c>
      <c r="R510" s="598"/>
    </row>
    <row r="511" spans="1:18" ht="17.100000000000001" customHeight="1" x14ac:dyDescent="0.2">
      <c r="A511" s="174"/>
      <c r="B511" s="329"/>
      <c r="C511" s="742" t="s">
        <v>658</v>
      </c>
      <c r="D511" s="728" t="s">
        <v>1210</v>
      </c>
      <c r="E511" s="743"/>
      <c r="F511" s="148">
        <v>162432</v>
      </c>
      <c r="G511" s="148"/>
      <c r="H511" s="148"/>
      <c r="I511" s="148"/>
      <c r="J511" s="148"/>
      <c r="K511" s="148"/>
      <c r="L511" s="148">
        <v>1000</v>
      </c>
      <c r="M511" s="148"/>
      <c r="N511" s="148"/>
      <c r="O511" s="148"/>
      <c r="P511" s="148"/>
      <c r="Q511" s="148">
        <f t="shared" si="36"/>
        <v>1000</v>
      </c>
      <c r="R511" s="598" t="s">
        <v>1366</v>
      </c>
    </row>
    <row r="512" spans="1:18" ht="18" customHeight="1" x14ac:dyDescent="0.2">
      <c r="A512" s="174"/>
      <c r="B512" s="329"/>
      <c r="C512" s="742" t="s">
        <v>659</v>
      </c>
      <c r="D512" s="728" t="s">
        <v>1211</v>
      </c>
      <c r="E512" s="717"/>
      <c r="F512" s="148">
        <v>162434</v>
      </c>
      <c r="G512" s="148"/>
      <c r="H512" s="148"/>
      <c r="I512" s="148"/>
      <c r="J512" s="148"/>
      <c r="K512" s="148"/>
      <c r="L512" s="148">
        <v>-15000</v>
      </c>
      <c r="M512" s="148"/>
      <c r="N512" s="148"/>
      <c r="O512" s="148"/>
      <c r="P512" s="148"/>
      <c r="Q512" s="148">
        <f t="shared" si="36"/>
        <v>-15000</v>
      </c>
      <c r="R512" s="598" t="s">
        <v>1366</v>
      </c>
    </row>
    <row r="513" spans="1:18" ht="15" hidden="1" customHeight="1" x14ac:dyDescent="0.2">
      <c r="A513" s="174"/>
      <c r="B513" s="329"/>
      <c r="C513" s="742" t="s">
        <v>661</v>
      </c>
      <c r="D513" s="714" t="s">
        <v>1212</v>
      </c>
      <c r="E513" s="717"/>
      <c r="F513" s="148">
        <v>162435</v>
      </c>
      <c r="G513" s="148"/>
      <c r="H513" s="148"/>
      <c r="I513" s="148"/>
      <c r="J513" s="148"/>
      <c r="K513" s="148"/>
      <c r="L513" s="148"/>
      <c r="M513" s="148"/>
      <c r="N513" s="148"/>
      <c r="O513" s="148"/>
      <c r="P513" s="148"/>
      <c r="Q513" s="148">
        <f t="shared" si="36"/>
        <v>0</v>
      </c>
      <c r="R513" s="598"/>
    </row>
    <row r="514" spans="1:18" ht="15.75" customHeight="1" x14ac:dyDescent="0.2">
      <c r="A514" s="174"/>
      <c r="B514" s="329"/>
      <c r="C514" s="742" t="s">
        <v>662</v>
      </c>
      <c r="D514" s="714" t="s">
        <v>1213</v>
      </c>
      <c r="E514" s="503"/>
      <c r="F514" s="148">
        <v>164418</v>
      </c>
      <c r="G514" s="148"/>
      <c r="H514" s="148"/>
      <c r="I514" s="148"/>
      <c r="J514" s="148"/>
      <c r="K514" s="148"/>
      <c r="L514" s="148">
        <v>25928</v>
      </c>
      <c r="M514" s="148">
        <v>-4403</v>
      </c>
      <c r="N514" s="148"/>
      <c r="O514" s="148"/>
      <c r="P514" s="148"/>
      <c r="Q514" s="148">
        <f t="shared" si="36"/>
        <v>21525</v>
      </c>
      <c r="R514" s="598" t="s">
        <v>1366</v>
      </c>
    </row>
    <row r="515" spans="1:18" ht="24.75" customHeight="1" x14ac:dyDescent="0.2">
      <c r="A515" s="174"/>
      <c r="B515" s="329"/>
      <c r="C515" s="742" t="s">
        <v>663</v>
      </c>
      <c r="D515" s="722" t="s">
        <v>1214</v>
      </c>
      <c r="E515" s="503"/>
      <c r="F515" s="503">
        <v>162436</v>
      </c>
      <c r="G515" s="148"/>
      <c r="H515" s="148"/>
      <c r="I515" s="148"/>
      <c r="J515" s="148"/>
      <c r="K515" s="148"/>
      <c r="L515" s="148">
        <v>-1406</v>
      </c>
      <c r="M515" s="148"/>
      <c r="N515" s="148"/>
      <c r="O515" s="148"/>
      <c r="P515" s="148"/>
      <c r="Q515" s="148">
        <f t="shared" si="36"/>
        <v>-1406</v>
      </c>
      <c r="R515" s="598" t="s">
        <v>1366</v>
      </c>
    </row>
    <row r="516" spans="1:18" ht="21.75" hidden="1" customHeight="1" x14ac:dyDescent="0.2">
      <c r="A516" s="174"/>
      <c r="B516" s="329"/>
      <c r="C516" s="742" t="s">
        <v>665</v>
      </c>
      <c r="D516" s="704" t="s">
        <v>1215</v>
      </c>
      <c r="E516" s="503"/>
      <c r="F516" s="503">
        <v>162427</v>
      </c>
      <c r="G516" s="148"/>
      <c r="H516" s="148"/>
      <c r="I516" s="148"/>
      <c r="J516" s="148"/>
      <c r="K516" s="148"/>
      <c r="L516" s="148"/>
      <c r="M516" s="148"/>
      <c r="N516" s="148"/>
      <c r="O516" s="148"/>
      <c r="P516" s="148"/>
      <c r="Q516" s="148">
        <f t="shared" si="36"/>
        <v>0</v>
      </c>
      <c r="R516" s="598"/>
    </row>
    <row r="517" spans="1:18" ht="15.75" hidden="1" customHeight="1" x14ac:dyDescent="0.2">
      <c r="A517" s="174"/>
      <c r="B517" s="329"/>
      <c r="C517" s="742" t="s">
        <v>667</v>
      </c>
      <c r="D517" s="685" t="s">
        <v>666</v>
      </c>
      <c r="E517" s="503"/>
      <c r="F517" s="148">
        <v>155482</v>
      </c>
      <c r="G517" s="148"/>
      <c r="H517" s="148"/>
      <c r="I517" s="148"/>
      <c r="J517" s="148"/>
      <c r="K517" s="148"/>
      <c r="L517" s="148"/>
      <c r="M517" s="148"/>
      <c r="N517" s="148"/>
      <c r="O517" s="148"/>
      <c r="P517" s="148"/>
      <c r="Q517" s="148">
        <f t="shared" si="36"/>
        <v>0</v>
      </c>
      <c r="R517" s="598"/>
    </row>
    <row r="518" spans="1:18" ht="15" hidden="1" customHeight="1" x14ac:dyDescent="0.2">
      <c r="A518" s="174"/>
      <c r="B518" s="329"/>
      <c r="C518" s="742" t="s">
        <v>669</v>
      </c>
      <c r="D518" s="705" t="s">
        <v>677</v>
      </c>
      <c r="E518" s="503"/>
      <c r="F518" s="503">
        <v>155488</v>
      </c>
      <c r="G518" s="148"/>
      <c r="H518" s="148"/>
      <c r="I518" s="148"/>
      <c r="J518" s="148"/>
      <c r="K518" s="148"/>
      <c r="L518" s="148"/>
      <c r="M518" s="148"/>
      <c r="N518" s="148"/>
      <c r="O518" s="148"/>
      <c r="P518" s="148"/>
      <c r="Q518" s="148">
        <f t="shared" si="36"/>
        <v>0</v>
      </c>
      <c r="R518" s="598"/>
    </row>
    <row r="519" spans="1:18" ht="16.5" customHeight="1" x14ac:dyDescent="0.2">
      <c r="A519" s="174"/>
      <c r="B519" s="329"/>
      <c r="C519" s="742" t="s">
        <v>670</v>
      </c>
      <c r="D519" s="705" t="s">
        <v>1216</v>
      </c>
      <c r="E519" s="503"/>
      <c r="F519" s="503">
        <v>152491</v>
      </c>
      <c r="G519" s="148"/>
      <c r="H519" s="148"/>
      <c r="I519" s="148"/>
      <c r="J519" s="148"/>
      <c r="K519" s="148"/>
      <c r="L519" s="148">
        <v>1406</v>
      </c>
      <c r="M519" s="148"/>
      <c r="N519" s="148"/>
      <c r="O519" s="148"/>
      <c r="P519" s="148"/>
      <c r="Q519" s="148">
        <f t="shared" si="36"/>
        <v>1406</v>
      </c>
      <c r="R519" s="598" t="s">
        <v>1366</v>
      </c>
    </row>
    <row r="520" spans="1:18" ht="15" hidden="1" customHeight="1" x14ac:dyDescent="0.2">
      <c r="A520" s="174"/>
      <c r="B520" s="329"/>
      <c r="C520" s="742" t="s">
        <v>671</v>
      </c>
      <c r="D520" s="705" t="s">
        <v>697</v>
      </c>
      <c r="E520" s="503"/>
      <c r="F520" s="503">
        <v>152494</v>
      </c>
      <c r="G520" s="148"/>
      <c r="H520" s="148"/>
      <c r="I520" s="148"/>
      <c r="J520" s="148"/>
      <c r="K520" s="148"/>
      <c r="L520" s="148"/>
      <c r="M520" s="148"/>
      <c r="N520" s="148"/>
      <c r="O520" s="148"/>
      <c r="P520" s="148"/>
      <c r="Q520" s="148">
        <f t="shared" si="36"/>
        <v>0</v>
      </c>
      <c r="R520" s="598"/>
    </row>
    <row r="521" spans="1:18" ht="16.5" hidden="1" customHeight="1" x14ac:dyDescent="0.2">
      <c r="A521" s="174"/>
      <c r="B521" s="329"/>
      <c r="C521" s="742" t="s">
        <v>672</v>
      </c>
      <c r="D521" s="705" t="s">
        <v>702</v>
      </c>
      <c r="E521" s="503"/>
      <c r="F521" s="503">
        <v>152497</v>
      </c>
      <c r="G521" s="148"/>
      <c r="H521" s="148"/>
      <c r="I521" s="148"/>
      <c r="J521" s="148"/>
      <c r="K521" s="148"/>
      <c r="L521" s="148"/>
      <c r="M521" s="148"/>
      <c r="N521" s="148"/>
      <c r="O521" s="148"/>
      <c r="P521" s="148"/>
      <c r="Q521" s="148">
        <f t="shared" si="36"/>
        <v>0</v>
      </c>
      <c r="R521" s="598"/>
    </row>
    <row r="522" spans="1:18" ht="14.25" customHeight="1" x14ac:dyDescent="0.2">
      <c r="A522" s="174"/>
      <c r="B522" s="329"/>
      <c r="C522" s="742" t="s">
        <v>673</v>
      </c>
      <c r="D522" s="705" t="s">
        <v>713</v>
      </c>
      <c r="E522" s="503"/>
      <c r="F522" s="503">
        <v>152424</v>
      </c>
      <c r="G522" s="148"/>
      <c r="H522" s="148"/>
      <c r="I522" s="148"/>
      <c r="J522" s="148"/>
      <c r="K522" s="148"/>
      <c r="L522" s="148">
        <v>2412</v>
      </c>
      <c r="M522" s="148"/>
      <c r="N522" s="148"/>
      <c r="O522" s="148"/>
      <c r="P522" s="148"/>
      <c r="Q522" s="148">
        <f t="shared" si="36"/>
        <v>2412</v>
      </c>
      <c r="R522" s="598" t="s">
        <v>1366</v>
      </c>
    </row>
    <row r="523" spans="1:18" ht="14.25" hidden="1" customHeight="1" x14ac:dyDescent="0.2">
      <c r="A523" s="824"/>
      <c r="B523" s="848"/>
      <c r="C523" s="849" t="s">
        <v>1317</v>
      </c>
      <c r="D523" s="840" t="s">
        <v>1318</v>
      </c>
      <c r="E523" s="841"/>
      <c r="F523" s="841">
        <v>155457</v>
      </c>
      <c r="G523" s="784"/>
      <c r="H523" s="784"/>
      <c r="I523" s="784"/>
      <c r="J523" s="784"/>
      <c r="K523" s="784"/>
      <c r="L523" s="784"/>
      <c r="M523" s="784"/>
      <c r="N523" s="784"/>
      <c r="O523" s="784"/>
      <c r="P523" s="784"/>
      <c r="Q523" s="148">
        <f t="shared" si="36"/>
        <v>0</v>
      </c>
      <c r="R523" s="827"/>
    </row>
    <row r="524" spans="1:18" ht="14.25" customHeight="1" x14ac:dyDescent="0.2">
      <c r="A524" s="915"/>
      <c r="B524" s="930"/>
      <c r="C524" s="931" t="s">
        <v>1391</v>
      </c>
      <c r="D524" s="868" t="s">
        <v>1392</v>
      </c>
      <c r="E524" s="865"/>
      <c r="F524" s="865">
        <v>164421</v>
      </c>
      <c r="G524" s="866"/>
      <c r="H524" s="866"/>
      <c r="I524" s="866"/>
      <c r="J524" s="866"/>
      <c r="K524" s="866"/>
      <c r="L524" s="866"/>
      <c r="M524" s="866">
        <v>24098</v>
      </c>
      <c r="N524" s="866"/>
      <c r="O524" s="866"/>
      <c r="P524" s="866"/>
      <c r="Q524" s="148">
        <f t="shared" si="36"/>
        <v>24098</v>
      </c>
      <c r="R524" s="867" t="s">
        <v>1366</v>
      </c>
    </row>
    <row r="525" spans="1:18" ht="16.5" customHeight="1" x14ac:dyDescent="0.2">
      <c r="A525" s="174"/>
      <c r="B525" s="329"/>
      <c r="C525" s="742"/>
      <c r="D525" s="707" t="s">
        <v>1145</v>
      </c>
      <c r="E525" s="503"/>
      <c r="F525" s="503"/>
      <c r="G525" s="148"/>
      <c r="H525" s="148"/>
      <c r="I525" s="148"/>
      <c r="J525" s="148"/>
      <c r="K525" s="148"/>
      <c r="L525" s="148"/>
      <c r="M525" s="148"/>
      <c r="N525" s="148"/>
      <c r="O525" s="148"/>
      <c r="P525" s="148"/>
      <c r="Q525" s="148"/>
      <c r="R525" s="598"/>
    </row>
    <row r="526" spans="1:18" ht="16.5" hidden="1" customHeight="1" x14ac:dyDescent="0.2">
      <c r="A526" s="174"/>
      <c r="B526" s="329"/>
      <c r="C526" s="742" t="s">
        <v>737</v>
      </c>
      <c r="D526" s="739" t="s">
        <v>808</v>
      </c>
      <c r="E526" s="503"/>
      <c r="F526" s="503">
        <v>162424</v>
      </c>
      <c r="G526" s="148"/>
      <c r="H526" s="148"/>
      <c r="I526" s="148"/>
      <c r="J526" s="148"/>
      <c r="K526" s="148"/>
      <c r="L526" s="148"/>
      <c r="M526" s="148"/>
      <c r="N526" s="148"/>
      <c r="O526" s="148"/>
      <c r="P526" s="148"/>
      <c r="Q526" s="148">
        <f t="shared" si="36"/>
        <v>0</v>
      </c>
      <c r="R526" s="598"/>
    </row>
    <row r="527" spans="1:18" ht="16.5" customHeight="1" x14ac:dyDescent="0.2">
      <c r="A527" s="174"/>
      <c r="B527" s="329"/>
      <c r="C527" s="742" t="s">
        <v>739</v>
      </c>
      <c r="D527" s="707" t="s">
        <v>805</v>
      </c>
      <c r="E527" s="503"/>
      <c r="F527" s="503">
        <v>162428</v>
      </c>
      <c r="G527" s="148"/>
      <c r="H527" s="148"/>
      <c r="I527" s="148"/>
      <c r="J527" s="148"/>
      <c r="K527" s="148"/>
      <c r="L527" s="148">
        <v>-4508</v>
      </c>
      <c r="M527" s="148"/>
      <c r="N527" s="148"/>
      <c r="O527" s="148"/>
      <c r="P527" s="148"/>
      <c r="Q527" s="148">
        <f t="shared" si="36"/>
        <v>-4508</v>
      </c>
      <c r="R527" s="598" t="s">
        <v>1366</v>
      </c>
    </row>
    <row r="528" spans="1:18" ht="16.5" hidden="1" customHeight="1" x14ac:dyDescent="0.2">
      <c r="A528" s="174"/>
      <c r="B528" s="329"/>
      <c r="C528" s="742" t="s">
        <v>740</v>
      </c>
      <c r="D528" s="707" t="s">
        <v>806</v>
      </c>
      <c r="E528" s="503"/>
      <c r="F528" s="503">
        <v>162429</v>
      </c>
      <c r="G528" s="179"/>
      <c r="H528" s="179"/>
      <c r="I528" s="179"/>
      <c r="J528" s="148"/>
      <c r="K528" s="148"/>
      <c r="L528" s="148"/>
      <c r="M528" s="148"/>
      <c r="N528" s="148"/>
      <c r="O528" s="148"/>
      <c r="P528" s="148"/>
      <c r="Q528" s="148">
        <f t="shared" si="36"/>
        <v>0</v>
      </c>
      <c r="R528" s="598"/>
    </row>
    <row r="529" spans="1:18" ht="16.5" hidden="1" customHeight="1" x14ac:dyDescent="0.2">
      <c r="A529" s="174"/>
      <c r="B529" s="329"/>
      <c r="C529" s="742" t="s">
        <v>742</v>
      </c>
      <c r="D529" s="705" t="s">
        <v>807</v>
      </c>
      <c r="E529" s="503"/>
      <c r="F529" s="503">
        <v>162430</v>
      </c>
      <c r="G529" s="148"/>
      <c r="H529" s="148"/>
      <c r="I529" s="148"/>
      <c r="J529" s="148"/>
      <c r="K529" s="148"/>
      <c r="L529" s="148"/>
      <c r="M529" s="148"/>
      <c r="N529" s="148"/>
      <c r="O529" s="148"/>
      <c r="P529" s="148"/>
      <c r="Q529" s="148">
        <f t="shared" si="36"/>
        <v>0</v>
      </c>
      <c r="R529" s="598"/>
    </row>
    <row r="530" spans="1:18" ht="14.25" customHeight="1" x14ac:dyDescent="0.2">
      <c r="A530" s="174"/>
      <c r="B530" s="329"/>
      <c r="C530" s="742" t="s">
        <v>743</v>
      </c>
      <c r="D530" s="705" t="s">
        <v>994</v>
      </c>
      <c r="E530" s="503"/>
      <c r="F530" s="503">
        <v>162431</v>
      </c>
      <c r="G530" s="148"/>
      <c r="H530" s="148"/>
      <c r="I530" s="148"/>
      <c r="J530" s="148"/>
      <c r="K530" s="148"/>
      <c r="L530" s="148">
        <v>-7417</v>
      </c>
      <c r="M530" s="148"/>
      <c r="N530" s="148"/>
      <c r="O530" s="148"/>
      <c r="P530" s="148"/>
      <c r="Q530" s="148">
        <f t="shared" si="36"/>
        <v>-7417</v>
      </c>
      <c r="R530" s="598" t="s">
        <v>1366</v>
      </c>
    </row>
    <row r="531" spans="1:18" ht="17.100000000000001" hidden="1" customHeight="1" x14ac:dyDescent="0.2">
      <c r="A531" s="174"/>
      <c r="B531" s="174"/>
      <c r="C531" s="522" t="s">
        <v>90</v>
      </c>
      <c r="D531" s="263" t="s">
        <v>750</v>
      </c>
      <c r="E531" s="207"/>
      <c r="F531" s="207"/>
      <c r="G531" s="179"/>
      <c r="H531" s="179"/>
      <c r="I531" s="179"/>
      <c r="J531" s="148"/>
      <c r="K531" s="148"/>
      <c r="L531" s="148"/>
      <c r="M531" s="148"/>
      <c r="N531" s="148"/>
      <c r="O531" s="148"/>
      <c r="P531" s="148"/>
      <c r="Q531" s="148"/>
      <c r="R531" s="598"/>
    </row>
    <row r="532" spans="1:18" ht="17.100000000000001" hidden="1" customHeight="1" x14ac:dyDescent="0.2">
      <c r="A532" s="174"/>
      <c r="B532" s="174"/>
      <c r="C532" s="744" t="s">
        <v>751</v>
      </c>
      <c r="D532" s="745" t="s">
        <v>809</v>
      </c>
      <c r="E532" s="587"/>
      <c r="F532" s="587">
        <v>162505</v>
      </c>
      <c r="G532" s="179"/>
      <c r="H532" s="179"/>
      <c r="I532" s="179"/>
      <c r="J532" s="148"/>
      <c r="K532" s="148"/>
      <c r="L532" s="148"/>
      <c r="M532" s="148"/>
      <c r="N532" s="148"/>
      <c r="O532" s="148"/>
      <c r="P532" s="148"/>
      <c r="Q532" s="148">
        <f>SUM(G532:P532)</f>
        <v>0</v>
      </c>
      <c r="R532" s="598"/>
    </row>
    <row r="533" spans="1:18" ht="17.100000000000001" customHeight="1" x14ac:dyDescent="0.2">
      <c r="A533" s="174"/>
      <c r="B533" s="174"/>
      <c r="C533" s="746" t="s">
        <v>89</v>
      </c>
      <c r="D533" s="747" t="s">
        <v>810</v>
      </c>
      <c r="E533" s="587"/>
      <c r="F533" s="587"/>
      <c r="G533" s="179"/>
      <c r="H533" s="179"/>
      <c r="I533" s="179"/>
      <c r="J533" s="148"/>
      <c r="K533" s="148"/>
      <c r="L533" s="148"/>
      <c r="M533" s="148"/>
      <c r="N533" s="148"/>
      <c r="O533" s="148"/>
      <c r="P533" s="148"/>
      <c r="Q533" s="148"/>
      <c r="R533" s="598"/>
    </row>
    <row r="534" spans="1:18" ht="17.100000000000001" hidden="1" customHeight="1" x14ac:dyDescent="0.2">
      <c r="A534" s="174"/>
      <c r="B534" s="174"/>
      <c r="C534" s="748" t="s">
        <v>1217</v>
      </c>
      <c r="D534" s="749" t="s">
        <v>1218</v>
      </c>
      <c r="E534" s="587"/>
      <c r="F534" s="587">
        <v>162968</v>
      </c>
      <c r="G534" s="148"/>
      <c r="H534" s="148"/>
      <c r="I534" s="148"/>
      <c r="J534" s="148"/>
      <c r="K534" s="148"/>
      <c r="L534" s="148"/>
      <c r="M534" s="148"/>
      <c r="N534" s="148"/>
      <c r="O534" s="148"/>
      <c r="P534" s="148"/>
      <c r="Q534" s="148">
        <f>SUM(G534:P534)</f>
        <v>0</v>
      </c>
      <c r="R534" s="598"/>
    </row>
    <row r="535" spans="1:18" ht="17.100000000000001" customHeight="1" x14ac:dyDescent="0.2">
      <c r="A535" s="174"/>
      <c r="B535" s="174"/>
      <c r="C535" s="748" t="s">
        <v>1219</v>
      </c>
      <c r="D535" s="750" t="s">
        <v>1220</v>
      </c>
      <c r="E535" s="692"/>
      <c r="F535" s="587">
        <v>162969</v>
      </c>
      <c r="G535" s="148"/>
      <c r="H535" s="148"/>
      <c r="I535" s="148"/>
      <c r="J535" s="148"/>
      <c r="K535" s="148"/>
      <c r="L535" s="148">
        <v>-2009</v>
      </c>
      <c r="M535" s="148"/>
      <c r="N535" s="148"/>
      <c r="O535" s="148"/>
      <c r="P535" s="148"/>
      <c r="Q535" s="148">
        <f>SUM(G535:P535)</f>
        <v>-2009</v>
      </c>
      <c r="R535" s="598" t="s">
        <v>1365</v>
      </c>
    </row>
    <row r="536" spans="1:18" ht="22.5" hidden="1" customHeight="1" x14ac:dyDescent="0.2">
      <c r="A536" s="174"/>
      <c r="B536" s="174"/>
      <c r="C536" s="744" t="s">
        <v>1221</v>
      </c>
      <c r="D536" s="751" t="s">
        <v>1222</v>
      </c>
      <c r="E536" s="692"/>
      <c r="F536" s="587">
        <v>162970</v>
      </c>
      <c r="G536" s="179"/>
      <c r="H536" s="179"/>
      <c r="I536" s="179"/>
      <c r="J536" s="148"/>
      <c r="K536" s="148"/>
      <c r="L536" s="148"/>
      <c r="M536" s="148"/>
      <c r="N536" s="148"/>
      <c r="O536" s="148"/>
      <c r="P536" s="148"/>
      <c r="Q536" s="148">
        <f t="shared" ref="Q536:Q537" si="37">SUM(G536:P536)</f>
        <v>0</v>
      </c>
      <c r="R536" s="598"/>
    </row>
    <row r="537" spans="1:18" ht="17.100000000000001" hidden="1" customHeight="1" x14ac:dyDescent="0.2">
      <c r="A537" s="174"/>
      <c r="B537" s="174"/>
      <c r="C537" s="744" t="s">
        <v>1223</v>
      </c>
      <c r="D537" s="752" t="s">
        <v>1224</v>
      </c>
      <c r="E537" s="587"/>
      <c r="F537" s="587">
        <v>162971</v>
      </c>
      <c r="G537" s="179"/>
      <c r="H537" s="179"/>
      <c r="I537" s="179"/>
      <c r="J537" s="148"/>
      <c r="K537" s="148"/>
      <c r="L537" s="148"/>
      <c r="M537" s="148"/>
      <c r="N537" s="148"/>
      <c r="O537" s="148"/>
      <c r="P537" s="148"/>
      <c r="Q537" s="148">
        <f t="shared" si="37"/>
        <v>0</v>
      </c>
      <c r="R537" s="598"/>
    </row>
    <row r="538" spans="1:18" ht="17.100000000000001" hidden="1" customHeight="1" x14ac:dyDescent="0.2">
      <c r="A538" s="174"/>
      <c r="B538" s="174"/>
      <c r="C538" s="746"/>
      <c r="D538" s="694" t="s">
        <v>1145</v>
      </c>
      <c r="E538" s="587"/>
      <c r="F538" s="587"/>
      <c r="G538" s="179"/>
      <c r="H538" s="179"/>
      <c r="I538" s="179"/>
      <c r="J538" s="148"/>
      <c r="K538" s="148"/>
      <c r="L538" s="148"/>
      <c r="M538" s="148"/>
      <c r="N538" s="148"/>
      <c r="O538" s="148"/>
      <c r="P538" s="148"/>
      <c r="Q538" s="148"/>
      <c r="R538" s="598"/>
    </row>
    <row r="539" spans="1:18" ht="17.100000000000001" hidden="1" customHeight="1" x14ac:dyDescent="0.2">
      <c r="A539" s="174"/>
      <c r="B539" s="174"/>
      <c r="C539" s="748" t="s">
        <v>524</v>
      </c>
      <c r="D539" s="749" t="s">
        <v>811</v>
      </c>
      <c r="E539" s="587"/>
      <c r="F539" s="587">
        <v>162601</v>
      </c>
      <c r="G539" s="179"/>
      <c r="H539" s="179"/>
      <c r="I539" s="179"/>
      <c r="J539" s="148"/>
      <c r="K539" s="148"/>
      <c r="L539" s="148"/>
      <c r="M539" s="148"/>
      <c r="N539" s="148"/>
      <c r="O539" s="148"/>
      <c r="P539" s="148"/>
      <c r="Q539" s="148">
        <f>SUM(G539:P539)</f>
        <v>0</v>
      </c>
      <c r="R539" s="598"/>
    </row>
    <row r="540" spans="1:18" ht="17.100000000000001" hidden="1" customHeight="1" x14ac:dyDescent="0.2">
      <c r="A540" s="174"/>
      <c r="B540" s="174"/>
      <c r="C540" s="748" t="s">
        <v>525</v>
      </c>
      <c r="D540" s="749" t="s">
        <v>812</v>
      </c>
      <c r="E540" s="587"/>
      <c r="F540" s="587">
        <v>162636</v>
      </c>
      <c r="G540" s="179"/>
      <c r="H540" s="179"/>
      <c r="I540" s="179"/>
      <c r="J540" s="148"/>
      <c r="K540" s="148"/>
      <c r="L540" s="148"/>
      <c r="M540" s="148"/>
      <c r="N540" s="148"/>
      <c r="O540" s="148"/>
      <c r="P540" s="148"/>
      <c r="Q540" s="148">
        <f>SUM(G540:P540)</f>
        <v>0</v>
      </c>
      <c r="R540" s="598"/>
    </row>
    <row r="541" spans="1:18" ht="17.100000000000001" hidden="1" customHeight="1" x14ac:dyDescent="0.2">
      <c r="A541" s="578"/>
      <c r="B541" s="578"/>
      <c r="C541" s="748" t="s">
        <v>526</v>
      </c>
      <c r="D541" s="749" t="s">
        <v>813</v>
      </c>
      <c r="E541" s="587"/>
      <c r="F541" s="587">
        <v>162637</v>
      </c>
      <c r="G541" s="583"/>
      <c r="H541" s="583"/>
      <c r="I541" s="583"/>
      <c r="J541" s="582"/>
      <c r="K541" s="582"/>
      <c r="L541" s="582"/>
      <c r="M541" s="582"/>
      <c r="N541" s="582"/>
      <c r="O541" s="582"/>
      <c r="P541" s="582"/>
      <c r="Q541" s="148">
        <f>SUM(G541:P541)</f>
        <v>0</v>
      </c>
      <c r="R541" s="598"/>
    </row>
    <row r="542" spans="1:18" ht="17.100000000000001" hidden="1" customHeight="1" x14ac:dyDescent="0.2">
      <c r="A542" s="174"/>
      <c r="B542" s="174"/>
      <c r="C542" s="520" t="s">
        <v>91</v>
      </c>
      <c r="D542" s="331" t="s">
        <v>770</v>
      </c>
      <c r="E542" s="313"/>
      <c r="F542" s="207"/>
      <c r="G542" s="179"/>
      <c r="H542" s="179"/>
      <c r="I542" s="179"/>
      <c r="J542" s="148"/>
      <c r="K542" s="148"/>
      <c r="L542" s="148"/>
      <c r="M542" s="148"/>
      <c r="N542" s="148"/>
      <c r="O542" s="148"/>
      <c r="P542" s="148"/>
      <c r="Q542" s="148"/>
      <c r="R542" s="598"/>
    </row>
    <row r="543" spans="1:18" ht="17.100000000000001" hidden="1" customHeight="1" x14ac:dyDescent="0.2">
      <c r="A543" s="174"/>
      <c r="B543" s="174"/>
      <c r="C543" s="523"/>
      <c r="D543" s="277" t="s">
        <v>1145</v>
      </c>
      <c r="E543" s="313"/>
      <c r="F543" s="207"/>
      <c r="G543" s="179"/>
      <c r="H543" s="179"/>
      <c r="I543" s="179"/>
      <c r="J543" s="148"/>
      <c r="K543" s="148"/>
      <c r="L543" s="148"/>
      <c r="M543" s="148"/>
      <c r="N543" s="148"/>
      <c r="O543" s="148"/>
      <c r="P543" s="148"/>
      <c r="Q543" s="148"/>
      <c r="R543" s="598"/>
    </row>
    <row r="544" spans="1:18" ht="26.25" hidden="1" customHeight="1" x14ac:dyDescent="0.2">
      <c r="A544" s="174"/>
      <c r="B544" s="174"/>
      <c r="C544" s="523" t="s">
        <v>814</v>
      </c>
      <c r="D544" s="332" t="s">
        <v>815</v>
      </c>
      <c r="E544" s="313"/>
      <c r="F544" s="207">
        <v>162701</v>
      </c>
      <c r="G544" s="179"/>
      <c r="H544" s="179"/>
      <c r="I544" s="179"/>
      <c r="J544" s="148"/>
      <c r="K544" s="148"/>
      <c r="L544" s="148"/>
      <c r="M544" s="148"/>
      <c r="N544" s="148"/>
      <c r="O544" s="148"/>
      <c r="P544" s="148"/>
      <c r="Q544" s="148">
        <f>SUM(G544:P544)</f>
        <v>0</v>
      </c>
      <c r="R544" s="598"/>
    </row>
    <row r="545" spans="1:18" ht="16.5" hidden="1" customHeight="1" x14ac:dyDescent="0.2">
      <c r="A545" s="174"/>
      <c r="B545" s="174"/>
      <c r="C545" s="520" t="s">
        <v>92</v>
      </c>
      <c r="D545" s="333" t="s">
        <v>771</v>
      </c>
      <c r="E545" s="313"/>
      <c r="F545" s="207"/>
      <c r="G545" s="179"/>
      <c r="H545" s="179"/>
      <c r="I545" s="179"/>
      <c r="J545" s="148"/>
      <c r="K545" s="148"/>
      <c r="L545" s="148"/>
      <c r="M545" s="148"/>
      <c r="N545" s="148"/>
      <c r="O545" s="148"/>
      <c r="P545" s="148"/>
      <c r="Q545" s="148"/>
      <c r="R545" s="598"/>
    </row>
    <row r="546" spans="1:18" ht="15.75" customHeight="1" x14ac:dyDescent="0.2">
      <c r="A546" s="174"/>
      <c r="B546" s="174"/>
      <c r="C546" s="520" t="s">
        <v>93</v>
      </c>
      <c r="D546" s="333" t="s">
        <v>773</v>
      </c>
      <c r="E546" s="313"/>
      <c r="F546" s="207"/>
      <c r="G546" s="179"/>
      <c r="H546" s="179"/>
      <c r="I546" s="179"/>
      <c r="J546" s="148"/>
      <c r="K546" s="148"/>
      <c r="L546" s="148"/>
      <c r="M546" s="148"/>
      <c r="N546" s="148"/>
      <c r="O546" s="148"/>
      <c r="P546" s="148"/>
      <c r="Q546" s="148"/>
      <c r="R546" s="598"/>
    </row>
    <row r="547" spans="1:18" ht="15.75" hidden="1" customHeight="1" x14ac:dyDescent="0.2">
      <c r="A547" s="174"/>
      <c r="B547" s="174"/>
      <c r="C547" s="753" t="s">
        <v>774</v>
      </c>
      <c r="D547" s="749" t="s">
        <v>816</v>
      </c>
      <c r="E547" s="587"/>
      <c r="F547" s="587">
        <v>164921</v>
      </c>
      <c r="G547" s="179"/>
      <c r="H547" s="179"/>
      <c r="I547" s="179"/>
      <c r="J547" s="148"/>
      <c r="K547" s="148"/>
      <c r="L547" s="148"/>
      <c r="M547" s="148"/>
      <c r="N547" s="148"/>
      <c r="O547" s="148"/>
      <c r="P547" s="148"/>
      <c r="Q547" s="148">
        <f t="shared" ref="Q547:Q557" si="38">SUM(G547:P547)</f>
        <v>0</v>
      </c>
      <c r="R547" s="598"/>
    </row>
    <row r="548" spans="1:18" ht="15.75" hidden="1" customHeight="1" x14ac:dyDescent="0.2">
      <c r="A548" s="174"/>
      <c r="B548" s="174"/>
      <c r="C548" s="753" t="s">
        <v>775</v>
      </c>
      <c r="D548" s="580" t="s">
        <v>1225</v>
      </c>
      <c r="E548" s="717"/>
      <c r="F548" s="531">
        <v>164934</v>
      </c>
      <c r="G548" s="179"/>
      <c r="H548" s="179"/>
      <c r="I548" s="179"/>
      <c r="J548" s="148"/>
      <c r="K548" s="148"/>
      <c r="L548" s="148"/>
      <c r="M548" s="148"/>
      <c r="N548" s="148"/>
      <c r="O548" s="148"/>
      <c r="P548" s="148"/>
      <c r="Q548" s="148">
        <f t="shared" si="38"/>
        <v>0</v>
      </c>
      <c r="R548" s="598"/>
    </row>
    <row r="549" spans="1:18" ht="15.75" hidden="1" customHeight="1" x14ac:dyDescent="0.2">
      <c r="A549" s="174"/>
      <c r="B549" s="174"/>
      <c r="C549" s="753" t="s">
        <v>817</v>
      </c>
      <c r="D549" s="701" t="s">
        <v>1226</v>
      </c>
      <c r="E549" s="717"/>
      <c r="F549" s="531">
        <v>164935</v>
      </c>
      <c r="G549" s="179"/>
      <c r="H549" s="179"/>
      <c r="I549" s="179"/>
      <c r="J549" s="148"/>
      <c r="K549" s="148"/>
      <c r="L549" s="148"/>
      <c r="M549" s="148"/>
      <c r="N549" s="148"/>
      <c r="O549" s="148"/>
      <c r="P549" s="148"/>
      <c r="Q549" s="148">
        <f t="shared" si="38"/>
        <v>0</v>
      </c>
      <c r="R549" s="598"/>
    </row>
    <row r="550" spans="1:18" ht="15.75" customHeight="1" x14ac:dyDescent="0.2">
      <c r="A550" s="174"/>
      <c r="B550" s="174"/>
      <c r="C550" s="753" t="s">
        <v>818</v>
      </c>
      <c r="D550" s="701" t="s">
        <v>1227</v>
      </c>
      <c r="E550" s="587"/>
      <c r="F550" s="587">
        <v>164936</v>
      </c>
      <c r="G550" s="179"/>
      <c r="H550" s="179"/>
      <c r="I550" s="179"/>
      <c r="J550" s="148"/>
      <c r="K550" s="148"/>
      <c r="L550" s="148"/>
      <c r="M550" s="148">
        <v>-619</v>
      </c>
      <c r="N550" s="148"/>
      <c r="O550" s="148"/>
      <c r="P550" s="148"/>
      <c r="Q550" s="148">
        <f t="shared" si="38"/>
        <v>-619</v>
      </c>
      <c r="R550" s="598" t="s">
        <v>1366</v>
      </c>
    </row>
    <row r="551" spans="1:18" ht="17.25" customHeight="1" x14ac:dyDescent="0.2">
      <c r="A551" s="174"/>
      <c r="B551" s="174"/>
      <c r="C551" s="753" t="s">
        <v>819</v>
      </c>
      <c r="D551" s="688" t="s">
        <v>1228</v>
      </c>
      <c r="E551" s="587"/>
      <c r="F551" s="587">
        <v>164928</v>
      </c>
      <c r="G551" s="179"/>
      <c r="H551" s="179"/>
      <c r="I551" s="179"/>
      <c r="J551" s="148"/>
      <c r="K551" s="148"/>
      <c r="L551" s="148"/>
      <c r="M551" s="148">
        <v>-500</v>
      </c>
      <c r="N551" s="148"/>
      <c r="O551" s="148"/>
      <c r="P551" s="148"/>
      <c r="Q551" s="148">
        <f t="shared" si="38"/>
        <v>-500</v>
      </c>
      <c r="R551" s="598" t="s">
        <v>1366</v>
      </c>
    </row>
    <row r="552" spans="1:18" ht="24" hidden="1" customHeight="1" x14ac:dyDescent="0.2">
      <c r="A552" s="824"/>
      <c r="B552" s="824"/>
      <c r="C552" s="850" t="s">
        <v>1319</v>
      </c>
      <c r="D552" s="840" t="s">
        <v>1320</v>
      </c>
      <c r="E552" s="841"/>
      <c r="F552" s="841">
        <v>164937</v>
      </c>
      <c r="G552" s="826"/>
      <c r="H552" s="826"/>
      <c r="I552" s="826"/>
      <c r="J552" s="784"/>
      <c r="K552" s="784"/>
      <c r="L552" s="784"/>
      <c r="M552" s="784"/>
      <c r="N552" s="784"/>
      <c r="O552" s="784"/>
      <c r="P552" s="784"/>
      <c r="Q552" s="148">
        <f t="shared" si="38"/>
        <v>0</v>
      </c>
      <c r="R552" s="598"/>
    </row>
    <row r="553" spans="1:18" ht="17.25" hidden="1" customHeight="1" x14ac:dyDescent="0.2">
      <c r="A553" s="824"/>
      <c r="B553" s="824"/>
      <c r="C553" s="850" t="s">
        <v>1321</v>
      </c>
      <c r="D553" s="840" t="s">
        <v>1322</v>
      </c>
      <c r="E553" s="841"/>
      <c r="F553" s="841">
        <v>162976</v>
      </c>
      <c r="G553" s="826"/>
      <c r="H553" s="826"/>
      <c r="I553" s="826"/>
      <c r="J553" s="784"/>
      <c r="K553" s="784"/>
      <c r="L553" s="784"/>
      <c r="M553" s="784"/>
      <c r="N553" s="784"/>
      <c r="O553" s="784"/>
      <c r="P553" s="784"/>
      <c r="Q553" s="148">
        <f t="shared" si="38"/>
        <v>0</v>
      </c>
      <c r="R553" s="598"/>
    </row>
    <row r="554" spans="1:18" ht="17.25" customHeight="1" x14ac:dyDescent="0.2">
      <c r="A554" s="915"/>
      <c r="B554" s="915"/>
      <c r="C554" s="931" t="s">
        <v>1393</v>
      </c>
      <c r="D554" s="531" t="s">
        <v>1394</v>
      </c>
      <c r="E554" s="865"/>
      <c r="F554" s="865">
        <v>162977</v>
      </c>
      <c r="G554" s="917"/>
      <c r="H554" s="917"/>
      <c r="I554" s="917"/>
      <c r="J554" s="866"/>
      <c r="K554" s="866"/>
      <c r="L554" s="866">
        <v>503</v>
      </c>
      <c r="M554" s="866"/>
      <c r="N554" s="866"/>
      <c r="O554" s="866"/>
      <c r="P554" s="866"/>
      <c r="Q554" s="148">
        <f t="shared" si="38"/>
        <v>503</v>
      </c>
      <c r="R554" s="867" t="s">
        <v>1366</v>
      </c>
    </row>
    <row r="555" spans="1:18" ht="17.25" customHeight="1" x14ac:dyDescent="0.2">
      <c r="A555" s="915"/>
      <c r="B555" s="915"/>
      <c r="C555" s="932" t="s">
        <v>1395</v>
      </c>
      <c r="D555" s="866" t="s">
        <v>1396</v>
      </c>
      <c r="E555" s="865"/>
      <c r="F555" s="864">
        <v>162978</v>
      </c>
      <c r="G555" s="917"/>
      <c r="H555" s="917"/>
      <c r="I555" s="917"/>
      <c r="J555" s="866"/>
      <c r="K555" s="866"/>
      <c r="L555" s="866">
        <v>5000</v>
      </c>
      <c r="M555" s="866"/>
      <c r="N555" s="866"/>
      <c r="O555" s="866"/>
      <c r="P555" s="866"/>
      <c r="Q555" s="148">
        <f t="shared" si="38"/>
        <v>5000</v>
      </c>
      <c r="R555" s="867" t="s">
        <v>1365</v>
      </c>
    </row>
    <row r="556" spans="1:18" ht="17.25" customHeight="1" x14ac:dyDescent="0.2">
      <c r="A556" s="174"/>
      <c r="B556" s="174"/>
      <c r="C556" s="746"/>
      <c r="D556" s="694" t="s">
        <v>1145</v>
      </c>
      <c r="E556" s="587"/>
      <c r="F556" s="587"/>
      <c r="G556" s="179"/>
      <c r="H556" s="179"/>
      <c r="I556" s="179"/>
      <c r="J556" s="148"/>
      <c r="K556" s="148"/>
      <c r="L556" s="148"/>
      <c r="M556" s="148"/>
      <c r="N556" s="148"/>
      <c r="O556" s="148"/>
      <c r="P556" s="148"/>
      <c r="Q556" s="148"/>
      <c r="R556" s="598"/>
    </row>
    <row r="557" spans="1:18" ht="26.25" customHeight="1" x14ac:dyDescent="0.2">
      <c r="A557" s="174"/>
      <c r="B557" s="174"/>
      <c r="C557" s="579" t="s">
        <v>777</v>
      </c>
      <c r="D557" s="754" t="s">
        <v>1229</v>
      </c>
      <c r="E557" s="587"/>
      <c r="F557" s="587">
        <v>174902</v>
      </c>
      <c r="G557" s="334"/>
      <c r="H557" s="179"/>
      <c r="I557" s="179"/>
      <c r="J557" s="148"/>
      <c r="K557" s="148"/>
      <c r="L557" s="148"/>
      <c r="M557" s="148">
        <v>15000</v>
      </c>
      <c r="N557" s="148"/>
      <c r="O557" s="148"/>
      <c r="P557" s="148"/>
      <c r="Q557" s="148">
        <f t="shared" si="38"/>
        <v>15000</v>
      </c>
      <c r="R557" s="598" t="s">
        <v>1365</v>
      </c>
    </row>
    <row r="558" spans="1:18" ht="17.25" customHeight="1" x14ac:dyDescent="0.2">
      <c r="A558" s="174"/>
      <c r="B558" s="174"/>
      <c r="C558" s="579" t="s">
        <v>778</v>
      </c>
      <c r="D558" s="694" t="s">
        <v>821</v>
      </c>
      <c r="E558" s="587"/>
      <c r="F558" s="587">
        <v>162942</v>
      </c>
      <c r="G558" s="207"/>
      <c r="H558" s="148"/>
      <c r="I558" s="148"/>
      <c r="J558" s="148"/>
      <c r="K558" s="148"/>
      <c r="L558" s="148"/>
      <c r="M558" s="148">
        <v>3450</v>
      </c>
      <c r="N558" s="148"/>
      <c r="O558" s="148"/>
      <c r="P558" s="148"/>
      <c r="Q558" s="148">
        <f>SUM(G558:P558)</f>
        <v>3450</v>
      </c>
      <c r="R558" s="598" t="s">
        <v>1365</v>
      </c>
    </row>
    <row r="559" spans="1:18" ht="15.75" customHeight="1" x14ac:dyDescent="0.2">
      <c r="A559" s="174"/>
      <c r="B559" s="174"/>
      <c r="C559" s="579" t="s">
        <v>1230</v>
      </c>
      <c r="D559" s="690" t="s">
        <v>822</v>
      </c>
      <c r="E559" s="587"/>
      <c r="F559" s="587">
        <v>162903</v>
      </c>
      <c r="G559" s="179"/>
      <c r="H559" s="179"/>
      <c r="I559" s="179">
        <v>167</v>
      </c>
      <c r="J559" s="148"/>
      <c r="K559" s="148"/>
      <c r="L559" s="148"/>
      <c r="M559" s="148">
        <v>-167</v>
      </c>
      <c r="N559" s="148"/>
      <c r="O559" s="148"/>
      <c r="P559" s="148"/>
      <c r="Q559" s="148">
        <f>SUM(G559:P559)</f>
        <v>0</v>
      </c>
      <c r="R559" s="598" t="s">
        <v>1366</v>
      </c>
    </row>
    <row r="560" spans="1:18" ht="15" hidden="1" customHeight="1" x14ac:dyDescent="0.2">
      <c r="A560" s="174"/>
      <c r="B560" s="174"/>
      <c r="C560" s="579" t="s">
        <v>780</v>
      </c>
      <c r="D560" s="690" t="s">
        <v>824</v>
      </c>
      <c r="E560" s="587"/>
      <c r="F560" s="587">
        <v>162958</v>
      </c>
      <c r="G560" s="179"/>
      <c r="H560" s="179"/>
      <c r="I560" s="179"/>
      <c r="J560" s="148"/>
      <c r="K560" s="148"/>
      <c r="L560" s="148"/>
      <c r="M560" s="148"/>
      <c r="N560" s="148"/>
      <c r="O560" s="148"/>
      <c r="P560" s="148"/>
      <c r="Q560" s="148">
        <f t="shared" ref="Q560:Q568" si="39">SUM(G560:P560)</f>
        <v>0</v>
      </c>
      <c r="R560" s="598"/>
    </row>
    <row r="561" spans="1:18" ht="15" hidden="1" customHeight="1" x14ac:dyDescent="0.2">
      <c r="A561" s="174"/>
      <c r="B561" s="174"/>
      <c r="C561" s="579" t="s">
        <v>781</v>
      </c>
      <c r="D561" s="690" t="s">
        <v>1231</v>
      </c>
      <c r="E561" s="587"/>
      <c r="F561" s="587">
        <v>162929</v>
      </c>
      <c r="G561" s="179"/>
      <c r="H561" s="179"/>
      <c r="I561" s="179"/>
      <c r="J561" s="148"/>
      <c r="K561" s="148"/>
      <c r="L561" s="148"/>
      <c r="M561" s="148"/>
      <c r="N561" s="148"/>
      <c r="O561" s="148"/>
      <c r="P561" s="148"/>
      <c r="Q561" s="148">
        <f t="shared" si="39"/>
        <v>0</v>
      </c>
      <c r="R561" s="598"/>
    </row>
    <row r="562" spans="1:18" ht="18" hidden="1" customHeight="1" x14ac:dyDescent="0.2">
      <c r="A562" s="174"/>
      <c r="B562" s="174"/>
      <c r="C562" s="579" t="s">
        <v>782</v>
      </c>
      <c r="D562" s="688" t="s">
        <v>820</v>
      </c>
      <c r="E562" s="587"/>
      <c r="F562" s="587">
        <v>164929</v>
      </c>
      <c r="G562" s="179"/>
      <c r="H562" s="179"/>
      <c r="I562" s="179"/>
      <c r="J562" s="148"/>
      <c r="K562" s="148"/>
      <c r="L562" s="148"/>
      <c r="M562" s="148"/>
      <c r="N562" s="148"/>
      <c r="O562" s="148"/>
      <c r="P562" s="148"/>
      <c r="Q562" s="148">
        <f t="shared" si="39"/>
        <v>0</v>
      </c>
      <c r="R562" s="598"/>
    </row>
    <row r="563" spans="1:18" ht="24.75" hidden="1" customHeight="1" x14ac:dyDescent="0.2">
      <c r="A563" s="174"/>
      <c r="B563" s="174"/>
      <c r="C563" s="579" t="s">
        <v>783</v>
      </c>
      <c r="D563" s="688" t="s">
        <v>1232</v>
      </c>
      <c r="E563" s="587"/>
      <c r="F563" s="587">
        <v>162967</v>
      </c>
      <c r="G563" s="179"/>
      <c r="H563" s="179"/>
      <c r="I563" s="179"/>
      <c r="J563" s="148"/>
      <c r="K563" s="148"/>
      <c r="L563" s="148"/>
      <c r="M563" s="148"/>
      <c r="N563" s="148"/>
      <c r="O563" s="148"/>
      <c r="P563" s="148"/>
      <c r="Q563" s="148">
        <f t="shared" si="39"/>
        <v>0</v>
      </c>
      <c r="R563" s="598"/>
    </row>
    <row r="564" spans="1:18" ht="18.75" hidden="1" customHeight="1" x14ac:dyDescent="0.2">
      <c r="A564" s="174"/>
      <c r="B564" s="174"/>
      <c r="C564" s="579" t="s">
        <v>823</v>
      </c>
      <c r="D564" s="688" t="s">
        <v>1233</v>
      </c>
      <c r="E564" s="587"/>
      <c r="F564" s="587">
        <v>164933</v>
      </c>
      <c r="G564" s="148"/>
      <c r="H564" s="148"/>
      <c r="I564" s="148"/>
      <c r="J564" s="148"/>
      <c r="K564" s="148"/>
      <c r="L564" s="148"/>
      <c r="M564" s="148"/>
      <c r="N564" s="148"/>
      <c r="O564" s="148"/>
      <c r="P564" s="148"/>
      <c r="Q564" s="148">
        <f t="shared" si="39"/>
        <v>0</v>
      </c>
      <c r="R564" s="598"/>
    </row>
    <row r="565" spans="1:18" ht="16.5" customHeight="1" x14ac:dyDescent="0.2">
      <c r="A565" s="174"/>
      <c r="B565" s="174"/>
      <c r="C565" s="578" t="s">
        <v>25</v>
      </c>
      <c r="D565" s="276" t="s">
        <v>826</v>
      </c>
      <c r="E565" s="313"/>
      <c r="F565" s="207"/>
      <c r="G565" s="334"/>
      <c r="H565" s="179"/>
      <c r="I565" s="179"/>
      <c r="J565" s="148"/>
      <c r="K565" s="148"/>
      <c r="L565" s="148"/>
      <c r="M565" s="148"/>
      <c r="N565" s="148"/>
      <c r="O565" s="148"/>
      <c r="P565" s="148"/>
      <c r="Q565" s="148"/>
      <c r="R565" s="598"/>
    </row>
    <row r="566" spans="1:18" ht="16.5" customHeight="1" x14ac:dyDescent="0.2">
      <c r="A566" s="174"/>
      <c r="B566" s="174"/>
      <c r="C566" s="578" t="s">
        <v>827</v>
      </c>
      <c r="D566" s="281" t="s">
        <v>828</v>
      </c>
      <c r="E566" s="313"/>
      <c r="F566" s="207"/>
      <c r="G566" s="334"/>
      <c r="H566" s="179"/>
      <c r="I566" s="179"/>
      <c r="J566" s="148"/>
      <c r="K566" s="148"/>
      <c r="L566" s="148"/>
      <c r="M566" s="148"/>
      <c r="N566" s="148"/>
      <c r="O566" s="148"/>
      <c r="P566" s="148"/>
      <c r="Q566" s="148"/>
      <c r="R566" s="598"/>
    </row>
    <row r="567" spans="1:18" ht="36" hidden="1" customHeight="1" x14ac:dyDescent="0.2">
      <c r="A567" s="578"/>
      <c r="B567" s="578"/>
      <c r="C567" s="578" t="s">
        <v>1234</v>
      </c>
      <c r="D567" s="756" t="s">
        <v>1235</v>
      </c>
      <c r="E567" s="503"/>
      <c r="F567" s="503">
        <v>163652</v>
      </c>
      <c r="G567" s="755"/>
      <c r="H567" s="583"/>
      <c r="I567" s="583"/>
      <c r="J567" s="582"/>
      <c r="K567" s="582"/>
      <c r="L567" s="582"/>
      <c r="M567" s="582"/>
      <c r="N567" s="582"/>
      <c r="O567" s="582"/>
      <c r="P567" s="582"/>
      <c r="Q567" s="148">
        <f t="shared" si="39"/>
        <v>0</v>
      </c>
      <c r="R567" s="598"/>
    </row>
    <row r="568" spans="1:18" ht="36" hidden="1" customHeight="1" x14ac:dyDescent="0.2">
      <c r="A568" s="578"/>
      <c r="B568" s="578"/>
      <c r="C568" s="174" t="s">
        <v>1236</v>
      </c>
      <c r="D568" s="757" t="s">
        <v>1237</v>
      </c>
      <c r="E568" s="503"/>
      <c r="F568" s="503">
        <v>163653</v>
      </c>
      <c r="G568" s="755"/>
      <c r="H568" s="583"/>
      <c r="I568" s="583"/>
      <c r="J568" s="582"/>
      <c r="K568" s="582"/>
      <c r="L568" s="582"/>
      <c r="M568" s="582"/>
      <c r="N568" s="582"/>
      <c r="O568" s="582"/>
      <c r="P568" s="582"/>
      <c r="Q568" s="148">
        <f t="shared" si="39"/>
        <v>0</v>
      </c>
      <c r="R568" s="598"/>
    </row>
    <row r="569" spans="1:18" ht="16.5" hidden="1" customHeight="1" x14ac:dyDescent="0.2">
      <c r="A569" s="174"/>
      <c r="B569" s="174"/>
      <c r="C569" s="174"/>
      <c r="D569" s="758" t="s">
        <v>1145</v>
      </c>
      <c r="E569" s="503"/>
      <c r="F569" s="503"/>
      <c r="G569" s="334"/>
      <c r="H569" s="179"/>
      <c r="I569" s="179"/>
      <c r="J569" s="148"/>
      <c r="K569" s="148"/>
      <c r="L569" s="148"/>
      <c r="M569" s="148"/>
      <c r="N569" s="148"/>
      <c r="O569" s="148"/>
      <c r="P569" s="148"/>
      <c r="Q569" s="148"/>
      <c r="R569" s="598"/>
    </row>
    <row r="570" spans="1:18" ht="29.25" hidden="1" customHeight="1" x14ac:dyDescent="0.2">
      <c r="A570" s="174"/>
      <c r="B570" s="174"/>
      <c r="C570" s="272" t="s">
        <v>829</v>
      </c>
      <c r="D570" s="759" t="s">
        <v>177</v>
      </c>
      <c r="E570" s="503"/>
      <c r="F570" s="503">
        <v>163603</v>
      </c>
      <c r="G570" s="334"/>
      <c r="H570" s="179"/>
      <c r="I570" s="179"/>
      <c r="J570" s="148"/>
      <c r="K570" s="148"/>
      <c r="L570" s="148"/>
      <c r="M570" s="148"/>
      <c r="N570" s="148"/>
      <c r="O570" s="148"/>
      <c r="P570" s="148"/>
      <c r="Q570" s="148">
        <f t="shared" ref="Q570:Q596" si="40">SUM(G570:P570)</f>
        <v>0</v>
      </c>
      <c r="R570" s="598"/>
    </row>
    <row r="571" spans="1:18" ht="37.5" hidden="1" customHeight="1" x14ac:dyDescent="0.2">
      <c r="A571" s="174"/>
      <c r="B571" s="174"/>
      <c r="C571" s="526" t="s">
        <v>830</v>
      </c>
      <c r="D571" s="760" t="s">
        <v>176</v>
      </c>
      <c r="E571" s="503"/>
      <c r="F571" s="503">
        <v>163604</v>
      </c>
      <c r="G571" s="334"/>
      <c r="H571" s="179"/>
      <c r="I571" s="179"/>
      <c r="J571" s="148"/>
      <c r="K571" s="148"/>
      <c r="L571" s="148"/>
      <c r="M571" s="148"/>
      <c r="N571" s="148"/>
      <c r="O571" s="148"/>
      <c r="P571" s="148"/>
      <c r="Q571" s="148">
        <f t="shared" si="40"/>
        <v>0</v>
      </c>
      <c r="R571" s="598"/>
    </row>
    <row r="572" spans="1:18" ht="28.5" customHeight="1" x14ac:dyDescent="0.2">
      <c r="A572" s="174"/>
      <c r="B572" s="174"/>
      <c r="C572" s="526" t="s">
        <v>831</v>
      </c>
      <c r="D572" s="760" t="s">
        <v>178</v>
      </c>
      <c r="E572" s="503"/>
      <c r="F572" s="503">
        <v>163606</v>
      </c>
      <c r="G572" s="334"/>
      <c r="H572" s="179">
        <v>52</v>
      </c>
      <c r="I572" s="179"/>
      <c r="J572" s="148"/>
      <c r="K572" s="148"/>
      <c r="L572" s="148"/>
      <c r="M572" s="148"/>
      <c r="N572" s="148"/>
      <c r="O572" s="148"/>
      <c r="P572" s="148"/>
      <c r="Q572" s="148">
        <f t="shared" si="40"/>
        <v>52</v>
      </c>
      <c r="R572" s="598" t="s">
        <v>1366</v>
      </c>
    </row>
    <row r="573" spans="1:18" ht="62.25" customHeight="1" x14ac:dyDescent="0.2">
      <c r="A573" s="174"/>
      <c r="B573" s="174"/>
      <c r="C573" s="526" t="s">
        <v>832</v>
      </c>
      <c r="D573" s="759" t="s">
        <v>182</v>
      </c>
      <c r="E573" s="503"/>
      <c r="F573" s="503">
        <v>163607</v>
      </c>
      <c r="G573" s="334"/>
      <c r="H573" s="179"/>
      <c r="I573" s="179">
        <v>38685</v>
      </c>
      <c r="J573" s="148"/>
      <c r="K573" s="148"/>
      <c r="L573" s="148">
        <v>-38685</v>
      </c>
      <c r="M573" s="148"/>
      <c r="N573" s="148"/>
      <c r="O573" s="148"/>
      <c r="P573" s="148"/>
      <c r="Q573" s="148">
        <f t="shared" si="40"/>
        <v>0</v>
      </c>
      <c r="R573" s="598" t="s">
        <v>1366</v>
      </c>
    </row>
    <row r="574" spans="1:18" ht="35.25" hidden="1" customHeight="1" x14ac:dyDescent="0.2">
      <c r="A574" s="174"/>
      <c r="B574" s="174"/>
      <c r="C574" s="526" t="s">
        <v>833</v>
      </c>
      <c r="D574" s="759" t="s">
        <v>173</v>
      </c>
      <c r="E574" s="503"/>
      <c r="F574" s="503">
        <v>163608</v>
      </c>
      <c r="G574" s="334"/>
      <c r="H574" s="179"/>
      <c r="I574" s="179"/>
      <c r="J574" s="148"/>
      <c r="K574" s="148"/>
      <c r="L574" s="148"/>
      <c r="M574" s="148"/>
      <c r="N574" s="148"/>
      <c r="O574" s="148"/>
      <c r="P574" s="148"/>
      <c r="Q574" s="148">
        <f t="shared" si="40"/>
        <v>0</v>
      </c>
      <c r="R574" s="598"/>
    </row>
    <row r="575" spans="1:18" ht="40.5" customHeight="1" x14ac:dyDescent="0.2">
      <c r="A575" s="174"/>
      <c r="B575" s="174"/>
      <c r="C575" s="526" t="s">
        <v>834</v>
      </c>
      <c r="D575" s="759" t="s">
        <v>185</v>
      </c>
      <c r="E575" s="503"/>
      <c r="F575" s="503">
        <v>163609</v>
      </c>
      <c r="G575" s="334"/>
      <c r="H575" s="179"/>
      <c r="I575" s="179">
        <v>953</v>
      </c>
      <c r="J575" s="148"/>
      <c r="K575" s="148"/>
      <c r="L575" s="148"/>
      <c r="M575" s="148"/>
      <c r="N575" s="148"/>
      <c r="O575" s="148"/>
      <c r="P575" s="148"/>
      <c r="Q575" s="148">
        <f t="shared" si="40"/>
        <v>953</v>
      </c>
      <c r="R575" s="598" t="s">
        <v>1282</v>
      </c>
    </row>
    <row r="576" spans="1:18" ht="39.75" customHeight="1" x14ac:dyDescent="0.2">
      <c r="A576" s="174"/>
      <c r="B576" s="174"/>
      <c r="C576" s="526" t="s">
        <v>835</v>
      </c>
      <c r="D576" s="761" t="s">
        <v>179</v>
      </c>
      <c r="E576" s="503"/>
      <c r="F576" s="503">
        <v>163611</v>
      </c>
      <c r="G576" s="334"/>
      <c r="H576" s="179"/>
      <c r="I576" s="179"/>
      <c r="J576" s="148"/>
      <c r="K576" s="148"/>
      <c r="L576" s="148">
        <v>7600</v>
      </c>
      <c r="M576" s="148"/>
      <c r="N576" s="148"/>
      <c r="O576" s="148"/>
      <c r="P576" s="148"/>
      <c r="Q576" s="148">
        <f t="shared" si="40"/>
        <v>7600</v>
      </c>
      <c r="R576" s="598" t="s">
        <v>1366</v>
      </c>
    </row>
    <row r="577" spans="1:18" ht="31.5" hidden="1" customHeight="1" x14ac:dyDescent="0.2">
      <c r="A577" s="174"/>
      <c r="B577" s="174"/>
      <c r="C577" s="526" t="s">
        <v>836</v>
      </c>
      <c r="D577" s="762" t="s">
        <v>135</v>
      </c>
      <c r="E577" s="503"/>
      <c r="F577" s="503">
        <v>163612</v>
      </c>
      <c r="G577" s="334"/>
      <c r="H577" s="179"/>
      <c r="I577" s="179"/>
      <c r="J577" s="148"/>
      <c r="K577" s="148"/>
      <c r="L577" s="148"/>
      <c r="M577" s="148"/>
      <c r="N577" s="148"/>
      <c r="O577" s="148"/>
      <c r="P577" s="148"/>
      <c r="Q577" s="148">
        <f t="shared" si="40"/>
        <v>0</v>
      </c>
      <c r="R577" s="598"/>
    </row>
    <row r="578" spans="1:18" ht="28.5" hidden="1" customHeight="1" x14ac:dyDescent="0.2">
      <c r="A578" s="174"/>
      <c r="B578" s="174"/>
      <c r="C578" s="526" t="s">
        <v>837</v>
      </c>
      <c r="D578" s="762" t="s">
        <v>839</v>
      </c>
      <c r="E578" s="503"/>
      <c r="F578" s="503">
        <v>163613</v>
      </c>
      <c r="G578" s="334"/>
      <c r="H578" s="179"/>
      <c r="I578" s="179"/>
      <c r="J578" s="148"/>
      <c r="K578" s="148"/>
      <c r="L578" s="148"/>
      <c r="M578" s="148"/>
      <c r="N578" s="148"/>
      <c r="O578" s="148"/>
      <c r="P578" s="148"/>
      <c r="Q578" s="148">
        <f t="shared" si="40"/>
        <v>0</v>
      </c>
      <c r="R578" s="598"/>
    </row>
    <row r="579" spans="1:18" ht="41.25" hidden="1" customHeight="1" x14ac:dyDescent="0.2">
      <c r="A579" s="174"/>
      <c r="B579" s="174"/>
      <c r="C579" s="526" t="s">
        <v>838</v>
      </c>
      <c r="D579" s="762" t="s">
        <v>174</v>
      </c>
      <c r="E579" s="503"/>
      <c r="F579" s="503">
        <v>163614</v>
      </c>
      <c r="G579" s="334"/>
      <c r="H579" s="179"/>
      <c r="I579" s="179"/>
      <c r="J579" s="148"/>
      <c r="K579" s="148"/>
      <c r="L579" s="148"/>
      <c r="M579" s="148"/>
      <c r="N579" s="148"/>
      <c r="O579" s="148"/>
      <c r="P579" s="148"/>
      <c r="Q579" s="148">
        <f t="shared" si="40"/>
        <v>0</v>
      </c>
      <c r="R579" s="598"/>
    </row>
    <row r="580" spans="1:18" ht="40.5" hidden="1" customHeight="1" x14ac:dyDescent="0.2">
      <c r="A580" s="174"/>
      <c r="B580" s="174"/>
      <c r="C580" s="526" t="s">
        <v>840</v>
      </c>
      <c r="D580" s="762" t="s">
        <v>184</v>
      </c>
      <c r="E580" s="503"/>
      <c r="F580" s="503">
        <v>163615</v>
      </c>
      <c r="G580" s="334"/>
      <c r="H580" s="179"/>
      <c r="I580" s="179"/>
      <c r="J580" s="148"/>
      <c r="K580" s="148"/>
      <c r="L580" s="148"/>
      <c r="M580" s="148"/>
      <c r="N580" s="148"/>
      <c r="O580" s="148"/>
      <c r="P580" s="148"/>
      <c r="Q580" s="148">
        <f t="shared" si="40"/>
        <v>0</v>
      </c>
      <c r="R580" s="598"/>
    </row>
    <row r="581" spans="1:18" ht="27.75" hidden="1" customHeight="1" x14ac:dyDescent="0.2">
      <c r="A581" s="174"/>
      <c r="B581" s="174"/>
      <c r="C581" s="526" t="s">
        <v>841</v>
      </c>
      <c r="D581" s="762" t="s">
        <v>180</v>
      </c>
      <c r="E581" s="503"/>
      <c r="F581" s="503">
        <v>163616</v>
      </c>
      <c r="G581" s="334"/>
      <c r="H581" s="179"/>
      <c r="I581" s="179"/>
      <c r="J581" s="148"/>
      <c r="K581" s="148"/>
      <c r="L581" s="148"/>
      <c r="M581" s="148"/>
      <c r="N581" s="148"/>
      <c r="O581" s="148"/>
      <c r="P581" s="148"/>
      <c r="Q581" s="148">
        <f t="shared" si="40"/>
        <v>0</v>
      </c>
      <c r="R581" s="598"/>
    </row>
    <row r="582" spans="1:18" ht="38.25" hidden="1" customHeight="1" x14ac:dyDescent="0.2">
      <c r="A582" s="174"/>
      <c r="B582" s="174"/>
      <c r="C582" s="526" t="s">
        <v>842</v>
      </c>
      <c r="D582" s="762" t="s">
        <v>181</v>
      </c>
      <c r="E582" s="503"/>
      <c r="F582" s="503">
        <v>163617</v>
      </c>
      <c r="G582" s="334"/>
      <c r="H582" s="179"/>
      <c r="I582" s="179"/>
      <c r="J582" s="148"/>
      <c r="K582" s="148"/>
      <c r="L582" s="148"/>
      <c r="M582" s="148"/>
      <c r="N582" s="148"/>
      <c r="O582" s="148"/>
      <c r="P582" s="148"/>
      <c r="Q582" s="148">
        <f t="shared" si="40"/>
        <v>0</v>
      </c>
      <c r="R582" s="598"/>
    </row>
    <row r="583" spans="1:18" ht="31.5" hidden="1" customHeight="1" x14ac:dyDescent="0.2">
      <c r="A583" s="174"/>
      <c r="B583" s="174"/>
      <c r="C583" s="526" t="s">
        <v>843</v>
      </c>
      <c r="D583" s="762" t="s">
        <v>175</v>
      </c>
      <c r="E583" s="503"/>
      <c r="F583" s="503">
        <v>163623</v>
      </c>
      <c r="G583" s="334"/>
      <c r="H583" s="179"/>
      <c r="I583" s="179"/>
      <c r="J583" s="148"/>
      <c r="K583" s="148"/>
      <c r="L583" s="148"/>
      <c r="M583" s="148"/>
      <c r="N583" s="148"/>
      <c r="O583" s="148"/>
      <c r="P583" s="148"/>
      <c r="Q583" s="148">
        <f t="shared" si="40"/>
        <v>0</v>
      </c>
      <c r="R583" s="598"/>
    </row>
    <row r="584" spans="1:18" ht="26.25" hidden="1" customHeight="1" x14ac:dyDescent="0.2">
      <c r="A584" s="174"/>
      <c r="B584" s="174"/>
      <c r="C584" s="526" t="s">
        <v>844</v>
      </c>
      <c r="D584" s="725" t="s">
        <v>159</v>
      </c>
      <c r="E584" s="503"/>
      <c r="F584" s="503">
        <v>163625</v>
      </c>
      <c r="G584" s="334"/>
      <c r="H584" s="179"/>
      <c r="I584" s="179"/>
      <c r="J584" s="148"/>
      <c r="K584" s="148"/>
      <c r="L584" s="148"/>
      <c r="M584" s="148"/>
      <c r="N584" s="148"/>
      <c r="O584" s="148"/>
      <c r="P584" s="148"/>
      <c r="Q584" s="148">
        <f t="shared" si="40"/>
        <v>0</v>
      </c>
      <c r="R584" s="598"/>
    </row>
    <row r="585" spans="1:18" ht="24" hidden="1" customHeight="1" x14ac:dyDescent="0.2">
      <c r="A585" s="174"/>
      <c r="B585" s="174"/>
      <c r="C585" s="526" t="s">
        <v>845</v>
      </c>
      <c r="D585" s="763" t="s">
        <v>160</v>
      </c>
      <c r="E585" s="503"/>
      <c r="F585" s="503">
        <v>163626</v>
      </c>
      <c r="G585" s="334"/>
      <c r="H585" s="179"/>
      <c r="I585" s="179"/>
      <c r="J585" s="148"/>
      <c r="K585" s="148"/>
      <c r="L585" s="148"/>
      <c r="M585" s="148"/>
      <c r="N585" s="148"/>
      <c r="O585" s="148"/>
      <c r="P585" s="148"/>
      <c r="Q585" s="148">
        <f t="shared" si="40"/>
        <v>0</v>
      </c>
      <c r="R585" s="598"/>
    </row>
    <row r="586" spans="1:18" ht="27" hidden="1" customHeight="1" x14ac:dyDescent="0.2">
      <c r="A586" s="174"/>
      <c r="B586" s="174"/>
      <c r="C586" s="526" t="s">
        <v>846</v>
      </c>
      <c r="D586" s="764" t="s">
        <v>183</v>
      </c>
      <c r="E586" s="503"/>
      <c r="F586" s="503">
        <v>163627</v>
      </c>
      <c r="G586" s="303"/>
      <c r="H586" s="179"/>
      <c r="I586" s="179"/>
      <c r="J586" s="179"/>
      <c r="K586" s="148"/>
      <c r="L586" s="148"/>
      <c r="M586" s="148"/>
      <c r="N586" s="148"/>
      <c r="O586" s="148"/>
      <c r="P586" s="148"/>
      <c r="Q586" s="148">
        <f t="shared" si="40"/>
        <v>0</v>
      </c>
      <c r="R586" s="598"/>
    </row>
    <row r="587" spans="1:18" ht="24.75" customHeight="1" x14ac:dyDescent="0.2">
      <c r="A587" s="174"/>
      <c r="B587" s="174"/>
      <c r="C587" s="526" t="s">
        <v>847</v>
      </c>
      <c r="D587" s="764" t="s">
        <v>850</v>
      </c>
      <c r="E587" s="503"/>
      <c r="F587" s="503">
        <v>163629</v>
      </c>
      <c r="G587" s="334"/>
      <c r="H587" s="179"/>
      <c r="I587" s="179">
        <v>514</v>
      </c>
      <c r="J587" s="148"/>
      <c r="K587" s="148"/>
      <c r="L587" s="148"/>
      <c r="M587" s="148"/>
      <c r="N587" s="148"/>
      <c r="O587" s="148"/>
      <c r="P587" s="148"/>
      <c r="Q587" s="148">
        <f t="shared" si="40"/>
        <v>514</v>
      </c>
      <c r="R587" s="598" t="s">
        <v>1366</v>
      </c>
    </row>
    <row r="588" spans="1:18" ht="29.25" customHeight="1" x14ac:dyDescent="0.2">
      <c r="A588" s="174"/>
      <c r="B588" s="174"/>
      <c r="C588" s="526" t="s">
        <v>848</v>
      </c>
      <c r="D588" s="763" t="s">
        <v>852</v>
      </c>
      <c r="E588" s="503"/>
      <c r="F588" s="503">
        <v>163628</v>
      </c>
      <c r="G588" s="334"/>
      <c r="H588" s="179"/>
      <c r="I588" s="179">
        <v>1</v>
      </c>
      <c r="J588" s="148"/>
      <c r="K588" s="148"/>
      <c r="L588" s="148">
        <v>10155</v>
      </c>
      <c r="M588" s="148"/>
      <c r="N588" s="148"/>
      <c r="O588" s="148"/>
      <c r="P588" s="148"/>
      <c r="Q588" s="148">
        <f t="shared" si="40"/>
        <v>10156</v>
      </c>
      <c r="R588" s="598" t="s">
        <v>1282</v>
      </c>
    </row>
    <row r="589" spans="1:18" ht="27" hidden="1" customHeight="1" x14ac:dyDescent="0.2">
      <c r="A589" s="174"/>
      <c r="B589" s="174"/>
      <c r="C589" s="526" t="s">
        <v>849</v>
      </c>
      <c r="D589" s="737" t="s">
        <v>118</v>
      </c>
      <c r="E589" s="503"/>
      <c r="F589" s="503">
        <v>163633</v>
      </c>
      <c r="G589" s="334"/>
      <c r="H589" s="179"/>
      <c r="I589" s="179"/>
      <c r="J589" s="148"/>
      <c r="K589" s="148"/>
      <c r="L589" s="148"/>
      <c r="M589" s="148"/>
      <c r="N589" s="148"/>
      <c r="O589" s="148"/>
      <c r="P589" s="148"/>
      <c r="Q589" s="148">
        <f t="shared" si="40"/>
        <v>0</v>
      </c>
      <c r="R589" s="598"/>
    </row>
    <row r="590" spans="1:18" ht="38.25" hidden="1" customHeight="1" x14ac:dyDescent="0.2">
      <c r="A590" s="174"/>
      <c r="B590" s="174"/>
      <c r="C590" s="526" t="s">
        <v>851</v>
      </c>
      <c r="D590" s="763" t="s">
        <v>1238</v>
      </c>
      <c r="E590" s="503"/>
      <c r="F590" s="503">
        <v>163637</v>
      </c>
      <c r="G590" s="334"/>
      <c r="H590" s="179"/>
      <c r="I590" s="179"/>
      <c r="J590" s="148"/>
      <c r="K590" s="148"/>
      <c r="L590" s="148"/>
      <c r="M590" s="148"/>
      <c r="N590" s="148"/>
      <c r="O590" s="148"/>
      <c r="P590" s="148"/>
      <c r="Q590" s="148">
        <f t="shared" si="40"/>
        <v>0</v>
      </c>
      <c r="R590" s="598"/>
    </row>
    <row r="591" spans="1:18" ht="30.75" hidden="1" customHeight="1" x14ac:dyDescent="0.2">
      <c r="A591" s="174"/>
      <c r="B591" s="174"/>
      <c r="C591" s="526" t="s">
        <v>853</v>
      </c>
      <c r="D591" s="737" t="s">
        <v>50</v>
      </c>
      <c r="E591" s="503"/>
      <c r="F591" s="503">
        <v>163638</v>
      </c>
      <c r="G591" s="334"/>
      <c r="H591" s="179"/>
      <c r="I591" s="179"/>
      <c r="J591" s="148"/>
      <c r="K591" s="148"/>
      <c r="L591" s="148"/>
      <c r="M591" s="148"/>
      <c r="N591" s="148"/>
      <c r="O591" s="148"/>
      <c r="P591" s="148"/>
      <c r="Q591" s="148">
        <f t="shared" si="40"/>
        <v>0</v>
      </c>
      <c r="R591" s="598"/>
    </row>
    <row r="592" spans="1:18" ht="30" customHeight="1" x14ac:dyDescent="0.2">
      <c r="A592" s="174"/>
      <c r="B592" s="174"/>
      <c r="C592" s="526" t="s">
        <v>854</v>
      </c>
      <c r="D592" s="737" t="s">
        <v>51</v>
      </c>
      <c r="E592" s="503" t="s">
        <v>538</v>
      </c>
      <c r="F592" s="503">
        <v>163639</v>
      </c>
      <c r="G592" s="334"/>
      <c r="H592" s="179"/>
      <c r="I592" s="179">
        <v>-2676</v>
      </c>
      <c r="J592" s="148"/>
      <c r="K592" s="148"/>
      <c r="L592" s="148"/>
      <c r="M592" s="148">
        <v>2858</v>
      </c>
      <c r="N592" s="148"/>
      <c r="O592" s="148"/>
      <c r="P592" s="148"/>
      <c r="Q592" s="148">
        <f t="shared" si="40"/>
        <v>182</v>
      </c>
      <c r="R592" s="598" t="s">
        <v>1366</v>
      </c>
    </row>
    <row r="593" spans="1:18" ht="29.25" hidden="1" customHeight="1" x14ac:dyDescent="0.2">
      <c r="A593" s="174"/>
      <c r="B593" s="174"/>
      <c r="C593" s="526" t="s">
        <v>855</v>
      </c>
      <c r="D593" s="737" t="s">
        <v>52</v>
      </c>
      <c r="E593" s="503"/>
      <c r="F593" s="503">
        <v>163640</v>
      </c>
      <c r="G593" s="334"/>
      <c r="H593" s="179"/>
      <c r="I593" s="179"/>
      <c r="J593" s="148"/>
      <c r="K593" s="148"/>
      <c r="L593" s="148"/>
      <c r="M593" s="148"/>
      <c r="N593" s="148"/>
      <c r="O593" s="148"/>
      <c r="P593" s="148"/>
      <c r="Q593" s="148">
        <f t="shared" si="40"/>
        <v>0</v>
      </c>
      <c r="R593" s="598"/>
    </row>
    <row r="594" spans="1:18" ht="32.25" customHeight="1" x14ac:dyDescent="0.2">
      <c r="A594" s="174"/>
      <c r="B594" s="174"/>
      <c r="C594" s="526" t="s">
        <v>856</v>
      </c>
      <c r="D594" s="737" t="s">
        <v>858</v>
      </c>
      <c r="E594" s="503"/>
      <c r="F594" s="503">
        <v>163646</v>
      </c>
      <c r="G594" s="334"/>
      <c r="H594" s="179"/>
      <c r="I594" s="179"/>
      <c r="J594" s="148"/>
      <c r="K594" s="148"/>
      <c r="L594" s="148">
        <v>-13</v>
      </c>
      <c r="M594" s="148"/>
      <c r="N594" s="148">
        <v>13</v>
      </c>
      <c r="O594" s="148"/>
      <c r="P594" s="148"/>
      <c r="Q594" s="148">
        <f t="shared" si="40"/>
        <v>0</v>
      </c>
      <c r="R594" s="598" t="s">
        <v>1366</v>
      </c>
    </row>
    <row r="595" spans="1:18" ht="30.75" customHeight="1" x14ac:dyDescent="0.2">
      <c r="A595" s="174"/>
      <c r="B595" s="174"/>
      <c r="C595" s="526" t="s">
        <v>857</v>
      </c>
      <c r="D595" s="725" t="s">
        <v>1239</v>
      </c>
      <c r="E595" s="503"/>
      <c r="F595" s="503">
        <v>163648</v>
      </c>
      <c r="G595" s="334">
        <v>50</v>
      </c>
      <c r="H595" s="179">
        <v>-1</v>
      </c>
      <c r="I595" s="179">
        <v>-3</v>
      </c>
      <c r="J595" s="148"/>
      <c r="K595" s="148"/>
      <c r="L595" s="148">
        <v>-50</v>
      </c>
      <c r="M595" s="148"/>
      <c r="N595" s="148">
        <v>4</v>
      </c>
      <c r="O595" s="148"/>
      <c r="P595" s="148"/>
      <c r="Q595" s="148">
        <f t="shared" si="40"/>
        <v>0</v>
      </c>
      <c r="R595" s="598" t="s">
        <v>1282</v>
      </c>
    </row>
    <row r="596" spans="1:18" ht="21" hidden="1" customHeight="1" x14ac:dyDescent="0.2">
      <c r="A596" s="174"/>
      <c r="B596" s="174"/>
      <c r="C596" s="525" t="s">
        <v>859</v>
      </c>
      <c r="D596" s="335" t="s">
        <v>860</v>
      </c>
      <c r="E596" s="207"/>
      <c r="F596" s="207">
        <v>162630</v>
      </c>
      <c r="G596" s="334"/>
      <c r="H596" s="179"/>
      <c r="I596" s="179"/>
      <c r="J596" s="148"/>
      <c r="K596" s="148"/>
      <c r="L596" s="148"/>
      <c r="M596" s="148"/>
      <c r="N596" s="148"/>
      <c r="O596" s="148"/>
      <c r="P596" s="148"/>
      <c r="Q596" s="148">
        <f t="shared" si="40"/>
        <v>0</v>
      </c>
      <c r="R596" s="598"/>
    </row>
    <row r="597" spans="1:18" ht="16.5" hidden="1" customHeight="1" x14ac:dyDescent="0.2">
      <c r="A597" s="174"/>
      <c r="B597" s="174"/>
      <c r="C597" s="524"/>
      <c r="D597" s="765" t="s">
        <v>1241</v>
      </c>
      <c r="E597" s="207"/>
      <c r="F597" s="207"/>
      <c r="G597" s="334"/>
      <c r="H597" s="179"/>
      <c r="I597" s="179"/>
      <c r="J597" s="148"/>
      <c r="K597" s="148"/>
      <c r="L597" s="148"/>
      <c r="M597" s="148"/>
      <c r="N597" s="148"/>
      <c r="O597" s="148"/>
      <c r="P597" s="148"/>
      <c r="Q597" s="148"/>
      <c r="R597" s="598"/>
    </row>
    <row r="598" spans="1:18" ht="16.5" customHeight="1" x14ac:dyDescent="0.2">
      <c r="A598" s="174"/>
      <c r="B598" s="174"/>
      <c r="C598" s="525" t="s">
        <v>861</v>
      </c>
      <c r="D598" s="529" t="s">
        <v>862</v>
      </c>
      <c r="E598" s="313"/>
      <c r="F598" s="207"/>
      <c r="G598" s="334"/>
      <c r="H598" s="179"/>
      <c r="I598" s="179"/>
      <c r="J598" s="148"/>
      <c r="K598" s="148"/>
      <c r="L598" s="148"/>
      <c r="M598" s="148"/>
      <c r="N598" s="148"/>
      <c r="O598" s="148"/>
      <c r="P598" s="148"/>
      <c r="Q598" s="148"/>
      <c r="R598" s="598"/>
    </row>
    <row r="599" spans="1:18" ht="34.5" customHeight="1" x14ac:dyDescent="0.2">
      <c r="A599" s="174"/>
      <c r="B599" s="174"/>
      <c r="C599" s="524" t="s">
        <v>863</v>
      </c>
      <c r="D599" s="147" t="s">
        <v>864</v>
      </c>
      <c r="E599" s="313"/>
      <c r="F599" s="207">
        <v>163621</v>
      </c>
      <c r="G599" s="334"/>
      <c r="H599" s="179"/>
      <c r="I599" s="179">
        <v>112232</v>
      </c>
      <c r="J599" s="148"/>
      <c r="K599" s="148"/>
      <c r="L599" s="148">
        <v>2351</v>
      </c>
      <c r="M599" s="148">
        <v>-112232</v>
      </c>
      <c r="N599" s="148"/>
      <c r="O599" s="148"/>
      <c r="P599" s="148"/>
      <c r="Q599" s="148">
        <f t="shared" ref="Q599:Q604" si="41">SUM(G599:P599)</f>
        <v>2351</v>
      </c>
      <c r="R599" s="598" t="s">
        <v>1366</v>
      </c>
    </row>
    <row r="600" spans="1:18" ht="16.5" customHeight="1" x14ac:dyDescent="0.2">
      <c r="A600" s="174"/>
      <c r="B600" s="174"/>
      <c r="C600" s="524" t="s">
        <v>865</v>
      </c>
      <c r="D600" s="288" t="s">
        <v>866</v>
      </c>
      <c r="E600" s="313"/>
      <c r="F600" s="207">
        <v>162687</v>
      </c>
      <c r="G600" s="334"/>
      <c r="H600" s="179"/>
      <c r="I600" s="179"/>
      <c r="J600" s="148"/>
      <c r="K600" s="148"/>
      <c r="L600" s="148">
        <v>4805</v>
      </c>
      <c r="M600" s="148"/>
      <c r="N600" s="148"/>
      <c r="O600" s="148"/>
      <c r="P600" s="148"/>
      <c r="Q600" s="148">
        <f t="shared" si="41"/>
        <v>4805</v>
      </c>
      <c r="R600" s="598" t="s">
        <v>1366</v>
      </c>
    </row>
    <row r="601" spans="1:18" ht="27.75" customHeight="1" x14ac:dyDescent="0.2">
      <c r="A601" s="174"/>
      <c r="B601" s="174"/>
      <c r="C601" s="524" t="s">
        <v>867</v>
      </c>
      <c r="D601" s="147" t="s">
        <v>868</v>
      </c>
      <c r="E601" s="313"/>
      <c r="F601" s="207">
        <v>163702</v>
      </c>
      <c r="G601" s="334"/>
      <c r="H601" s="179"/>
      <c r="I601" s="179"/>
      <c r="J601" s="148"/>
      <c r="K601" s="148"/>
      <c r="L601" s="148">
        <v>1119</v>
      </c>
      <c r="M601" s="148"/>
      <c r="N601" s="148"/>
      <c r="O601" s="148"/>
      <c r="P601" s="148"/>
      <c r="Q601" s="148">
        <f t="shared" si="41"/>
        <v>1119</v>
      </c>
      <c r="R601" s="598" t="s">
        <v>1365</v>
      </c>
    </row>
    <row r="602" spans="1:18" ht="27.75" hidden="1" customHeight="1" x14ac:dyDescent="0.2">
      <c r="A602" s="174"/>
      <c r="B602" s="174"/>
      <c r="C602" s="524" t="s">
        <v>869</v>
      </c>
      <c r="D602" s="147" t="s">
        <v>871</v>
      </c>
      <c r="E602" s="512"/>
      <c r="F602" s="207">
        <v>163641</v>
      </c>
      <c r="G602" s="334"/>
      <c r="H602" s="179"/>
      <c r="I602" s="179"/>
      <c r="J602" s="148"/>
      <c r="K602" s="148"/>
      <c r="L602" s="148"/>
      <c r="M602" s="148"/>
      <c r="N602" s="148"/>
      <c r="O602" s="148"/>
      <c r="P602" s="148"/>
      <c r="Q602" s="148">
        <f t="shared" si="41"/>
        <v>0</v>
      </c>
      <c r="R602" s="598"/>
    </row>
    <row r="603" spans="1:18" ht="27.75" hidden="1" customHeight="1" x14ac:dyDescent="0.2">
      <c r="A603" s="174"/>
      <c r="B603" s="174"/>
      <c r="C603" s="524" t="s">
        <v>870</v>
      </c>
      <c r="D603" s="528" t="s">
        <v>873</v>
      </c>
      <c r="E603" s="512"/>
      <c r="F603" s="207">
        <v>163644</v>
      </c>
      <c r="G603" s="334"/>
      <c r="H603" s="179"/>
      <c r="I603" s="179"/>
      <c r="J603" s="148"/>
      <c r="K603" s="148"/>
      <c r="L603" s="148"/>
      <c r="M603" s="148"/>
      <c r="N603" s="148"/>
      <c r="O603" s="148"/>
      <c r="P603" s="148"/>
      <c r="Q603" s="148">
        <f t="shared" si="41"/>
        <v>0</v>
      </c>
      <c r="R603" s="598"/>
    </row>
    <row r="604" spans="1:18" ht="27.75" hidden="1" customHeight="1" x14ac:dyDescent="0.2">
      <c r="A604" s="174"/>
      <c r="B604" s="174"/>
      <c r="C604" s="526" t="s">
        <v>872</v>
      </c>
      <c r="D604" s="737" t="s">
        <v>1242</v>
      </c>
      <c r="E604" s="503"/>
      <c r="F604" s="503">
        <v>163650</v>
      </c>
      <c r="G604" s="766"/>
      <c r="H604" s="179"/>
      <c r="I604" s="179"/>
      <c r="J604" s="148"/>
      <c r="K604" s="148"/>
      <c r="L604" s="148"/>
      <c r="M604" s="148"/>
      <c r="N604" s="148"/>
      <c r="O604" s="148"/>
      <c r="P604" s="148"/>
      <c r="Q604" s="148">
        <f t="shared" si="41"/>
        <v>0</v>
      </c>
      <c r="R604" s="303"/>
    </row>
    <row r="605" spans="1:18" ht="20.25" customHeight="1" x14ac:dyDescent="0.2">
      <c r="A605" s="174"/>
      <c r="B605" s="174"/>
      <c r="C605" s="525" t="s">
        <v>874</v>
      </c>
      <c r="D605" s="530" t="s">
        <v>875</v>
      </c>
      <c r="E605" s="313"/>
      <c r="F605" s="207"/>
      <c r="G605" s="334"/>
      <c r="H605" s="179"/>
      <c r="I605" s="179"/>
      <c r="J605" s="148"/>
      <c r="K605" s="148"/>
      <c r="L605" s="148"/>
      <c r="M605" s="148"/>
      <c r="N605" s="148"/>
      <c r="O605" s="148"/>
      <c r="P605" s="148"/>
      <c r="Q605" s="148"/>
      <c r="R605" s="598"/>
    </row>
    <row r="606" spans="1:18" ht="24.75" customHeight="1" x14ac:dyDescent="0.2">
      <c r="A606" s="174"/>
      <c r="B606" s="174"/>
      <c r="C606" s="933" t="s">
        <v>1397</v>
      </c>
      <c r="D606" s="934" t="s">
        <v>1398</v>
      </c>
      <c r="E606" s="587"/>
      <c r="F606" s="778">
        <v>163654</v>
      </c>
      <c r="G606" s="755">
        <v>9500</v>
      </c>
      <c r="H606" s="179">
        <v>1500</v>
      </c>
      <c r="I606" s="179">
        <v>442358</v>
      </c>
      <c r="J606" s="148"/>
      <c r="K606" s="148"/>
      <c r="L606" s="148">
        <v>8238807</v>
      </c>
      <c r="M606" s="148"/>
      <c r="N606" s="148"/>
      <c r="O606" s="148"/>
      <c r="P606" s="148"/>
      <c r="Q606" s="148">
        <f>SUM(G606:P606)</f>
        <v>8692165</v>
      </c>
      <c r="R606" s="303" t="s">
        <v>1365</v>
      </c>
    </row>
    <row r="607" spans="1:18" ht="20.25" customHeight="1" x14ac:dyDescent="0.2">
      <c r="A607" s="915"/>
      <c r="B607" s="915"/>
      <c r="C607" s="933" t="s">
        <v>1399</v>
      </c>
      <c r="D607" s="934" t="s">
        <v>1400</v>
      </c>
      <c r="E607" s="587"/>
      <c r="F607" s="778">
        <v>163655</v>
      </c>
      <c r="G607" s="755"/>
      <c r="H607" s="179"/>
      <c r="I607" s="179"/>
      <c r="J607" s="148"/>
      <c r="K607" s="148"/>
      <c r="L607" s="148">
        <v>60000</v>
      </c>
      <c r="M607" s="148"/>
      <c r="N607" s="148"/>
      <c r="O607" s="148"/>
      <c r="P607" s="148"/>
      <c r="Q607" s="148">
        <f>SUM(G607:P607)</f>
        <v>60000</v>
      </c>
      <c r="R607" s="303" t="s">
        <v>1365</v>
      </c>
    </row>
    <row r="608" spans="1:18" ht="18.75" hidden="1" customHeight="1" x14ac:dyDescent="0.2">
      <c r="A608" s="174"/>
      <c r="B608" s="174"/>
      <c r="C608" s="525"/>
      <c r="D608" s="277" t="s">
        <v>1145</v>
      </c>
      <c r="E608" s="313"/>
      <c r="F608" s="207"/>
      <c r="G608" s="334"/>
      <c r="H608" s="179"/>
      <c r="I608" s="179"/>
      <c r="J608" s="148"/>
      <c r="K608" s="148"/>
      <c r="L608" s="148"/>
      <c r="M608" s="148"/>
      <c r="N608" s="148"/>
      <c r="O608" s="148"/>
      <c r="P608" s="148"/>
      <c r="Q608" s="148"/>
      <c r="R608" s="598"/>
    </row>
    <row r="609" spans="1:18" ht="27.75" hidden="1" customHeight="1" x14ac:dyDescent="0.2">
      <c r="A609" s="174"/>
      <c r="B609" s="174"/>
      <c r="C609" s="526" t="s">
        <v>876</v>
      </c>
      <c r="D609" s="763" t="s">
        <v>0</v>
      </c>
      <c r="E609" s="503"/>
      <c r="F609" s="503">
        <v>163643</v>
      </c>
      <c r="G609" s="334"/>
      <c r="H609" s="179"/>
      <c r="I609" s="179"/>
      <c r="J609" s="148"/>
      <c r="K609" s="148"/>
      <c r="L609" s="148"/>
      <c r="M609" s="148"/>
      <c r="N609" s="148"/>
      <c r="O609" s="148"/>
      <c r="P609" s="148"/>
      <c r="Q609" s="148">
        <f t="shared" ref="Q609:Q619" si="42">SUM(G609:P609)</f>
        <v>0</v>
      </c>
      <c r="R609" s="598"/>
    </row>
    <row r="610" spans="1:18" ht="39.75" hidden="1" customHeight="1" x14ac:dyDescent="0.2">
      <c r="A610" s="174"/>
      <c r="B610" s="174"/>
      <c r="C610" s="526" t="s">
        <v>877</v>
      </c>
      <c r="D610" s="763" t="s">
        <v>878</v>
      </c>
      <c r="E610" s="503"/>
      <c r="F610" s="503">
        <v>163645</v>
      </c>
      <c r="G610" s="334"/>
      <c r="H610" s="179"/>
      <c r="I610" s="179"/>
      <c r="J610" s="148"/>
      <c r="K610" s="148"/>
      <c r="L610" s="148"/>
      <c r="M610" s="148"/>
      <c r="N610" s="148"/>
      <c r="O610" s="148"/>
      <c r="P610" s="148"/>
      <c r="Q610" s="148">
        <f t="shared" si="42"/>
        <v>0</v>
      </c>
      <c r="R610" s="598"/>
    </row>
    <row r="611" spans="1:18" ht="15.75" hidden="1" customHeight="1" x14ac:dyDescent="0.2">
      <c r="A611" s="174"/>
      <c r="B611" s="174"/>
      <c r="C611" s="526" t="s">
        <v>879</v>
      </c>
      <c r="D611" s="763" t="s">
        <v>218</v>
      </c>
      <c r="E611" s="503"/>
      <c r="F611" s="503">
        <v>162607</v>
      </c>
      <c r="G611" s="334"/>
      <c r="H611" s="179"/>
      <c r="I611" s="179"/>
      <c r="J611" s="148"/>
      <c r="K611" s="148"/>
      <c r="L611" s="148"/>
      <c r="M611" s="148"/>
      <c r="N611" s="148"/>
      <c r="O611" s="148"/>
      <c r="P611" s="148"/>
      <c r="Q611" s="148">
        <f t="shared" si="42"/>
        <v>0</v>
      </c>
      <c r="R611" s="598"/>
    </row>
    <row r="612" spans="1:18" ht="26.25" hidden="1" customHeight="1" x14ac:dyDescent="0.2">
      <c r="A612" s="174"/>
      <c r="B612" s="174"/>
      <c r="C612" s="526" t="s">
        <v>880</v>
      </c>
      <c r="D612" s="725" t="s">
        <v>825</v>
      </c>
      <c r="E612" s="708"/>
      <c r="F612" s="503">
        <v>182906</v>
      </c>
      <c r="G612" s="334"/>
      <c r="H612" s="179"/>
      <c r="I612" s="179"/>
      <c r="J612" s="148"/>
      <c r="K612" s="148"/>
      <c r="L612" s="148"/>
      <c r="M612" s="148"/>
      <c r="N612" s="148"/>
      <c r="O612" s="148"/>
      <c r="P612" s="148"/>
      <c r="Q612" s="148">
        <f t="shared" si="42"/>
        <v>0</v>
      </c>
      <c r="R612" s="598"/>
    </row>
    <row r="613" spans="1:18" ht="26.25" hidden="1" customHeight="1" x14ac:dyDescent="0.2">
      <c r="A613" s="174"/>
      <c r="B613" s="174"/>
      <c r="C613" s="526" t="s">
        <v>1243</v>
      </c>
      <c r="D613" s="763" t="s">
        <v>886</v>
      </c>
      <c r="E613" s="503"/>
      <c r="F613" s="503">
        <v>162640</v>
      </c>
      <c r="G613" s="766"/>
      <c r="H613" s="179"/>
      <c r="I613" s="179"/>
      <c r="J613" s="148"/>
      <c r="K613" s="148"/>
      <c r="L613" s="148"/>
      <c r="M613" s="148"/>
      <c r="N613" s="148"/>
      <c r="O613" s="148"/>
      <c r="P613" s="148"/>
      <c r="Q613" s="148">
        <f t="shared" si="42"/>
        <v>0</v>
      </c>
      <c r="R613" s="303"/>
    </row>
    <row r="614" spans="1:18" ht="17.25" hidden="1" customHeight="1" x14ac:dyDescent="0.2">
      <c r="A614" s="174"/>
      <c r="B614" s="174"/>
      <c r="C614" s="526" t="s">
        <v>1244</v>
      </c>
      <c r="D614" s="725" t="s">
        <v>1245</v>
      </c>
      <c r="E614" s="503"/>
      <c r="F614" s="503">
        <v>163651</v>
      </c>
      <c r="G614" s="766"/>
      <c r="H614" s="179"/>
      <c r="I614" s="179"/>
      <c r="J614" s="148"/>
      <c r="K614" s="148"/>
      <c r="L614" s="148"/>
      <c r="M614" s="148"/>
      <c r="N614" s="148"/>
      <c r="O614" s="148"/>
      <c r="P614" s="148"/>
      <c r="Q614" s="148">
        <f t="shared" si="42"/>
        <v>0</v>
      </c>
      <c r="R614" s="303"/>
    </row>
    <row r="615" spans="1:18" ht="18.75" customHeight="1" x14ac:dyDescent="0.2">
      <c r="A615" s="174"/>
      <c r="B615" s="174"/>
      <c r="C615" s="527" t="s">
        <v>881</v>
      </c>
      <c r="D615" s="530" t="s">
        <v>882</v>
      </c>
      <c r="E615" s="313"/>
      <c r="F615" s="207"/>
      <c r="G615" s="334"/>
      <c r="H615" s="179"/>
      <c r="I615" s="179"/>
      <c r="J615" s="148"/>
      <c r="K615" s="148"/>
      <c r="L615" s="148"/>
      <c r="M615" s="148"/>
      <c r="N615" s="148"/>
      <c r="O615" s="148"/>
      <c r="P615" s="148"/>
      <c r="Q615" s="148"/>
      <c r="R615" s="598"/>
    </row>
    <row r="616" spans="1:18" ht="18.75" hidden="1" customHeight="1" x14ac:dyDescent="0.2">
      <c r="A616" s="174"/>
      <c r="B616" s="174"/>
      <c r="C616" s="726" t="s">
        <v>883</v>
      </c>
      <c r="D616" s="739" t="s">
        <v>1246</v>
      </c>
      <c r="E616" s="503"/>
      <c r="F616" s="148">
        <v>162612</v>
      </c>
      <c r="G616" s="334"/>
      <c r="H616" s="179"/>
      <c r="I616" s="179"/>
      <c r="J616" s="148"/>
      <c r="K616" s="148"/>
      <c r="L616" s="148"/>
      <c r="M616" s="148"/>
      <c r="N616" s="148"/>
      <c r="O616" s="148"/>
      <c r="P616" s="148"/>
      <c r="Q616" s="148">
        <f t="shared" si="42"/>
        <v>0</v>
      </c>
      <c r="R616" s="598"/>
    </row>
    <row r="617" spans="1:18" ht="15.75" hidden="1" customHeight="1" x14ac:dyDescent="0.2">
      <c r="A617" s="174"/>
      <c r="B617" s="174"/>
      <c r="C617" s="726" t="s">
        <v>884</v>
      </c>
      <c r="D617" s="739" t="s">
        <v>1247</v>
      </c>
      <c r="E617" s="503"/>
      <c r="F617" s="148">
        <v>162613</v>
      </c>
      <c r="G617" s="334"/>
      <c r="H617" s="179"/>
      <c r="I617" s="179"/>
      <c r="J617" s="148"/>
      <c r="K617" s="148"/>
      <c r="L617" s="148"/>
      <c r="M617" s="148"/>
      <c r="N617" s="148"/>
      <c r="O617" s="148"/>
      <c r="P617" s="148"/>
      <c r="Q617" s="148">
        <f t="shared" si="42"/>
        <v>0</v>
      </c>
      <c r="R617" s="598"/>
    </row>
    <row r="618" spans="1:18" ht="17.25" customHeight="1" x14ac:dyDescent="0.2">
      <c r="A618" s="174"/>
      <c r="B618" s="174"/>
      <c r="C618" s="726" t="s">
        <v>1248</v>
      </c>
      <c r="D618" s="725" t="s">
        <v>887</v>
      </c>
      <c r="E618" s="503"/>
      <c r="F618" s="503">
        <v>162633</v>
      </c>
      <c r="G618" s="334"/>
      <c r="H618" s="179"/>
      <c r="I618" s="179"/>
      <c r="J618" s="148"/>
      <c r="K618" s="148"/>
      <c r="L618" s="148">
        <v>-381</v>
      </c>
      <c r="M618" s="148"/>
      <c r="N618" s="148"/>
      <c r="O618" s="148"/>
      <c r="P618" s="148"/>
      <c r="Q618" s="148">
        <f t="shared" si="42"/>
        <v>-381</v>
      </c>
      <c r="R618" s="598" t="s">
        <v>1366</v>
      </c>
    </row>
    <row r="619" spans="1:18" ht="24.75" customHeight="1" x14ac:dyDescent="0.2">
      <c r="A619" s="174"/>
      <c r="B619" s="174"/>
      <c r="C619" s="726" t="s">
        <v>1249</v>
      </c>
      <c r="D619" s="725" t="s">
        <v>888</v>
      </c>
      <c r="E619" s="503"/>
      <c r="F619" s="503">
        <v>163631</v>
      </c>
      <c r="G619" s="334"/>
      <c r="H619" s="179"/>
      <c r="I619" s="179">
        <v>15000</v>
      </c>
      <c r="J619" s="148"/>
      <c r="K619" s="148"/>
      <c r="L619" s="148">
        <v>-22914</v>
      </c>
      <c r="M619" s="148"/>
      <c r="N619" s="148"/>
      <c r="O619" s="148"/>
      <c r="P619" s="148"/>
      <c r="Q619" s="148">
        <f t="shared" si="42"/>
        <v>-7914</v>
      </c>
      <c r="R619" s="598" t="s">
        <v>1282</v>
      </c>
    </row>
    <row r="620" spans="1:18" ht="16.5" hidden="1" customHeight="1" x14ac:dyDescent="0.2">
      <c r="A620" s="174"/>
      <c r="B620" s="174"/>
      <c r="C620" s="726" t="s">
        <v>1250</v>
      </c>
      <c r="D620" s="725" t="s">
        <v>885</v>
      </c>
      <c r="E620" s="503"/>
      <c r="F620" s="503">
        <v>162638</v>
      </c>
      <c r="G620" s="334"/>
      <c r="H620" s="179"/>
      <c r="I620" s="179"/>
      <c r="J620" s="148"/>
      <c r="K620" s="148"/>
      <c r="L620" s="148"/>
      <c r="M620" s="148"/>
      <c r="N620" s="148"/>
      <c r="O620" s="148"/>
      <c r="P620" s="148"/>
      <c r="Q620" s="148">
        <f t="shared" ref="Q620:Q622" si="43">SUM(G620:P620)</f>
        <v>0</v>
      </c>
      <c r="R620" s="598"/>
    </row>
    <row r="621" spans="1:18" ht="24.75" hidden="1" customHeight="1" x14ac:dyDescent="0.2">
      <c r="A621" s="174"/>
      <c r="B621" s="174"/>
      <c r="C621" s="726" t="s">
        <v>1251</v>
      </c>
      <c r="D621" s="725" t="s">
        <v>1252</v>
      </c>
      <c r="E621" s="503"/>
      <c r="F621" s="503">
        <v>163647</v>
      </c>
      <c r="G621" s="334"/>
      <c r="H621" s="179"/>
      <c r="I621" s="179"/>
      <c r="J621" s="148"/>
      <c r="K621" s="148"/>
      <c r="L621" s="148"/>
      <c r="M621" s="148"/>
      <c r="N621" s="148"/>
      <c r="O621" s="148"/>
      <c r="P621" s="148"/>
      <c r="Q621" s="148">
        <f t="shared" si="43"/>
        <v>0</v>
      </c>
      <c r="R621" s="598"/>
    </row>
    <row r="622" spans="1:18" ht="16.5" hidden="1" customHeight="1" x14ac:dyDescent="0.2">
      <c r="A622" s="174"/>
      <c r="B622" s="174"/>
      <c r="C622" s="726" t="s">
        <v>1253</v>
      </c>
      <c r="D622" s="767" t="s">
        <v>1254</v>
      </c>
      <c r="E622" s="348"/>
      <c r="F622" s="503">
        <v>162695</v>
      </c>
      <c r="G622" s="334"/>
      <c r="H622" s="179"/>
      <c r="I622" s="179"/>
      <c r="J622" s="148"/>
      <c r="K622" s="148"/>
      <c r="L622" s="148"/>
      <c r="M622" s="148"/>
      <c r="N622" s="148"/>
      <c r="O622" s="148"/>
      <c r="P622" s="148"/>
      <c r="Q622" s="148">
        <f t="shared" si="43"/>
        <v>0</v>
      </c>
      <c r="R622" s="598"/>
    </row>
    <row r="623" spans="1:18" ht="14.1" customHeight="1" x14ac:dyDescent="0.2">
      <c r="A623" s="325"/>
      <c r="B623" s="325"/>
      <c r="C623" s="326"/>
      <c r="D623" s="337" t="s">
        <v>889</v>
      </c>
      <c r="E623" s="338"/>
      <c r="F623" s="279"/>
      <c r="G623" s="280">
        <f t="shared" ref="G623:Q623" si="44">SUM(G491:G622)</f>
        <v>9550</v>
      </c>
      <c r="H623" s="280">
        <f t="shared" si="44"/>
        <v>1551</v>
      </c>
      <c r="I623" s="280">
        <f t="shared" si="44"/>
        <v>565422</v>
      </c>
      <c r="J623" s="280">
        <f t="shared" si="44"/>
        <v>0</v>
      </c>
      <c r="K623" s="280">
        <f t="shared" si="44"/>
        <v>0</v>
      </c>
      <c r="L623" s="280">
        <f t="shared" si="44"/>
        <v>8116648</v>
      </c>
      <c r="M623" s="280">
        <f t="shared" si="44"/>
        <v>-72515</v>
      </c>
      <c r="N623" s="280">
        <f t="shared" si="44"/>
        <v>17</v>
      </c>
      <c r="O623" s="280">
        <f t="shared" si="44"/>
        <v>0</v>
      </c>
      <c r="P623" s="280">
        <f t="shared" si="44"/>
        <v>0</v>
      </c>
      <c r="Q623" s="280">
        <f t="shared" si="44"/>
        <v>8620673</v>
      </c>
      <c r="R623" s="599"/>
    </row>
    <row r="624" spans="1:18" ht="15" customHeight="1" x14ac:dyDescent="0.2">
      <c r="A624" s="174">
        <v>1</v>
      </c>
      <c r="B624" s="174">
        <v>17</v>
      </c>
      <c r="C624" s="194"/>
      <c r="D624" s="276" t="s">
        <v>890</v>
      </c>
      <c r="E624" s="207"/>
      <c r="F624" s="148"/>
      <c r="G624" s="148"/>
      <c r="H624" s="179"/>
      <c r="I624" s="179"/>
      <c r="J624" s="179"/>
      <c r="K624" s="179"/>
      <c r="L624" s="179"/>
      <c r="M624" s="148"/>
      <c r="N624" s="148"/>
      <c r="O624" s="148"/>
      <c r="P624" s="148"/>
      <c r="Q624" s="148"/>
      <c r="R624" s="598"/>
    </row>
    <row r="625" spans="1:18" ht="15" customHeight="1" x14ac:dyDescent="0.2">
      <c r="A625" s="174"/>
      <c r="B625" s="174"/>
      <c r="C625" s="194"/>
      <c r="D625" s="154" t="s">
        <v>238</v>
      </c>
      <c r="E625" s="212"/>
      <c r="F625" s="185"/>
      <c r="G625" s="148"/>
      <c r="H625" s="179"/>
      <c r="I625" s="179"/>
      <c r="J625" s="179"/>
      <c r="K625" s="179"/>
      <c r="L625" s="179"/>
      <c r="M625" s="148"/>
      <c r="N625" s="148"/>
      <c r="O625" s="148"/>
      <c r="P625" s="148"/>
      <c r="Q625" s="148"/>
      <c r="R625" s="598"/>
    </row>
    <row r="626" spans="1:18" ht="15" customHeight="1" x14ac:dyDescent="0.2">
      <c r="A626" s="174"/>
      <c r="B626" s="174"/>
      <c r="C626" s="194"/>
      <c r="D626" s="277" t="s">
        <v>891</v>
      </c>
      <c r="E626" s="148">
        <v>1</v>
      </c>
      <c r="F626" s="148">
        <v>171905</v>
      </c>
      <c r="G626" s="148"/>
      <c r="H626" s="179"/>
      <c r="I626" s="148">
        <v>-1548</v>
      </c>
      <c r="J626" s="179"/>
      <c r="K626" s="179"/>
      <c r="L626" s="179"/>
      <c r="M626" s="148">
        <v>1548</v>
      </c>
      <c r="N626" s="148"/>
      <c r="O626" s="148"/>
      <c r="P626" s="148"/>
      <c r="Q626" s="148">
        <f t="shared" ref="Q626:Q634" si="45">SUM(G626:P626)</f>
        <v>0</v>
      </c>
      <c r="R626" s="598" t="s">
        <v>1365</v>
      </c>
    </row>
    <row r="627" spans="1:18" ht="15" hidden="1" customHeight="1" x14ac:dyDescent="0.2">
      <c r="A627" s="174"/>
      <c r="B627" s="174"/>
      <c r="C627" s="194"/>
      <c r="D627" s="277" t="s">
        <v>892</v>
      </c>
      <c r="E627" s="148">
        <v>1</v>
      </c>
      <c r="F627" s="148">
        <v>171903</v>
      </c>
      <c r="G627" s="148"/>
      <c r="H627" s="179"/>
      <c r="I627" s="148"/>
      <c r="J627" s="179"/>
      <c r="K627" s="179"/>
      <c r="L627" s="179"/>
      <c r="M627" s="148"/>
      <c r="N627" s="148"/>
      <c r="O627" s="148"/>
      <c r="P627" s="148"/>
      <c r="Q627" s="148">
        <f t="shared" si="45"/>
        <v>0</v>
      </c>
      <c r="R627" s="598"/>
    </row>
    <row r="628" spans="1:18" ht="15" hidden="1" customHeight="1" x14ac:dyDescent="0.2">
      <c r="A628" s="174"/>
      <c r="B628" s="174"/>
      <c r="C628" s="194"/>
      <c r="D628" s="277" t="s">
        <v>893</v>
      </c>
      <c r="E628" s="185">
        <v>1</v>
      </c>
      <c r="F628" s="148">
        <v>171920</v>
      </c>
      <c r="G628" s="148"/>
      <c r="H628" s="179"/>
      <c r="I628" s="148"/>
      <c r="J628" s="179"/>
      <c r="K628" s="179"/>
      <c r="L628" s="179"/>
      <c r="M628" s="148"/>
      <c r="N628" s="148"/>
      <c r="O628" s="148"/>
      <c r="P628" s="148"/>
      <c r="Q628" s="148">
        <f t="shared" si="45"/>
        <v>0</v>
      </c>
      <c r="R628" s="598"/>
    </row>
    <row r="629" spans="1:18" ht="15" hidden="1" customHeight="1" x14ac:dyDescent="0.2">
      <c r="A629" s="174"/>
      <c r="B629" s="174"/>
      <c r="C629" s="194"/>
      <c r="D629" s="150" t="s">
        <v>894</v>
      </c>
      <c r="E629" s="153">
        <v>1</v>
      </c>
      <c r="F629" s="148">
        <v>171956</v>
      </c>
      <c r="G629" s="148"/>
      <c r="H629" s="179"/>
      <c r="I629" s="148"/>
      <c r="J629" s="179"/>
      <c r="K629" s="179"/>
      <c r="L629" s="179"/>
      <c r="M629" s="148"/>
      <c r="N629" s="148"/>
      <c r="O629" s="148"/>
      <c r="P629" s="148"/>
      <c r="Q629" s="148">
        <f t="shared" si="45"/>
        <v>0</v>
      </c>
      <c r="R629" s="598"/>
    </row>
    <row r="630" spans="1:18" ht="15" hidden="1" customHeight="1" x14ac:dyDescent="0.2">
      <c r="A630" s="174"/>
      <c r="B630" s="174"/>
      <c r="C630" s="194"/>
      <c r="D630" s="150" t="s">
        <v>895</v>
      </c>
      <c r="E630" s="153">
        <v>1</v>
      </c>
      <c r="F630" s="148">
        <v>171958</v>
      </c>
      <c r="G630" s="148"/>
      <c r="H630" s="179"/>
      <c r="I630" s="148"/>
      <c r="J630" s="179"/>
      <c r="K630" s="179"/>
      <c r="L630" s="179"/>
      <c r="M630" s="148"/>
      <c r="N630" s="148"/>
      <c r="O630" s="148"/>
      <c r="P630" s="148"/>
      <c r="Q630" s="148">
        <f t="shared" si="45"/>
        <v>0</v>
      </c>
      <c r="R630" s="598"/>
    </row>
    <row r="631" spans="1:18" ht="15" hidden="1" customHeight="1" x14ac:dyDescent="0.2">
      <c r="A631" s="174"/>
      <c r="B631" s="174"/>
      <c r="C631" s="194"/>
      <c r="D631" s="150" t="s">
        <v>896</v>
      </c>
      <c r="E631" s="153">
        <v>1</v>
      </c>
      <c r="F631" s="148">
        <v>171904</v>
      </c>
      <c r="G631" s="148"/>
      <c r="H631" s="179"/>
      <c r="I631" s="148"/>
      <c r="J631" s="179"/>
      <c r="K631" s="179"/>
      <c r="L631" s="179"/>
      <c r="M631" s="148"/>
      <c r="N631" s="148"/>
      <c r="O631" s="148"/>
      <c r="P631" s="148"/>
      <c r="Q631" s="148">
        <f t="shared" si="45"/>
        <v>0</v>
      </c>
      <c r="R631" s="598"/>
    </row>
    <row r="632" spans="1:18" ht="15" hidden="1" customHeight="1" x14ac:dyDescent="0.2">
      <c r="A632" s="174"/>
      <c r="B632" s="174"/>
      <c r="C632" s="194"/>
      <c r="D632" s="277" t="s">
        <v>897</v>
      </c>
      <c r="E632" s="148">
        <v>1</v>
      </c>
      <c r="F632" s="148">
        <v>171902</v>
      </c>
      <c r="G632" s="148"/>
      <c r="H632" s="179"/>
      <c r="I632" s="148"/>
      <c r="J632" s="179"/>
      <c r="K632" s="179"/>
      <c r="L632" s="179"/>
      <c r="M632" s="148"/>
      <c r="N632" s="148"/>
      <c r="O632" s="148"/>
      <c r="P632" s="148"/>
      <c r="Q632" s="148">
        <f t="shared" si="45"/>
        <v>0</v>
      </c>
      <c r="R632" s="598"/>
    </row>
    <row r="633" spans="1:18" ht="15" hidden="1" customHeight="1" x14ac:dyDescent="0.2">
      <c r="A633" s="174"/>
      <c r="B633" s="174"/>
      <c r="C633" s="194"/>
      <c r="D633" s="277" t="s">
        <v>898</v>
      </c>
      <c r="E633" s="148">
        <v>1</v>
      </c>
      <c r="F633" s="148">
        <v>171925</v>
      </c>
      <c r="G633" s="148"/>
      <c r="H633" s="179"/>
      <c r="I633" s="148"/>
      <c r="J633" s="179"/>
      <c r="K633" s="179"/>
      <c r="L633" s="179"/>
      <c r="M633" s="148"/>
      <c r="N633" s="148"/>
      <c r="O633" s="148"/>
      <c r="P633" s="148"/>
      <c r="Q633" s="148">
        <f t="shared" si="45"/>
        <v>0</v>
      </c>
      <c r="R633" s="598"/>
    </row>
    <row r="634" spans="1:18" ht="24" hidden="1" customHeight="1" x14ac:dyDescent="0.2">
      <c r="A634" s="174"/>
      <c r="B634" s="174"/>
      <c r="C634" s="726"/>
      <c r="D634" s="768" t="s">
        <v>1255</v>
      </c>
      <c r="E634" s="769">
        <v>1</v>
      </c>
      <c r="F634" s="148">
        <v>171911</v>
      </c>
      <c r="G634" s="148"/>
      <c r="H634" s="179"/>
      <c r="I634" s="148"/>
      <c r="J634" s="179"/>
      <c r="K634" s="179"/>
      <c r="L634" s="179"/>
      <c r="M634" s="148"/>
      <c r="N634" s="148"/>
      <c r="O634" s="148"/>
      <c r="P634" s="148"/>
      <c r="Q634" s="148">
        <f t="shared" si="45"/>
        <v>0</v>
      </c>
      <c r="R634" s="303"/>
    </row>
    <row r="635" spans="1:18" ht="15" hidden="1" customHeight="1" x14ac:dyDescent="0.2">
      <c r="A635" s="174"/>
      <c r="B635" s="174"/>
      <c r="C635" s="174"/>
      <c r="D635" s="157" t="s">
        <v>899</v>
      </c>
      <c r="E635" s="207"/>
      <c r="F635" s="148"/>
      <c r="G635" s="148"/>
      <c r="H635" s="179"/>
      <c r="I635" s="148"/>
      <c r="J635" s="179"/>
      <c r="K635" s="179"/>
      <c r="L635" s="179"/>
      <c r="M635" s="148"/>
      <c r="N635" s="148"/>
      <c r="O635" s="148"/>
      <c r="P635" s="148"/>
      <c r="Q635" s="148"/>
      <c r="R635" s="598"/>
    </row>
    <row r="636" spans="1:18" ht="15" hidden="1" customHeight="1" x14ac:dyDescent="0.2">
      <c r="A636" s="174"/>
      <c r="B636" s="174"/>
      <c r="C636" s="174"/>
      <c r="D636" s="491" t="s">
        <v>900</v>
      </c>
      <c r="E636" s="207">
        <v>1</v>
      </c>
      <c r="F636" s="148">
        <v>171954</v>
      </c>
      <c r="G636" s="148"/>
      <c r="H636" s="179"/>
      <c r="I636" s="148"/>
      <c r="J636" s="179"/>
      <c r="K636" s="179"/>
      <c r="L636" s="179"/>
      <c r="M636" s="148"/>
      <c r="N636" s="148"/>
      <c r="O636" s="148"/>
      <c r="P636" s="148"/>
      <c r="Q636" s="148">
        <f>SUM(G636:P636)</f>
        <v>0</v>
      </c>
      <c r="R636" s="598"/>
    </row>
    <row r="637" spans="1:18" ht="15" customHeight="1" x14ac:dyDescent="0.2">
      <c r="A637" s="200"/>
      <c r="B637" s="200"/>
      <c r="C637" s="201"/>
      <c r="D637" s="159" t="s">
        <v>901</v>
      </c>
      <c r="E637" s="203"/>
      <c r="F637" s="204"/>
      <c r="G637" s="204">
        <f t="shared" ref="G637:Q637" si="46">SUM(G625:G636)</f>
        <v>0</v>
      </c>
      <c r="H637" s="204">
        <f t="shared" si="46"/>
        <v>0</v>
      </c>
      <c r="I637" s="204">
        <f t="shared" si="46"/>
        <v>-1548</v>
      </c>
      <c r="J637" s="204">
        <f t="shared" si="46"/>
        <v>0</v>
      </c>
      <c r="K637" s="204">
        <f t="shared" si="46"/>
        <v>0</v>
      </c>
      <c r="L637" s="204">
        <f t="shared" si="46"/>
        <v>0</v>
      </c>
      <c r="M637" s="204">
        <f t="shared" si="46"/>
        <v>1548</v>
      </c>
      <c r="N637" s="204">
        <f t="shared" si="46"/>
        <v>0</v>
      </c>
      <c r="O637" s="204">
        <f t="shared" si="46"/>
        <v>0</v>
      </c>
      <c r="P637" s="204">
        <f t="shared" si="46"/>
        <v>0</v>
      </c>
      <c r="Q637" s="204">
        <f t="shared" si="46"/>
        <v>0</v>
      </c>
      <c r="R637" s="599"/>
    </row>
    <row r="638" spans="1:18" ht="14.1" customHeight="1" x14ac:dyDescent="0.2">
      <c r="A638" s="206"/>
      <c r="B638" s="206"/>
      <c r="C638" s="259"/>
      <c r="D638" s="281" t="s">
        <v>902</v>
      </c>
      <c r="E638" s="209"/>
      <c r="F638" s="210"/>
      <c r="G638" s="210"/>
      <c r="H638" s="210"/>
      <c r="I638" s="210"/>
      <c r="J638" s="210"/>
      <c r="K638" s="210"/>
      <c r="L638" s="210"/>
      <c r="M638" s="210"/>
      <c r="N638" s="210"/>
      <c r="O638" s="210"/>
      <c r="P638" s="210"/>
      <c r="Q638" s="210"/>
      <c r="R638" s="598"/>
    </row>
    <row r="639" spans="1:18" ht="27.75" hidden="1" customHeight="1" x14ac:dyDescent="0.2">
      <c r="A639" s="206"/>
      <c r="B639" s="206"/>
      <c r="C639" s="726" t="s">
        <v>100</v>
      </c>
      <c r="D639" s="770" t="s">
        <v>903</v>
      </c>
      <c r="E639" s="771"/>
      <c r="F639" s="339">
        <v>171980</v>
      </c>
      <c r="G639" s="210"/>
      <c r="H639" s="210"/>
      <c r="I639" s="210"/>
      <c r="J639" s="210"/>
      <c r="K639" s="210"/>
      <c r="L639" s="148"/>
      <c r="M639" s="148"/>
      <c r="N639" s="148"/>
      <c r="O639" s="148"/>
      <c r="P639" s="148"/>
      <c r="Q639" s="148">
        <f>SUM(G639:P639)</f>
        <v>0</v>
      </c>
      <c r="R639" s="598"/>
    </row>
    <row r="640" spans="1:18" ht="17.25" hidden="1" customHeight="1" x14ac:dyDescent="0.2">
      <c r="A640" s="206"/>
      <c r="B640" s="206"/>
      <c r="C640" s="726" t="s">
        <v>99</v>
      </c>
      <c r="D640" s="725" t="s">
        <v>1256</v>
      </c>
      <c r="E640" s="772"/>
      <c r="F640" s="148">
        <v>172901</v>
      </c>
      <c r="G640" s="198"/>
      <c r="H640" s="198"/>
      <c r="I640" s="387"/>
      <c r="J640" s="387"/>
      <c r="K640" s="387"/>
      <c r="L640" s="387"/>
      <c r="M640" s="198"/>
      <c r="N640" s="198"/>
      <c r="O640" s="198"/>
      <c r="P640" s="198"/>
      <c r="Q640" s="198">
        <f>SUM(G640:P640)</f>
        <v>0</v>
      </c>
      <c r="R640" s="598"/>
    </row>
    <row r="641" spans="1:18" ht="29.25" hidden="1" customHeight="1" x14ac:dyDescent="0.2">
      <c r="A641" s="206"/>
      <c r="B641" s="206"/>
      <c r="C641" s="726" t="s">
        <v>101</v>
      </c>
      <c r="D641" s="725" t="s">
        <v>1257</v>
      </c>
      <c r="E641" s="772"/>
      <c r="F641" s="148">
        <v>172926</v>
      </c>
      <c r="G641" s="198"/>
      <c r="H641" s="198"/>
      <c r="I641" s="198"/>
      <c r="J641" s="198"/>
      <c r="K641" s="198"/>
      <c r="L641" s="198"/>
      <c r="M641" s="198"/>
      <c r="N641" s="198"/>
      <c r="O641" s="198"/>
      <c r="P641" s="198"/>
      <c r="Q641" s="198">
        <f>SUM(G641:P641)</f>
        <v>0</v>
      </c>
      <c r="R641" s="598"/>
    </row>
    <row r="642" spans="1:18" ht="15.95" hidden="1" customHeight="1" x14ac:dyDescent="0.2">
      <c r="A642" s="206"/>
      <c r="B642" s="206"/>
      <c r="C642" s="726"/>
      <c r="D642" s="707" t="s">
        <v>1145</v>
      </c>
      <c r="E642" s="771"/>
      <c r="F642" s="339"/>
      <c r="G642" s="210"/>
      <c r="H642" s="210"/>
      <c r="I642" s="210"/>
      <c r="J642" s="210"/>
      <c r="K642" s="210"/>
      <c r="L642" s="148"/>
      <c r="M642" s="148"/>
      <c r="N642" s="148"/>
      <c r="O642" s="148"/>
      <c r="P642" s="148"/>
      <c r="Q642" s="148"/>
      <c r="R642" s="598"/>
    </row>
    <row r="643" spans="1:18" ht="15" customHeight="1" x14ac:dyDescent="0.2">
      <c r="A643" s="206"/>
      <c r="B643" s="206"/>
      <c r="C643" s="726" t="s">
        <v>382</v>
      </c>
      <c r="D643" s="773" t="s">
        <v>904</v>
      </c>
      <c r="E643" s="774"/>
      <c r="F643" s="148">
        <v>162603</v>
      </c>
      <c r="G643" s="148"/>
      <c r="H643" s="148"/>
      <c r="I643" s="148">
        <v>111</v>
      </c>
      <c r="J643" s="148"/>
      <c r="K643" s="148"/>
      <c r="L643" s="148">
        <v>-111</v>
      </c>
      <c r="M643" s="148"/>
      <c r="N643" s="148"/>
      <c r="O643" s="148"/>
      <c r="P643" s="148"/>
      <c r="Q643" s="148">
        <f>SUM(G643:P643)</f>
        <v>0</v>
      </c>
      <c r="R643" s="598" t="s">
        <v>1365</v>
      </c>
    </row>
    <row r="644" spans="1:18" ht="15.95" hidden="1" customHeight="1" x14ac:dyDescent="0.2">
      <c r="A644" s="206"/>
      <c r="B644" s="206"/>
      <c r="C644" s="726" t="s">
        <v>384</v>
      </c>
      <c r="D644" s="775" t="s">
        <v>905</v>
      </c>
      <c r="E644" s="708"/>
      <c r="F644" s="148">
        <v>172920</v>
      </c>
      <c r="G644" s="148"/>
      <c r="H644" s="148"/>
      <c r="I644" s="148"/>
      <c r="J644" s="148"/>
      <c r="K644" s="148"/>
      <c r="L644" s="148"/>
      <c r="M644" s="148"/>
      <c r="N644" s="148"/>
      <c r="O644" s="148"/>
      <c r="P644" s="148"/>
      <c r="Q644" s="148">
        <f>SUM(G644:P644)</f>
        <v>0</v>
      </c>
      <c r="R644" s="598"/>
    </row>
    <row r="645" spans="1:18" ht="15.95" hidden="1" customHeight="1" x14ac:dyDescent="0.2">
      <c r="A645" s="206"/>
      <c r="B645" s="206"/>
      <c r="C645" s="726" t="s">
        <v>644</v>
      </c>
      <c r="D645" s="737" t="s">
        <v>906</v>
      </c>
      <c r="E645" s="772"/>
      <c r="F645" s="503">
        <v>172923</v>
      </c>
      <c r="G645" s="148"/>
      <c r="H645" s="148"/>
      <c r="I645" s="148"/>
      <c r="J645" s="148"/>
      <c r="K645" s="148"/>
      <c r="L645" s="148"/>
      <c r="M645" s="148"/>
      <c r="N645" s="148"/>
      <c r="O645" s="148"/>
      <c r="P645" s="148"/>
      <c r="Q645" s="148">
        <f>SUM(G645:P645)</f>
        <v>0</v>
      </c>
      <c r="R645" s="598"/>
    </row>
    <row r="646" spans="1:18" ht="15.95" customHeight="1" x14ac:dyDescent="0.2">
      <c r="A646" s="200"/>
      <c r="B646" s="200"/>
      <c r="C646" s="201"/>
      <c r="D646" s="159" t="s">
        <v>319</v>
      </c>
      <c r="E646" s="203"/>
      <c r="F646" s="204"/>
      <c r="G646" s="204">
        <f t="shared" ref="G646:Q646" si="47">SUM(G637:G645)</f>
        <v>0</v>
      </c>
      <c r="H646" s="204">
        <f t="shared" si="47"/>
        <v>0</v>
      </c>
      <c r="I646" s="204">
        <f t="shared" si="47"/>
        <v>-1437</v>
      </c>
      <c r="J646" s="204">
        <f t="shared" si="47"/>
        <v>0</v>
      </c>
      <c r="K646" s="204">
        <f t="shared" si="47"/>
        <v>0</v>
      </c>
      <c r="L646" s="204">
        <f t="shared" si="47"/>
        <v>-111</v>
      </c>
      <c r="M646" s="204">
        <f t="shared" si="47"/>
        <v>1548</v>
      </c>
      <c r="N646" s="204">
        <f t="shared" si="47"/>
        <v>0</v>
      </c>
      <c r="O646" s="204">
        <f t="shared" si="47"/>
        <v>0</v>
      </c>
      <c r="P646" s="204">
        <f t="shared" si="47"/>
        <v>0</v>
      </c>
      <c r="Q646" s="204">
        <f t="shared" si="47"/>
        <v>0</v>
      </c>
      <c r="R646" s="599"/>
    </row>
    <row r="647" spans="1:18" ht="14.1" customHeight="1" x14ac:dyDescent="0.2">
      <c r="A647" s="174">
        <v>1</v>
      </c>
      <c r="B647" s="174">
        <v>18</v>
      </c>
      <c r="C647" s="194"/>
      <c r="D647" s="276" t="s">
        <v>907</v>
      </c>
      <c r="E647" s="209"/>
      <c r="F647" s="209"/>
      <c r="G647" s="148"/>
      <c r="H647" s="179"/>
      <c r="I647" s="179"/>
      <c r="J647" s="179"/>
      <c r="K647" s="179"/>
      <c r="L647" s="179"/>
      <c r="M647" s="148"/>
      <c r="N647" s="148"/>
      <c r="O647" s="148"/>
      <c r="P647" s="148"/>
      <c r="Q647" s="148"/>
      <c r="R647" s="598"/>
    </row>
    <row r="648" spans="1:18" ht="14.1" hidden="1" customHeight="1" x14ac:dyDescent="0.2">
      <c r="A648" s="174"/>
      <c r="B648" s="174"/>
      <c r="C648" s="194"/>
      <c r="D648" s="277" t="s">
        <v>238</v>
      </c>
      <c r="E648" s="212"/>
      <c r="F648" s="212"/>
      <c r="G648" s="148"/>
      <c r="H648" s="179"/>
      <c r="I648" s="179"/>
      <c r="J648" s="179"/>
      <c r="K648" s="179"/>
      <c r="L648" s="179"/>
      <c r="M648" s="148"/>
      <c r="N648" s="148"/>
      <c r="O648" s="148"/>
      <c r="P648" s="148"/>
      <c r="Q648" s="148"/>
      <c r="R648" s="598"/>
    </row>
    <row r="649" spans="1:18" ht="14.1" hidden="1" customHeight="1" x14ac:dyDescent="0.2">
      <c r="A649" s="174"/>
      <c r="B649" s="174"/>
      <c r="C649" s="194"/>
      <c r="D649" s="277" t="s">
        <v>908</v>
      </c>
      <c r="E649" s="148">
        <v>2</v>
      </c>
      <c r="F649" s="148">
        <v>181905</v>
      </c>
      <c r="G649" s="148"/>
      <c r="H649" s="179"/>
      <c r="I649" s="148"/>
      <c r="J649" s="179"/>
      <c r="K649" s="179"/>
      <c r="L649" s="179"/>
      <c r="M649" s="148"/>
      <c r="N649" s="148"/>
      <c r="O649" s="148"/>
      <c r="P649" s="148"/>
      <c r="Q649" s="148">
        <f>SUM(G649:P649)</f>
        <v>0</v>
      </c>
      <c r="R649" s="598"/>
    </row>
    <row r="650" spans="1:18" ht="27.75" hidden="1" customHeight="1" x14ac:dyDescent="0.2">
      <c r="A650" s="174"/>
      <c r="B650" s="174"/>
      <c r="C650" s="194"/>
      <c r="D650" s="150" t="s">
        <v>909</v>
      </c>
      <c r="E650" s="148">
        <v>1</v>
      </c>
      <c r="F650" s="148" t="s">
        <v>322</v>
      </c>
      <c r="G650" s="148"/>
      <c r="H650" s="179"/>
      <c r="I650" s="148"/>
      <c r="J650" s="179"/>
      <c r="K650" s="179"/>
      <c r="L650" s="179"/>
      <c r="M650" s="148"/>
      <c r="N650" s="148"/>
      <c r="O650" s="148"/>
      <c r="P650" s="148"/>
      <c r="Q650" s="148">
        <f>SUM(G650:P650)</f>
        <v>0</v>
      </c>
      <c r="R650" s="598"/>
    </row>
    <row r="651" spans="1:18" ht="14.1" hidden="1" customHeight="1" x14ac:dyDescent="0.2">
      <c r="A651" s="174"/>
      <c r="B651" s="174"/>
      <c r="C651" s="194"/>
      <c r="D651" s="277" t="s">
        <v>910</v>
      </c>
      <c r="E651" s="148">
        <v>1</v>
      </c>
      <c r="F651" s="148">
        <v>181906</v>
      </c>
      <c r="G651" s="148"/>
      <c r="H651" s="179"/>
      <c r="I651" s="148"/>
      <c r="J651" s="179"/>
      <c r="K651" s="179"/>
      <c r="L651" s="179"/>
      <c r="M651" s="148"/>
      <c r="N651" s="148"/>
      <c r="O651" s="148"/>
      <c r="P651" s="148"/>
      <c r="Q651" s="148">
        <f>SUM(G651:P651)</f>
        <v>0</v>
      </c>
      <c r="R651" s="598"/>
    </row>
    <row r="652" spans="1:18" ht="15" hidden="1" customHeight="1" x14ac:dyDescent="0.2">
      <c r="A652" s="174"/>
      <c r="B652" s="174"/>
      <c r="C652" s="194"/>
      <c r="D652" s="154" t="s">
        <v>229</v>
      </c>
      <c r="E652" s="217"/>
      <c r="F652" s="217"/>
      <c r="G652" s="148"/>
      <c r="H652" s="179"/>
      <c r="I652" s="148"/>
      <c r="J652" s="179"/>
      <c r="K652" s="179"/>
      <c r="L652" s="179"/>
      <c r="M652" s="148"/>
      <c r="N652" s="148"/>
      <c r="O652" s="148"/>
      <c r="P652" s="148"/>
      <c r="Q652" s="148"/>
      <c r="R652" s="598"/>
    </row>
    <row r="653" spans="1:18" ht="15" hidden="1" customHeight="1" x14ac:dyDescent="0.2">
      <c r="A653" s="174"/>
      <c r="B653" s="174"/>
      <c r="C653" s="194"/>
      <c r="D653" s="277" t="s">
        <v>911</v>
      </c>
      <c r="E653" s="198">
        <v>1</v>
      </c>
      <c r="F653" s="148">
        <v>221950</v>
      </c>
      <c r="G653" s="198"/>
      <c r="H653" s="179"/>
      <c r="I653" s="179"/>
      <c r="J653" s="179"/>
      <c r="K653" s="179"/>
      <c r="L653" s="179"/>
      <c r="M653" s="198"/>
      <c r="N653" s="198"/>
      <c r="O653" s="342"/>
      <c r="P653" s="342"/>
      <c r="Q653" s="342">
        <f>SUM(G653:P653)</f>
        <v>0</v>
      </c>
      <c r="R653" s="598"/>
    </row>
    <row r="654" spans="1:18" ht="24.95" hidden="1" customHeight="1" x14ac:dyDescent="0.2">
      <c r="A654" s="174"/>
      <c r="B654" s="174"/>
      <c r="C654" s="194"/>
      <c r="D654" s="150" t="s">
        <v>912</v>
      </c>
      <c r="E654" s="185">
        <v>1</v>
      </c>
      <c r="F654" s="148">
        <v>181907</v>
      </c>
      <c r="G654" s="148"/>
      <c r="H654" s="179"/>
      <c r="I654" s="148"/>
      <c r="J654" s="179"/>
      <c r="K654" s="179"/>
      <c r="L654" s="179"/>
      <c r="M654" s="148"/>
      <c r="N654" s="148"/>
      <c r="O654" s="148"/>
      <c r="P654" s="148"/>
      <c r="Q654" s="148">
        <f>SUM(G654:P654)</f>
        <v>0</v>
      </c>
      <c r="R654" s="598"/>
    </row>
    <row r="655" spans="1:18" ht="15.75" hidden="1" customHeight="1" x14ac:dyDescent="0.2">
      <c r="A655" s="174"/>
      <c r="B655" s="174"/>
      <c r="C655" s="194"/>
      <c r="D655" s="277" t="s">
        <v>913</v>
      </c>
      <c r="E655" s="185"/>
      <c r="F655" s="185"/>
      <c r="G655" s="148"/>
      <c r="H655" s="179"/>
      <c r="I655" s="179"/>
      <c r="J655" s="179"/>
      <c r="K655" s="179"/>
      <c r="L655" s="179"/>
      <c r="M655" s="148"/>
      <c r="N655" s="148"/>
      <c r="O655" s="148"/>
      <c r="P655" s="148"/>
      <c r="Q655" s="148"/>
      <c r="R655" s="598"/>
    </row>
    <row r="656" spans="1:18" ht="12.75" hidden="1" customHeight="1" x14ac:dyDescent="0.2">
      <c r="A656" s="174"/>
      <c r="B656" s="174"/>
      <c r="C656" s="194"/>
      <c r="D656" s="150" t="s">
        <v>914</v>
      </c>
      <c r="E656" s="185">
        <v>1</v>
      </c>
      <c r="F656" s="148">
        <v>181909</v>
      </c>
      <c r="G656" s="148"/>
      <c r="H656" s="179"/>
      <c r="I656" s="179"/>
      <c r="J656" s="179"/>
      <c r="K656" s="179"/>
      <c r="L656" s="179"/>
      <c r="M656" s="148"/>
      <c r="N656" s="148"/>
      <c r="O656" s="148"/>
      <c r="P656" s="148"/>
      <c r="Q656" s="148">
        <f>SUM(G656:P656)</f>
        <v>0</v>
      </c>
      <c r="R656" s="598"/>
    </row>
    <row r="657" spans="1:18" ht="26.25" hidden="1" customHeight="1" x14ac:dyDescent="0.2">
      <c r="A657" s="174"/>
      <c r="B657" s="174"/>
      <c r="C657" s="194"/>
      <c r="D657" s="150" t="s">
        <v>915</v>
      </c>
      <c r="E657" s="217">
        <v>2</v>
      </c>
      <c r="F657" s="226">
        <v>191142</v>
      </c>
      <c r="G657" s="148"/>
      <c r="H657" s="179"/>
      <c r="I657" s="179"/>
      <c r="J657" s="179"/>
      <c r="K657" s="148"/>
      <c r="L657" s="179"/>
      <c r="M657" s="148"/>
      <c r="N657" s="148"/>
      <c r="O657" s="148"/>
      <c r="P657" s="148"/>
      <c r="Q657" s="148">
        <f>SUM(G657:P657)</f>
        <v>0</v>
      </c>
      <c r="R657" s="598"/>
    </row>
    <row r="658" spans="1:18" ht="29.25" hidden="1" customHeight="1" x14ac:dyDescent="0.2">
      <c r="A658" s="174"/>
      <c r="B658" s="174"/>
      <c r="C658" s="194"/>
      <c r="D658" s="150" t="s">
        <v>916</v>
      </c>
      <c r="E658" s="217">
        <v>2</v>
      </c>
      <c r="F658" s="226">
        <v>191154</v>
      </c>
      <c r="G658" s="148"/>
      <c r="H658" s="179"/>
      <c r="I658" s="179"/>
      <c r="J658" s="179"/>
      <c r="K658" s="148"/>
      <c r="L658" s="179"/>
      <c r="M658" s="148"/>
      <c r="N658" s="148"/>
      <c r="O658" s="148"/>
      <c r="P658" s="148"/>
      <c r="Q658" s="148">
        <f>SUM(G658:P658)</f>
        <v>0</v>
      </c>
      <c r="R658" s="598"/>
    </row>
    <row r="659" spans="1:18" ht="15" customHeight="1" x14ac:dyDescent="0.2">
      <c r="A659" s="174"/>
      <c r="B659" s="174"/>
      <c r="C659" s="194"/>
      <c r="D659" s="150" t="s">
        <v>917</v>
      </c>
      <c r="E659" s="185"/>
      <c r="F659" s="185"/>
      <c r="G659" s="148"/>
      <c r="H659" s="179"/>
      <c r="I659" s="179"/>
      <c r="J659" s="179"/>
      <c r="K659" s="179"/>
      <c r="L659" s="179"/>
      <c r="M659" s="148"/>
      <c r="N659" s="148"/>
      <c r="O659" s="148"/>
      <c r="P659" s="148"/>
      <c r="Q659" s="148"/>
      <c r="R659" s="598"/>
    </row>
    <row r="660" spans="1:18" ht="15" hidden="1" customHeight="1" x14ac:dyDescent="0.2">
      <c r="A660" s="174"/>
      <c r="B660" s="174"/>
      <c r="C660" s="194"/>
      <c r="D660" s="150" t="s">
        <v>918</v>
      </c>
      <c r="E660" s="185">
        <v>1</v>
      </c>
      <c r="F660" s="148">
        <v>181902</v>
      </c>
      <c r="G660" s="148"/>
      <c r="H660" s="179"/>
      <c r="I660" s="179"/>
      <c r="J660" s="179"/>
      <c r="K660" s="179"/>
      <c r="L660" s="179"/>
      <c r="M660" s="148"/>
      <c r="N660" s="148"/>
      <c r="O660" s="148"/>
      <c r="P660" s="148"/>
      <c r="Q660" s="148">
        <f>SUM(G660:P660)</f>
        <v>0</v>
      </c>
      <c r="R660" s="598"/>
    </row>
    <row r="661" spans="1:18" ht="15" hidden="1" customHeight="1" x14ac:dyDescent="0.2">
      <c r="A661" s="174"/>
      <c r="B661" s="174"/>
      <c r="C661" s="194"/>
      <c r="D661" s="150" t="s">
        <v>919</v>
      </c>
      <c r="E661" s="185">
        <v>1</v>
      </c>
      <c r="F661" s="148">
        <v>181903</v>
      </c>
      <c r="G661" s="148"/>
      <c r="H661" s="179"/>
      <c r="I661" s="179"/>
      <c r="J661" s="179"/>
      <c r="K661" s="179"/>
      <c r="L661" s="179"/>
      <c r="M661" s="148"/>
      <c r="N661" s="148"/>
      <c r="O661" s="148"/>
      <c r="P661" s="148"/>
      <c r="Q661" s="148">
        <f>SUM(G661:P661)</f>
        <v>0</v>
      </c>
      <c r="R661" s="598"/>
    </row>
    <row r="662" spans="1:18" ht="14.1" customHeight="1" x14ac:dyDescent="0.2">
      <c r="A662" s="343"/>
      <c r="B662" s="343"/>
      <c r="C662" s="343"/>
      <c r="D662" s="277" t="s">
        <v>920</v>
      </c>
      <c r="E662" s="148">
        <v>1</v>
      </c>
      <c r="F662" s="148">
        <v>181904</v>
      </c>
      <c r="G662" s="344"/>
      <c r="H662" s="179"/>
      <c r="I662" s="179">
        <v>247</v>
      </c>
      <c r="J662" s="179"/>
      <c r="K662" s="179"/>
      <c r="L662" s="179"/>
      <c r="M662" s="344"/>
      <c r="N662" s="344"/>
      <c r="O662" s="344"/>
      <c r="P662" s="344"/>
      <c r="Q662" s="148">
        <f>SUM(G662:P662)</f>
        <v>247</v>
      </c>
      <c r="R662" s="598" t="s">
        <v>1365</v>
      </c>
    </row>
    <row r="663" spans="1:18" ht="15" customHeight="1" x14ac:dyDescent="0.2">
      <c r="A663" s="204"/>
      <c r="B663" s="204"/>
      <c r="C663" s="202"/>
      <c r="D663" s="159" t="s">
        <v>921</v>
      </c>
      <c r="E663" s="203"/>
      <c r="F663" s="203"/>
      <c r="G663" s="280">
        <f t="shared" ref="G663:Q663" si="48">SUM(G649:G662)</f>
        <v>0</v>
      </c>
      <c r="H663" s="280">
        <f t="shared" si="48"/>
        <v>0</v>
      </c>
      <c r="I663" s="280">
        <f t="shared" si="48"/>
        <v>247</v>
      </c>
      <c r="J663" s="280">
        <f t="shared" si="48"/>
        <v>0</v>
      </c>
      <c r="K663" s="280">
        <f t="shared" si="48"/>
        <v>0</v>
      </c>
      <c r="L663" s="280">
        <f t="shared" si="48"/>
        <v>0</v>
      </c>
      <c r="M663" s="280">
        <f t="shared" si="48"/>
        <v>0</v>
      </c>
      <c r="N663" s="280">
        <f t="shared" si="48"/>
        <v>0</v>
      </c>
      <c r="O663" s="280">
        <f t="shared" si="48"/>
        <v>0</v>
      </c>
      <c r="P663" s="280">
        <f t="shared" si="48"/>
        <v>0</v>
      </c>
      <c r="Q663" s="280">
        <f t="shared" si="48"/>
        <v>247</v>
      </c>
      <c r="R663" s="599"/>
    </row>
    <row r="664" spans="1:18" ht="15" customHeight="1" x14ac:dyDescent="0.2">
      <c r="A664" s="210"/>
      <c r="B664" s="210"/>
      <c r="C664" s="264"/>
      <c r="D664" s="281" t="s">
        <v>922</v>
      </c>
      <c r="E664" s="209"/>
      <c r="F664" s="209"/>
      <c r="G664" s="179"/>
      <c r="H664" s="179"/>
      <c r="I664" s="179"/>
      <c r="J664" s="179"/>
      <c r="K664" s="179"/>
      <c r="L664" s="179"/>
      <c r="M664" s="179"/>
      <c r="N664" s="179"/>
      <c r="O664" s="179"/>
      <c r="P664" s="179"/>
      <c r="Q664" s="179"/>
      <c r="R664" s="598"/>
    </row>
    <row r="665" spans="1:18" ht="15" hidden="1" customHeight="1" x14ac:dyDescent="0.2">
      <c r="A665" s="210"/>
      <c r="B665" s="210"/>
      <c r="C665" s="317" t="s">
        <v>100</v>
      </c>
      <c r="D665" s="511" t="s">
        <v>923</v>
      </c>
      <c r="E665" s="345"/>
      <c r="F665" s="348">
        <v>182911</v>
      </c>
      <c r="G665" s="346"/>
      <c r="H665" s="346"/>
      <c r="I665" s="346"/>
      <c r="J665" s="346"/>
      <c r="K665" s="346"/>
      <c r="L665" s="346"/>
      <c r="M665" s="346"/>
      <c r="N665" s="346"/>
      <c r="O665" s="179"/>
      <c r="P665" s="179"/>
      <c r="Q665" s="179">
        <f>SUM(L665:P665)</f>
        <v>0</v>
      </c>
      <c r="R665" s="598"/>
    </row>
    <row r="666" spans="1:18" ht="15" hidden="1" customHeight="1" x14ac:dyDescent="0.2">
      <c r="A666" s="210"/>
      <c r="B666" s="210"/>
      <c r="C666" s="347"/>
      <c r="D666" s="277" t="s">
        <v>1145</v>
      </c>
      <c r="E666" s="345"/>
      <c r="F666" s="348"/>
      <c r="G666" s="346"/>
      <c r="H666" s="346"/>
      <c r="I666" s="346"/>
      <c r="J666" s="346"/>
      <c r="K666" s="346"/>
      <c r="L666" s="346"/>
      <c r="M666" s="346"/>
      <c r="N666" s="346"/>
      <c r="O666" s="179"/>
      <c r="P666" s="179"/>
      <c r="Q666" s="179"/>
      <c r="R666" s="598"/>
    </row>
    <row r="667" spans="1:18" ht="15" hidden="1" customHeight="1" x14ac:dyDescent="0.2">
      <c r="A667" s="210"/>
      <c r="B667" s="210"/>
      <c r="C667" s="194" t="s">
        <v>382</v>
      </c>
      <c r="D667" s="285" t="s">
        <v>924</v>
      </c>
      <c r="E667" s="341"/>
      <c r="F667" s="349">
        <v>182905</v>
      </c>
      <c r="G667" s="179"/>
      <c r="H667" s="179"/>
      <c r="I667" s="179"/>
      <c r="J667" s="179"/>
      <c r="K667" s="179"/>
      <c r="L667" s="179"/>
      <c r="M667" s="179"/>
      <c r="N667" s="179"/>
      <c r="O667" s="179"/>
      <c r="P667" s="179"/>
      <c r="Q667" s="179">
        <f>SUM(G667:P667)</f>
        <v>0</v>
      </c>
      <c r="R667" s="598"/>
    </row>
    <row r="668" spans="1:18" ht="15" customHeight="1" x14ac:dyDescent="0.2">
      <c r="A668" s="204"/>
      <c r="B668" s="204"/>
      <c r="C668" s="202"/>
      <c r="D668" s="159" t="s">
        <v>925</v>
      </c>
      <c r="E668" s="203"/>
      <c r="F668" s="203"/>
      <c r="G668" s="280">
        <f t="shared" ref="G668:Q668" si="49">SUM(G663:G667)</f>
        <v>0</v>
      </c>
      <c r="H668" s="280">
        <f t="shared" si="49"/>
        <v>0</v>
      </c>
      <c r="I668" s="280">
        <f t="shared" si="49"/>
        <v>247</v>
      </c>
      <c r="J668" s="280">
        <f t="shared" si="49"/>
        <v>0</v>
      </c>
      <c r="K668" s="280">
        <f t="shared" si="49"/>
        <v>0</v>
      </c>
      <c r="L668" s="280">
        <f t="shared" si="49"/>
        <v>0</v>
      </c>
      <c r="M668" s="280">
        <f t="shared" si="49"/>
        <v>0</v>
      </c>
      <c r="N668" s="280">
        <f t="shared" si="49"/>
        <v>0</v>
      </c>
      <c r="O668" s="280">
        <f t="shared" si="49"/>
        <v>0</v>
      </c>
      <c r="P668" s="280">
        <f t="shared" si="49"/>
        <v>0</v>
      </c>
      <c r="Q668" s="280">
        <f t="shared" si="49"/>
        <v>247</v>
      </c>
      <c r="R668" s="599"/>
    </row>
    <row r="669" spans="1:18" ht="15" customHeight="1" x14ac:dyDescent="0.2">
      <c r="A669" s="174">
        <v>1</v>
      </c>
      <c r="B669" s="174">
        <v>19</v>
      </c>
      <c r="C669" s="194"/>
      <c r="D669" s="276" t="s">
        <v>926</v>
      </c>
      <c r="E669" s="207"/>
      <c r="F669" s="207"/>
      <c r="G669" s="148"/>
      <c r="H669" s="179"/>
      <c r="I669" s="179"/>
      <c r="J669" s="179"/>
      <c r="K669" s="179"/>
      <c r="L669" s="179"/>
      <c r="M669" s="148"/>
      <c r="N669" s="148"/>
      <c r="O669" s="148"/>
      <c r="P669" s="148"/>
      <c r="Q669" s="148"/>
      <c r="R669" s="598"/>
    </row>
    <row r="670" spans="1:18" ht="15" hidden="1" customHeight="1" x14ac:dyDescent="0.2">
      <c r="A670" s="174"/>
      <c r="B670" s="174"/>
      <c r="C670" s="194"/>
      <c r="D670" s="288" t="s">
        <v>927</v>
      </c>
      <c r="E670" s="212"/>
      <c r="F670" s="212"/>
      <c r="G670" s="148"/>
      <c r="H670" s="179"/>
      <c r="I670" s="179"/>
      <c r="J670" s="179"/>
      <c r="K670" s="179"/>
      <c r="L670" s="179"/>
      <c r="M670" s="148"/>
      <c r="N670" s="148"/>
      <c r="O670" s="148"/>
      <c r="P670" s="148"/>
      <c r="Q670" s="148"/>
      <c r="R670" s="598"/>
    </row>
    <row r="671" spans="1:18" ht="15" hidden="1" customHeight="1" x14ac:dyDescent="0.2">
      <c r="A671" s="174"/>
      <c r="B671" s="174"/>
      <c r="C671" s="194"/>
      <c r="D671" s="277" t="s">
        <v>1258</v>
      </c>
      <c r="E671" s="185">
        <v>1</v>
      </c>
      <c r="F671" s="148">
        <v>191101</v>
      </c>
      <c r="G671" s="148"/>
      <c r="H671" s="179"/>
      <c r="I671" s="148"/>
      <c r="J671" s="179"/>
      <c r="K671" s="179"/>
      <c r="L671" s="179"/>
      <c r="M671" s="148"/>
      <c r="N671" s="148"/>
      <c r="O671" s="148"/>
      <c r="P671" s="148"/>
      <c r="Q671" s="148">
        <f>SUM(G671:P671)</f>
        <v>0</v>
      </c>
      <c r="R671" s="598"/>
    </row>
    <row r="672" spans="1:18" ht="15" hidden="1" customHeight="1" x14ac:dyDescent="0.2">
      <c r="A672" s="174"/>
      <c r="B672" s="174"/>
      <c r="C672" s="194"/>
      <c r="D672" s="277" t="s">
        <v>1259</v>
      </c>
      <c r="E672" s="185">
        <v>1</v>
      </c>
      <c r="F672" s="148">
        <v>191901</v>
      </c>
      <c r="G672" s="148"/>
      <c r="H672" s="179"/>
      <c r="I672" s="148"/>
      <c r="J672" s="179"/>
      <c r="K672" s="179"/>
      <c r="L672" s="179"/>
      <c r="M672" s="148"/>
      <c r="N672" s="148"/>
      <c r="O672" s="148"/>
      <c r="P672" s="148"/>
      <c r="Q672" s="148">
        <f>SUM(G672:P672)</f>
        <v>0</v>
      </c>
      <c r="R672" s="598"/>
    </row>
    <row r="673" spans="1:18" ht="15" hidden="1" customHeight="1" x14ac:dyDescent="0.2">
      <c r="A673" s="174"/>
      <c r="B673" s="174"/>
      <c r="C673" s="194"/>
      <c r="D673" s="277" t="s">
        <v>928</v>
      </c>
      <c r="E673" s="185">
        <v>1</v>
      </c>
      <c r="F673" s="148">
        <v>191901</v>
      </c>
      <c r="G673" s="148"/>
      <c r="H673" s="179"/>
      <c r="I673" s="148"/>
      <c r="J673" s="179"/>
      <c r="K673" s="179"/>
      <c r="L673" s="179"/>
      <c r="M673" s="148"/>
      <c r="N673" s="148"/>
      <c r="O673" s="148"/>
      <c r="P673" s="148"/>
      <c r="Q673" s="148">
        <f>SUM(G673:P673)</f>
        <v>0</v>
      </c>
      <c r="R673" s="598"/>
    </row>
    <row r="674" spans="1:18" ht="15" hidden="1" customHeight="1" x14ac:dyDescent="0.2">
      <c r="A674" s="578"/>
      <c r="B674" s="578"/>
      <c r="C674" s="579"/>
      <c r="D674" s="597" t="s">
        <v>1022</v>
      </c>
      <c r="E674" s="596">
        <v>1</v>
      </c>
      <c r="F674" s="582">
        <v>191901</v>
      </c>
      <c r="G674" s="582"/>
      <c r="H674" s="583"/>
      <c r="I674" s="582"/>
      <c r="J674" s="583"/>
      <c r="K674" s="583"/>
      <c r="L674" s="583"/>
      <c r="M674" s="582"/>
      <c r="N674" s="582"/>
      <c r="O674" s="582"/>
      <c r="P674" s="582"/>
      <c r="Q674" s="148">
        <f>SUM(G674:P674)</f>
        <v>0</v>
      </c>
      <c r="R674" s="598"/>
    </row>
    <row r="675" spans="1:18" ht="15" customHeight="1" x14ac:dyDescent="0.2">
      <c r="A675" s="174"/>
      <c r="B675" s="174"/>
      <c r="C675" s="194"/>
      <c r="D675" s="154" t="s">
        <v>229</v>
      </c>
      <c r="E675" s="217"/>
      <c r="F675" s="217"/>
      <c r="G675" s="148"/>
      <c r="H675" s="179"/>
      <c r="I675" s="148"/>
      <c r="J675" s="179"/>
      <c r="K675" s="179"/>
      <c r="L675" s="179"/>
      <c r="M675" s="148"/>
      <c r="N675" s="148"/>
      <c r="O675" s="148"/>
      <c r="P675" s="148"/>
      <c r="Q675" s="148"/>
      <c r="R675" s="598"/>
    </row>
    <row r="676" spans="1:18" ht="15" hidden="1" customHeight="1" x14ac:dyDescent="0.2">
      <c r="A676" s="174"/>
      <c r="B676" s="174"/>
      <c r="C676" s="194"/>
      <c r="D676" s="277" t="s">
        <v>929</v>
      </c>
      <c r="E676" s="185">
        <v>1</v>
      </c>
      <c r="F676" s="148">
        <v>191102</v>
      </c>
      <c r="G676" s="148"/>
      <c r="H676" s="179"/>
      <c r="I676" s="148"/>
      <c r="J676" s="179"/>
      <c r="K676" s="179"/>
      <c r="L676" s="179"/>
      <c r="M676" s="148"/>
      <c r="N676" s="148"/>
      <c r="O676" s="148"/>
      <c r="P676" s="148"/>
      <c r="Q676" s="148">
        <f t="shared" ref="Q676:Q680" si="50">SUM(G676:P676)</f>
        <v>0</v>
      </c>
      <c r="R676" s="598"/>
    </row>
    <row r="677" spans="1:18" ht="15" customHeight="1" x14ac:dyDescent="0.2">
      <c r="A677" s="174"/>
      <c r="B677" s="174"/>
      <c r="C677" s="194"/>
      <c r="D677" s="277" t="s">
        <v>930</v>
      </c>
      <c r="E677" s="148">
        <v>1</v>
      </c>
      <c r="F677" s="148">
        <v>191103</v>
      </c>
      <c r="G677" s="198"/>
      <c r="H677" s="179"/>
      <c r="I677" s="387">
        <v>33625</v>
      </c>
      <c r="J677" s="179"/>
      <c r="K677" s="179"/>
      <c r="L677" s="179"/>
      <c r="M677" s="198"/>
      <c r="N677" s="198"/>
      <c r="O677" s="198"/>
      <c r="P677" s="198"/>
      <c r="Q677" s="148">
        <f t="shared" si="50"/>
        <v>33625</v>
      </c>
      <c r="R677" s="598" t="s">
        <v>1365</v>
      </c>
    </row>
    <row r="678" spans="1:18" ht="15" hidden="1" customHeight="1" x14ac:dyDescent="0.2">
      <c r="A678" s="174"/>
      <c r="B678" s="174"/>
      <c r="C678" s="194"/>
      <c r="D678" s="277" t="s">
        <v>931</v>
      </c>
      <c r="E678" s="148">
        <v>1</v>
      </c>
      <c r="F678" s="148">
        <v>191105</v>
      </c>
      <c r="G678" s="198"/>
      <c r="H678" s="179"/>
      <c r="I678" s="198"/>
      <c r="J678" s="179"/>
      <c r="K678" s="179"/>
      <c r="L678" s="179"/>
      <c r="M678" s="198"/>
      <c r="N678" s="198"/>
      <c r="O678" s="198"/>
      <c r="P678" s="198"/>
      <c r="Q678" s="148">
        <f t="shared" si="50"/>
        <v>0</v>
      </c>
      <c r="R678" s="598"/>
    </row>
    <row r="679" spans="1:18" ht="15" hidden="1" customHeight="1" x14ac:dyDescent="0.2">
      <c r="A679" s="174"/>
      <c r="B679" s="174"/>
      <c r="C679" s="194"/>
      <c r="D679" s="277" t="s">
        <v>932</v>
      </c>
      <c r="E679" s="148">
        <v>1</v>
      </c>
      <c r="F679" s="148">
        <v>196901</v>
      </c>
      <c r="G679" s="198"/>
      <c r="H679" s="179"/>
      <c r="I679" s="148"/>
      <c r="J679" s="179"/>
      <c r="K679" s="179"/>
      <c r="L679" s="179"/>
      <c r="M679" s="198"/>
      <c r="N679" s="198"/>
      <c r="O679" s="148"/>
      <c r="P679" s="148"/>
      <c r="Q679" s="148">
        <f t="shared" si="50"/>
        <v>0</v>
      </c>
      <c r="R679" s="598"/>
    </row>
    <row r="680" spans="1:18" ht="23.25" customHeight="1" x14ac:dyDescent="0.2">
      <c r="A680" s="174"/>
      <c r="B680" s="174"/>
      <c r="C680" s="879"/>
      <c r="D680" s="935" t="s">
        <v>1401</v>
      </c>
      <c r="E680" s="388">
        <v>2</v>
      </c>
      <c r="F680" s="388">
        <v>191158</v>
      </c>
      <c r="G680" s="198"/>
      <c r="H680" s="179"/>
      <c r="I680" s="148"/>
      <c r="J680" s="179"/>
      <c r="K680" s="179">
        <v>18000</v>
      </c>
      <c r="L680" s="179"/>
      <c r="M680" s="198"/>
      <c r="N680" s="198"/>
      <c r="O680" s="148"/>
      <c r="P680" s="148"/>
      <c r="Q680" s="148">
        <f t="shared" si="50"/>
        <v>18000</v>
      </c>
      <c r="R680" s="303" t="s">
        <v>1365</v>
      </c>
    </row>
    <row r="681" spans="1:18" ht="15" hidden="1" customHeight="1" x14ac:dyDescent="0.2">
      <c r="A681" s="174"/>
      <c r="B681" s="174"/>
      <c r="C681" s="194"/>
      <c r="D681" s="277" t="s">
        <v>238</v>
      </c>
      <c r="E681" s="148"/>
      <c r="F681" s="148"/>
      <c r="G681" s="198"/>
      <c r="H681" s="179"/>
      <c r="I681" s="148"/>
      <c r="J681" s="179"/>
      <c r="K681" s="179"/>
      <c r="L681" s="179"/>
      <c r="M681" s="198"/>
      <c r="N681" s="198"/>
      <c r="O681" s="148"/>
      <c r="P681" s="148"/>
      <c r="Q681" s="148"/>
      <c r="R681" s="598"/>
    </row>
    <row r="682" spans="1:18" ht="15" hidden="1" customHeight="1" x14ac:dyDescent="0.2">
      <c r="A682" s="174"/>
      <c r="B682" s="174"/>
      <c r="C682" s="194"/>
      <c r="D682" s="277" t="s">
        <v>933</v>
      </c>
      <c r="E682" s="148">
        <v>1</v>
      </c>
      <c r="F682" s="148">
        <v>191104</v>
      </c>
      <c r="G682" s="198"/>
      <c r="H682" s="179"/>
      <c r="I682" s="148"/>
      <c r="J682" s="179"/>
      <c r="K682" s="179"/>
      <c r="L682" s="179"/>
      <c r="M682" s="198"/>
      <c r="N682" s="198"/>
      <c r="O682" s="148"/>
      <c r="P682" s="148"/>
      <c r="Q682" s="148">
        <f>SUM(G682:P682)</f>
        <v>0</v>
      </c>
      <c r="R682" s="598"/>
    </row>
    <row r="683" spans="1:18" ht="14.1" hidden="1" customHeight="1" x14ac:dyDescent="0.2">
      <c r="A683" s="174"/>
      <c r="B683" s="174"/>
      <c r="C683" s="194"/>
      <c r="D683" s="350" t="s">
        <v>934</v>
      </c>
      <c r="E683" s="148"/>
      <c r="F683" s="148"/>
      <c r="G683" s="198"/>
      <c r="H683" s="179"/>
      <c r="I683" s="179"/>
      <c r="J683" s="179"/>
      <c r="K683" s="179"/>
      <c r="L683" s="179"/>
      <c r="M683" s="198"/>
      <c r="N683" s="198"/>
      <c r="O683" s="148"/>
      <c r="P683" s="148"/>
      <c r="Q683" s="148"/>
      <c r="R683" s="598"/>
    </row>
    <row r="684" spans="1:18" ht="14.1" hidden="1" customHeight="1" x14ac:dyDescent="0.2">
      <c r="A684" s="174"/>
      <c r="B684" s="174"/>
      <c r="C684" s="194"/>
      <c r="D684" s="277" t="s">
        <v>935</v>
      </c>
      <c r="E684" s="148">
        <v>2</v>
      </c>
      <c r="F684" s="148">
        <v>191109</v>
      </c>
      <c r="G684" s="198"/>
      <c r="H684" s="179"/>
      <c r="I684" s="179"/>
      <c r="J684" s="179"/>
      <c r="K684" s="179"/>
      <c r="L684" s="179"/>
      <c r="M684" s="198"/>
      <c r="N684" s="198"/>
      <c r="O684" s="148"/>
      <c r="P684" s="148"/>
      <c r="Q684" s="148">
        <f>SUM(G684:P684)</f>
        <v>0</v>
      </c>
      <c r="R684" s="598"/>
    </row>
    <row r="685" spans="1:18" ht="14.1" hidden="1" customHeight="1" x14ac:dyDescent="0.2">
      <c r="A685" s="174"/>
      <c r="B685" s="174"/>
      <c r="C685" s="194"/>
      <c r="D685" s="277" t="s">
        <v>936</v>
      </c>
      <c r="E685" s="148">
        <v>2</v>
      </c>
      <c r="F685" s="148">
        <v>191159</v>
      </c>
      <c r="G685" s="198"/>
      <c r="H685" s="179"/>
      <c r="I685" s="179"/>
      <c r="J685" s="179"/>
      <c r="K685" s="179"/>
      <c r="L685" s="179"/>
      <c r="M685" s="198"/>
      <c r="N685" s="198"/>
      <c r="O685" s="148"/>
      <c r="P685" s="148"/>
      <c r="Q685" s="148">
        <f>SUM(G685:P685)</f>
        <v>0</v>
      </c>
      <c r="R685" s="598"/>
    </row>
    <row r="686" spans="1:18" ht="14.1" hidden="1" customHeight="1" x14ac:dyDescent="0.2">
      <c r="A686" s="174"/>
      <c r="B686" s="174"/>
      <c r="C686" s="194"/>
      <c r="D686" s="277" t="s">
        <v>937</v>
      </c>
      <c r="E686" s="148"/>
      <c r="F686" s="148"/>
      <c r="G686" s="198"/>
      <c r="H686" s="179"/>
      <c r="I686" s="179"/>
      <c r="J686" s="179"/>
      <c r="K686" s="179"/>
      <c r="L686" s="179"/>
      <c r="M686" s="198"/>
      <c r="N686" s="198"/>
      <c r="O686" s="148"/>
      <c r="P686" s="148"/>
      <c r="Q686" s="148"/>
      <c r="R686" s="598"/>
    </row>
    <row r="687" spans="1:18" ht="14.1" hidden="1" customHeight="1" x14ac:dyDescent="0.2">
      <c r="A687" s="174"/>
      <c r="B687" s="174"/>
      <c r="C687" s="194"/>
      <c r="D687" s="277" t="s">
        <v>938</v>
      </c>
      <c r="E687" s="148">
        <v>2</v>
      </c>
      <c r="F687" s="148">
        <v>191401</v>
      </c>
      <c r="G687" s="198"/>
      <c r="H687" s="179"/>
      <c r="I687" s="179"/>
      <c r="J687" s="179"/>
      <c r="K687" s="179"/>
      <c r="L687" s="179"/>
      <c r="M687" s="198"/>
      <c r="N687" s="198"/>
      <c r="O687" s="148"/>
      <c r="P687" s="148"/>
      <c r="Q687" s="148">
        <f>SUM(G687:P687)</f>
        <v>0</v>
      </c>
      <c r="R687" s="598"/>
    </row>
    <row r="688" spans="1:18" ht="15" customHeight="1" x14ac:dyDescent="0.2">
      <c r="A688" s="174"/>
      <c r="B688" s="174"/>
      <c r="C688" s="194"/>
      <c r="D688" s="154" t="s">
        <v>229</v>
      </c>
      <c r="E688" s="217"/>
      <c r="F688" s="217"/>
      <c r="G688" s="255"/>
      <c r="H688" s="179"/>
      <c r="I688" s="179"/>
      <c r="J688" s="179"/>
      <c r="K688" s="179"/>
      <c r="L688" s="179"/>
      <c r="M688" s="255"/>
      <c r="N688" s="255"/>
      <c r="O688" s="148"/>
      <c r="P688" s="148"/>
      <c r="Q688" s="148"/>
      <c r="R688" s="598"/>
    </row>
    <row r="689" spans="1:18" ht="24" customHeight="1" x14ac:dyDescent="0.2">
      <c r="A689" s="174"/>
      <c r="B689" s="174"/>
      <c r="C689" s="194"/>
      <c r="D689" s="149" t="s">
        <v>939</v>
      </c>
      <c r="E689" s="185">
        <v>1</v>
      </c>
      <c r="F689" s="148">
        <v>191905</v>
      </c>
      <c r="G689" s="198"/>
      <c r="H689" s="179"/>
      <c r="I689" s="179"/>
      <c r="J689" s="179"/>
      <c r="K689" s="179">
        <v>33034</v>
      </c>
      <c r="L689" s="179"/>
      <c r="M689" s="198"/>
      <c r="N689" s="198"/>
      <c r="O689" s="148"/>
      <c r="P689" s="148"/>
      <c r="Q689" s="148">
        <f>SUM(G689:P689)</f>
        <v>33034</v>
      </c>
      <c r="R689" s="598" t="s">
        <v>1365</v>
      </c>
    </row>
    <row r="690" spans="1:18" ht="15" hidden="1" customHeight="1" x14ac:dyDescent="0.2">
      <c r="A690" s="174"/>
      <c r="B690" s="174"/>
      <c r="C690" s="194"/>
      <c r="D690" s="154" t="s">
        <v>229</v>
      </c>
      <c r="E690" s="217"/>
      <c r="F690" s="217"/>
      <c r="G690" s="255"/>
      <c r="H690" s="179"/>
      <c r="I690" s="179"/>
      <c r="J690" s="179"/>
      <c r="K690" s="179"/>
      <c r="L690" s="179"/>
      <c r="M690" s="255"/>
      <c r="N690" s="255"/>
      <c r="O690" s="148"/>
      <c r="P690" s="148"/>
      <c r="Q690" s="148"/>
      <c r="R690" s="598"/>
    </row>
    <row r="691" spans="1:18" ht="14.1" hidden="1" customHeight="1" x14ac:dyDescent="0.2">
      <c r="A691" s="174"/>
      <c r="B691" s="174"/>
      <c r="C691" s="194"/>
      <c r="D691" s="277" t="s">
        <v>940</v>
      </c>
      <c r="E691" s="148">
        <v>1</v>
      </c>
      <c r="F691" s="148">
        <v>191121</v>
      </c>
      <c r="G691" s="198"/>
      <c r="H691" s="179"/>
      <c r="I691" s="179"/>
      <c r="J691" s="179"/>
      <c r="K691" s="179"/>
      <c r="L691" s="179"/>
      <c r="M691" s="198"/>
      <c r="N691" s="198"/>
      <c r="O691" s="148"/>
      <c r="P691" s="148"/>
      <c r="Q691" s="148">
        <f>SUM(G691:P691)</f>
        <v>0</v>
      </c>
      <c r="R691" s="598"/>
    </row>
    <row r="692" spans="1:18" ht="24.75" hidden="1" customHeight="1" x14ac:dyDescent="0.2">
      <c r="A692" s="174"/>
      <c r="B692" s="174"/>
      <c r="C692" s="194"/>
      <c r="D692" s="150" t="s">
        <v>328</v>
      </c>
      <c r="E692" s="217"/>
      <c r="F692" s="217"/>
      <c r="G692" s="148"/>
      <c r="H692" s="179"/>
      <c r="I692" s="179"/>
      <c r="J692" s="179"/>
      <c r="K692" s="179"/>
      <c r="L692" s="179"/>
      <c r="M692" s="148"/>
      <c r="N692" s="148"/>
      <c r="O692" s="148"/>
      <c r="P692" s="148"/>
      <c r="Q692" s="148"/>
      <c r="R692" s="598"/>
    </row>
    <row r="693" spans="1:18" ht="30.75" hidden="1" customHeight="1" x14ac:dyDescent="0.2">
      <c r="A693" s="174"/>
      <c r="B693" s="174"/>
      <c r="C693" s="194"/>
      <c r="D693" s="150" t="s">
        <v>941</v>
      </c>
      <c r="E693" s="217">
        <v>1</v>
      </c>
      <c r="F693" s="226">
        <v>191152</v>
      </c>
      <c r="G693" s="148"/>
      <c r="H693" s="179"/>
      <c r="I693" s="179"/>
      <c r="J693" s="179"/>
      <c r="K693" s="179"/>
      <c r="L693" s="179"/>
      <c r="M693" s="148"/>
      <c r="N693" s="148"/>
      <c r="O693" s="148"/>
      <c r="P693" s="148"/>
      <c r="Q693" s="148">
        <f>SUM(G693:P693)</f>
        <v>0</v>
      </c>
      <c r="R693" s="598"/>
    </row>
    <row r="694" spans="1:18" ht="26.25" hidden="1" customHeight="1" x14ac:dyDescent="0.2">
      <c r="A694" s="174"/>
      <c r="B694" s="174"/>
      <c r="C694" s="194"/>
      <c r="D694" s="295" t="s">
        <v>942</v>
      </c>
      <c r="E694" s="217">
        <v>2</v>
      </c>
      <c r="F694" s="226">
        <v>196919</v>
      </c>
      <c r="G694" s="148"/>
      <c r="H694" s="179"/>
      <c r="I694" s="179"/>
      <c r="J694" s="179"/>
      <c r="K694" s="179"/>
      <c r="L694" s="179"/>
      <c r="M694" s="148"/>
      <c r="N694" s="148"/>
      <c r="O694" s="148"/>
      <c r="P694" s="148"/>
      <c r="Q694" s="148">
        <f>SUM(G694:P694)</f>
        <v>0</v>
      </c>
      <c r="R694" s="598"/>
    </row>
    <row r="695" spans="1:18" ht="15" hidden="1" customHeight="1" x14ac:dyDescent="0.2">
      <c r="A695" s="174"/>
      <c r="B695" s="174"/>
      <c r="C695" s="194"/>
      <c r="D695" s="277" t="s">
        <v>943</v>
      </c>
      <c r="E695" s="148"/>
      <c r="F695" s="351"/>
      <c r="G695" s="148"/>
      <c r="H695" s="179"/>
      <c r="I695" s="179"/>
      <c r="J695" s="179"/>
      <c r="K695" s="179"/>
      <c r="L695" s="179"/>
      <c r="M695" s="148"/>
      <c r="N695" s="148"/>
      <c r="O695" s="148"/>
      <c r="P695" s="148"/>
      <c r="Q695" s="148"/>
      <c r="R695" s="598"/>
    </row>
    <row r="696" spans="1:18" ht="14.25" hidden="1" customHeight="1" x14ac:dyDescent="0.2">
      <c r="A696" s="174"/>
      <c r="B696" s="174"/>
      <c r="C696" s="194"/>
      <c r="D696" s="277" t="s">
        <v>944</v>
      </c>
      <c r="E696" s="148">
        <v>2</v>
      </c>
      <c r="F696" s="352" t="s">
        <v>945</v>
      </c>
      <c r="G696" s="148"/>
      <c r="H696" s="179"/>
      <c r="I696" s="179"/>
      <c r="J696" s="179"/>
      <c r="K696" s="179"/>
      <c r="L696" s="179"/>
      <c r="M696" s="148"/>
      <c r="N696" s="148"/>
      <c r="O696" s="148"/>
      <c r="P696" s="148"/>
      <c r="Q696" s="148">
        <f>SUM(G696:P696)</f>
        <v>0</v>
      </c>
      <c r="R696" s="598"/>
    </row>
    <row r="697" spans="1:18" ht="14.1" hidden="1" customHeight="1" x14ac:dyDescent="0.2">
      <c r="A697" s="174"/>
      <c r="B697" s="174"/>
      <c r="C697" s="194"/>
      <c r="D697" s="288" t="s">
        <v>241</v>
      </c>
      <c r="E697" s="185"/>
      <c r="F697" s="185"/>
      <c r="G697" s="148"/>
      <c r="H697" s="179"/>
      <c r="I697" s="179"/>
      <c r="J697" s="179"/>
      <c r="K697" s="179"/>
      <c r="L697" s="179"/>
      <c r="M697" s="148"/>
      <c r="N697" s="148"/>
      <c r="O697" s="148"/>
      <c r="P697" s="148"/>
      <c r="Q697" s="148"/>
      <c r="R697" s="598"/>
    </row>
    <row r="698" spans="1:18" ht="14.1" hidden="1" customHeight="1" x14ac:dyDescent="0.2">
      <c r="A698" s="174"/>
      <c r="B698" s="174"/>
      <c r="C698" s="194"/>
      <c r="D698" s="277" t="s">
        <v>946</v>
      </c>
      <c r="E698" s="148">
        <v>2</v>
      </c>
      <c r="F698" s="148">
        <v>191801</v>
      </c>
      <c r="G698" s="148"/>
      <c r="H698" s="179"/>
      <c r="I698" s="179"/>
      <c r="J698" s="179"/>
      <c r="K698" s="179"/>
      <c r="L698" s="179"/>
      <c r="M698" s="148"/>
      <c r="N698" s="148"/>
      <c r="O698" s="148"/>
      <c r="P698" s="148"/>
      <c r="Q698" s="148">
        <f>SUM(G698:P698)</f>
        <v>0</v>
      </c>
      <c r="R698" s="598"/>
    </row>
    <row r="699" spans="1:18" ht="14.1" customHeight="1" x14ac:dyDescent="0.2">
      <c r="A699" s="200"/>
      <c r="B699" s="200"/>
      <c r="C699" s="201"/>
      <c r="D699" s="159" t="s">
        <v>947</v>
      </c>
      <c r="E699" s="203"/>
      <c r="F699" s="203"/>
      <c r="G699" s="204">
        <f t="shared" ref="G699:Q699" si="51">SUM(G669:G698)</f>
        <v>0</v>
      </c>
      <c r="H699" s="204">
        <f t="shared" si="51"/>
        <v>0</v>
      </c>
      <c r="I699" s="204">
        <f t="shared" si="51"/>
        <v>33625</v>
      </c>
      <c r="J699" s="204">
        <f t="shared" si="51"/>
        <v>0</v>
      </c>
      <c r="K699" s="204">
        <f t="shared" si="51"/>
        <v>51034</v>
      </c>
      <c r="L699" s="204">
        <f t="shared" si="51"/>
        <v>0</v>
      </c>
      <c r="M699" s="204">
        <f t="shared" si="51"/>
        <v>0</v>
      </c>
      <c r="N699" s="204">
        <f t="shared" si="51"/>
        <v>0</v>
      </c>
      <c r="O699" s="204">
        <f t="shared" si="51"/>
        <v>0</v>
      </c>
      <c r="P699" s="204">
        <f t="shared" si="51"/>
        <v>0</v>
      </c>
      <c r="Q699" s="204">
        <f t="shared" si="51"/>
        <v>84659</v>
      </c>
      <c r="R699" s="599"/>
    </row>
    <row r="700" spans="1:18" ht="14.1" customHeight="1" x14ac:dyDescent="0.2">
      <c r="A700" s="206"/>
      <c r="B700" s="206"/>
      <c r="C700" s="259"/>
      <c r="D700" s="281" t="s">
        <v>922</v>
      </c>
      <c r="E700" s="209"/>
      <c r="F700" s="209"/>
      <c r="G700" s="210"/>
      <c r="H700" s="210"/>
      <c r="I700" s="210"/>
      <c r="J700" s="210"/>
      <c r="K700" s="210"/>
      <c r="L700" s="210"/>
      <c r="M700" s="210"/>
      <c r="N700" s="210"/>
      <c r="O700" s="210"/>
      <c r="P700" s="210"/>
      <c r="Q700" s="210"/>
      <c r="R700" s="598"/>
    </row>
    <row r="701" spans="1:18" ht="25.5" customHeight="1" x14ac:dyDescent="0.2">
      <c r="A701" s="206"/>
      <c r="B701" s="206"/>
      <c r="C701" s="206" t="s">
        <v>100</v>
      </c>
      <c r="D701" s="443" t="s">
        <v>1402</v>
      </c>
      <c r="E701" s="330"/>
      <c r="F701" s="353">
        <v>192909</v>
      </c>
      <c r="G701" s="210"/>
      <c r="H701" s="210"/>
      <c r="I701" s="210"/>
      <c r="J701" s="210"/>
      <c r="K701" s="210"/>
      <c r="L701" s="210"/>
      <c r="M701" s="210"/>
      <c r="N701" s="148">
        <v>500</v>
      </c>
      <c r="O701" s="148"/>
      <c r="P701" s="148"/>
      <c r="Q701" s="148">
        <f>SUM(G701:P701)</f>
        <v>500</v>
      </c>
      <c r="R701" s="303" t="s">
        <v>1365</v>
      </c>
    </row>
    <row r="702" spans="1:18" ht="14.1" customHeight="1" x14ac:dyDescent="0.2">
      <c r="A702" s="200"/>
      <c r="B702" s="200"/>
      <c r="C702" s="201"/>
      <c r="D702" s="159" t="s">
        <v>343</v>
      </c>
      <c r="E702" s="203"/>
      <c r="F702" s="203"/>
      <c r="G702" s="204">
        <f>SUM(G699:G701)</f>
        <v>0</v>
      </c>
      <c r="H702" s="204">
        <f t="shared" ref="H702:Q702" si="52">SUM(H699:H701)</f>
        <v>0</v>
      </c>
      <c r="I702" s="204">
        <f t="shared" si="52"/>
        <v>33625</v>
      </c>
      <c r="J702" s="204">
        <f t="shared" si="52"/>
        <v>0</v>
      </c>
      <c r="K702" s="204">
        <f t="shared" si="52"/>
        <v>51034</v>
      </c>
      <c r="L702" s="204">
        <f t="shared" si="52"/>
        <v>0</v>
      </c>
      <c r="M702" s="204">
        <f t="shared" si="52"/>
        <v>0</v>
      </c>
      <c r="N702" s="204">
        <f t="shared" si="52"/>
        <v>500</v>
      </c>
      <c r="O702" s="204">
        <f t="shared" si="52"/>
        <v>0</v>
      </c>
      <c r="P702" s="204">
        <f t="shared" si="52"/>
        <v>0</v>
      </c>
      <c r="Q702" s="204">
        <f t="shared" si="52"/>
        <v>85159</v>
      </c>
      <c r="R702" s="599"/>
    </row>
    <row r="703" spans="1:18" ht="14.1" customHeight="1" x14ac:dyDescent="0.2">
      <c r="A703" s="354">
        <v>1</v>
      </c>
      <c r="B703" s="354" t="s">
        <v>948</v>
      </c>
      <c r="C703" s="355"/>
      <c r="D703" s="356" t="s">
        <v>949</v>
      </c>
      <c r="E703" s="357"/>
      <c r="F703" s="357"/>
      <c r="G703" s="358"/>
      <c r="H703" s="179"/>
      <c r="I703" s="179"/>
      <c r="J703" s="179"/>
      <c r="K703" s="179"/>
      <c r="L703" s="179"/>
      <c r="M703" s="148"/>
      <c r="N703" s="148"/>
      <c r="O703" s="358"/>
      <c r="P703" s="358"/>
      <c r="Q703" s="358"/>
      <c r="R703" s="598"/>
    </row>
    <row r="704" spans="1:18" ht="14.1" customHeight="1" x14ac:dyDescent="0.2">
      <c r="A704" s="354"/>
      <c r="B704" s="354"/>
      <c r="C704" s="355"/>
      <c r="D704" s="154" t="s">
        <v>229</v>
      </c>
      <c r="E704" s="212"/>
      <c r="F704" s="212"/>
      <c r="G704" s="358"/>
      <c r="H704" s="179"/>
      <c r="I704" s="179"/>
      <c r="J704" s="179"/>
      <c r="K704" s="179"/>
      <c r="L704" s="179"/>
      <c r="M704" s="148"/>
      <c r="N704" s="148"/>
      <c r="O704" s="358"/>
      <c r="P704" s="358"/>
      <c r="Q704" s="358"/>
      <c r="R704" s="598"/>
    </row>
    <row r="705" spans="1:18" ht="14.1" customHeight="1" x14ac:dyDescent="0.2">
      <c r="A705" s="354"/>
      <c r="B705" s="354"/>
      <c r="C705" s="355"/>
      <c r="D705" s="350" t="s">
        <v>950</v>
      </c>
      <c r="E705" s="342">
        <v>2</v>
      </c>
      <c r="F705" s="342">
        <v>221901</v>
      </c>
      <c r="G705" s="359">
        <v>250</v>
      </c>
      <c r="H705" s="179">
        <v>35</v>
      </c>
      <c r="I705" s="179">
        <v>-4127</v>
      </c>
      <c r="J705" s="179"/>
      <c r="K705" s="179"/>
      <c r="L705" s="179">
        <v>127</v>
      </c>
      <c r="M705" s="148"/>
      <c r="N705" s="148"/>
      <c r="O705" s="342"/>
      <c r="P705" s="342"/>
      <c r="Q705" s="342">
        <f t="shared" ref="Q705:Q714" si="53">SUM(G705:P705)</f>
        <v>-3715</v>
      </c>
      <c r="R705" s="598" t="s">
        <v>1282</v>
      </c>
    </row>
    <row r="706" spans="1:18" ht="14.1" hidden="1" customHeight="1" x14ac:dyDescent="0.2">
      <c r="A706" s="354"/>
      <c r="B706" s="354"/>
      <c r="C706" s="355"/>
      <c r="D706" s="288" t="s">
        <v>951</v>
      </c>
      <c r="E706" s="198">
        <v>1</v>
      </c>
      <c r="F706" s="148">
        <v>221912</v>
      </c>
      <c r="G706" s="359"/>
      <c r="H706" s="179"/>
      <c r="I706" s="179"/>
      <c r="J706" s="179"/>
      <c r="K706" s="179"/>
      <c r="L706" s="179"/>
      <c r="M706" s="342"/>
      <c r="N706" s="342"/>
      <c r="O706" s="342"/>
      <c r="P706" s="342"/>
      <c r="Q706" s="342">
        <f t="shared" si="53"/>
        <v>0</v>
      </c>
      <c r="R706" s="598"/>
    </row>
    <row r="707" spans="1:18" ht="14.1" hidden="1" customHeight="1" x14ac:dyDescent="0.2">
      <c r="A707" s="588"/>
      <c r="B707" s="588"/>
      <c r="C707" s="589"/>
      <c r="D707" s="593" t="s">
        <v>1019</v>
      </c>
      <c r="E707" s="594">
        <v>2</v>
      </c>
      <c r="F707" s="509">
        <v>221956</v>
      </c>
      <c r="G707" s="590"/>
      <c r="H707" s="591"/>
      <c r="I707" s="591"/>
      <c r="J707" s="591"/>
      <c r="K707" s="591"/>
      <c r="L707" s="591"/>
      <c r="M707" s="592"/>
      <c r="N707" s="592"/>
      <c r="O707" s="592"/>
      <c r="P707" s="592"/>
      <c r="Q707" s="342">
        <f t="shared" si="53"/>
        <v>0</v>
      </c>
      <c r="R707" s="598"/>
    </row>
    <row r="708" spans="1:18" ht="14.1" hidden="1" customHeight="1" x14ac:dyDescent="0.2">
      <c r="A708" s="354"/>
      <c r="B708" s="354"/>
      <c r="C708" s="355"/>
      <c r="D708" s="288" t="s">
        <v>952</v>
      </c>
      <c r="E708" s="198">
        <v>2</v>
      </c>
      <c r="F708" s="148">
        <v>221916</v>
      </c>
      <c r="G708" s="359"/>
      <c r="H708" s="179"/>
      <c r="I708" s="179"/>
      <c r="J708" s="179"/>
      <c r="K708" s="179"/>
      <c r="L708" s="179"/>
      <c r="M708" s="342"/>
      <c r="N708" s="342"/>
      <c r="O708" s="342"/>
      <c r="P708" s="342"/>
      <c r="Q708" s="342">
        <f t="shared" si="53"/>
        <v>0</v>
      </c>
      <c r="R708" s="598"/>
    </row>
    <row r="709" spans="1:18" ht="14.1" hidden="1" customHeight="1" x14ac:dyDescent="0.2">
      <c r="A709" s="354"/>
      <c r="B709" s="354"/>
      <c r="C709" s="355"/>
      <c r="D709" s="277" t="s">
        <v>953</v>
      </c>
      <c r="E709" s="198">
        <v>2</v>
      </c>
      <c r="F709" s="148">
        <v>221904</v>
      </c>
      <c r="G709" s="359"/>
      <c r="H709" s="179"/>
      <c r="I709" s="179"/>
      <c r="J709" s="179"/>
      <c r="K709" s="179"/>
      <c r="L709" s="179"/>
      <c r="M709" s="148"/>
      <c r="N709" s="148"/>
      <c r="O709" s="342"/>
      <c r="P709" s="342"/>
      <c r="Q709" s="342">
        <f t="shared" si="53"/>
        <v>0</v>
      </c>
      <c r="R709" s="598"/>
    </row>
    <row r="710" spans="1:18" ht="14.1" hidden="1" customHeight="1" x14ac:dyDescent="0.2">
      <c r="A710" s="354"/>
      <c r="B710" s="354"/>
      <c r="C710" s="355"/>
      <c r="D710" s="277" t="s">
        <v>954</v>
      </c>
      <c r="E710" s="148">
        <v>2</v>
      </c>
      <c r="F710" s="148">
        <v>221922</v>
      </c>
      <c r="G710" s="359"/>
      <c r="H710" s="179"/>
      <c r="I710" s="179"/>
      <c r="J710" s="179"/>
      <c r="K710" s="179"/>
      <c r="L710" s="179"/>
      <c r="M710" s="148"/>
      <c r="N710" s="148"/>
      <c r="O710" s="342"/>
      <c r="P710" s="342"/>
      <c r="Q710" s="342">
        <f t="shared" si="53"/>
        <v>0</v>
      </c>
      <c r="R710" s="598"/>
    </row>
    <row r="711" spans="1:18" ht="14.1" hidden="1" customHeight="1" x14ac:dyDescent="0.2">
      <c r="A711" s="354"/>
      <c r="B711" s="354"/>
      <c r="C711" s="355"/>
      <c r="D711" s="277" t="s">
        <v>955</v>
      </c>
      <c r="E711" s="185">
        <v>2</v>
      </c>
      <c r="F711" s="148">
        <v>221939</v>
      </c>
      <c r="G711" s="359"/>
      <c r="H711" s="179"/>
      <c r="I711" s="179"/>
      <c r="J711" s="179"/>
      <c r="K711" s="179"/>
      <c r="L711" s="179"/>
      <c r="M711" s="148"/>
      <c r="N711" s="148"/>
      <c r="O711" s="342"/>
      <c r="P711" s="342"/>
      <c r="Q711" s="342">
        <f t="shared" si="53"/>
        <v>0</v>
      </c>
      <c r="R711" s="598"/>
    </row>
    <row r="712" spans="1:18" ht="14.1" hidden="1" customHeight="1" x14ac:dyDescent="0.2">
      <c r="A712" s="354"/>
      <c r="B712" s="354"/>
      <c r="C712" s="355"/>
      <c r="D712" s="277" t="s">
        <v>956</v>
      </c>
      <c r="E712" s="185">
        <v>2</v>
      </c>
      <c r="F712" s="148">
        <v>221927</v>
      </c>
      <c r="G712" s="359"/>
      <c r="H712" s="179"/>
      <c r="I712" s="179"/>
      <c r="J712" s="179"/>
      <c r="K712" s="179"/>
      <c r="L712" s="179"/>
      <c r="M712" s="148"/>
      <c r="N712" s="148"/>
      <c r="O712" s="342"/>
      <c r="P712" s="342"/>
      <c r="Q712" s="342">
        <f t="shared" si="53"/>
        <v>0</v>
      </c>
      <c r="R712" s="598"/>
    </row>
    <row r="713" spans="1:18" ht="26.25" hidden="1" customHeight="1" x14ac:dyDescent="0.2">
      <c r="A713" s="354"/>
      <c r="B713" s="354"/>
      <c r="C713" s="355"/>
      <c r="D713" s="336" t="s">
        <v>957</v>
      </c>
      <c r="E713" s="185">
        <v>2</v>
      </c>
      <c r="F713" s="148">
        <v>221935</v>
      </c>
      <c r="G713" s="359"/>
      <c r="H713" s="179"/>
      <c r="I713" s="179"/>
      <c r="J713" s="179"/>
      <c r="K713" s="179"/>
      <c r="L713" s="179"/>
      <c r="M713" s="148"/>
      <c r="N713" s="148"/>
      <c r="O713" s="342"/>
      <c r="P713" s="342"/>
      <c r="Q713" s="342">
        <f t="shared" si="53"/>
        <v>0</v>
      </c>
      <c r="R713" s="598"/>
    </row>
    <row r="714" spans="1:18" ht="14.1" customHeight="1" x14ac:dyDescent="0.2">
      <c r="A714" s="354"/>
      <c r="B714" s="354"/>
      <c r="C714" s="355"/>
      <c r="D714" s="277" t="s">
        <v>958</v>
      </c>
      <c r="E714" s="148">
        <v>2</v>
      </c>
      <c r="F714" s="148">
        <v>191110</v>
      </c>
      <c r="G714" s="148"/>
      <c r="H714" s="179"/>
      <c r="I714" s="179">
        <v>-500</v>
      </c>
      <c r="J714" s="179"/>
      <c r="K714" s="179"/>
      <c r="L714" s="179"/>
      <c r="M714" s="148"/>
      <c r="N714" s="148"/>
      <c r="O714" s="148"/>
      <c r="P714" s="148"/>
      <c r="Q714" s="342">
        <f t="shared" si="53"/>
        <v>-500</v>
      </c>
      <c r="R714" s="598" t="s">
        <v>1366</v>
      </c>
    </row>
    <row r="715" spans="1:18" ht="14.1" hidden="1" customHeight="1" x14ac:dyDescent="0.2">
      <c r="A715" s="354"/>
      <c r="B715" s="354"/>
      <c r="C715" s="355"/>
      <c r="D715" s="277" t="s">
        <v>959</v>
      </c>
      <c r="E715" s="185"/>
      <c r="F715" s="185"/>
      <c r="G715" s="148"/>
      <c r="H715" s="179"/>
      <c r="I715" s="179"/>
      <c r="J715" s="179"/>
      <c r="K715" s="179"/>
      <c r="L715" s="179"/>
      <c r="M715" s="148"/>
      <c r="N715" s="148"/>
      <c r="O715" s="148"/>
      <c r="P715" s="148"/>
      <c r="Q715" s="342"/>
      <c r="R715" s="598"/>
    </row>
    <row r="716" spans="1:18" ht="14.1" hidden="1" customHeight="1" x14ac:dyDescent="0.2">
      <c r="A716" s="354"/>
      <c r="B716" s="354"/>
      <c r="C716" s="355"/>
      <c r="D716" s="277" t="s">
        <v>960</v>
      </c>
      <c r="E716" s="148">
        <v>2</v>
      </c>
      <c r="F716" s="148">
        <v>191301</v>
      </c>
      <c r="G716" s="148"/>
      <c r="H716" s="179"/>
      <c r="I716" s="179"/>
      <c r="J716" s="179"/>
      <c r="K716" s="179"/>
      <c r="L716" s="179"/>
      <c r="M716" s="148"/>
      <c r="N716" s="148"/>
      <c r="O716" s="148"/>
      <c r="P716" s="148"/>
      <c r="Q716" s="342">
        <f>SUM(G716:P716)</f>
        <v>0</v>
      </c>
      <c r="R716" s="598"/>
    </row>
    <row r="717" spans="1:18" ht="14.1" hidden="1" customHeight="1" x14ac:dyDescent="0.2">
      <c r="A717" s="354"/>
      <c r="B717" s="354"/>
      <c r="C717" s="355"/>
      <c r="D717" s="277" t="s">
        <v>961</v>
      </c>
      <c r="E717" s="148">
        <v>2</v>
      </c>
      <c r="F717" s="148">
        <v>191302</v>
      </c>
      <c r="G717" s="148"/>
      <c r="H717" s="179"/>
      <c r="I717" s="179"/>
      <c r="J717" s="179"/>
      <c r="K717" s="179"/>
      <c r="L717" s="179"/>
      <c r="M717" s="148"/>
      <c r="N717" s="148"/>
      <c r="O717" s="148"/>
      <c r="P717" s="148"/>
      <c r="Q717" s="342">
        <f>SUM(G717:P717)</f>
        <v>0</v>
      </c>
      <c r="R717" s="598"/>
    </row>
    <row r="718" spans="1:18" ht="14.1" customHeight="1" x14ac:dyDescent="0.2">
      <c r="A718" s="354"/>
      <c r="B718" s="354"/>
      <c r="C718" s="355"/>
      <c r="D718" s="360" t="s">
        <v>252</v>
      </c>
      <c r="E718" s="198"/>
      <c r="F718" s="148"/>
      <c r="G718" s="361"/>
      <c r="H718" s="179"/>
      <c r="I718" s="179"/>
      <c r="J718" s="179"/>
      <c r="K718" s="179"/>
      <c r="L718" s="179"/>
      <c r="M718" s="148"/>
      <c r="N718" s="148"/>
      <c r="O718" s="342"/>
      <c r="P718" s="342"/>
      <c r="Q718" s="342"/>
      <c r="R718" s="598"/>
    </row>
    <row r="719" spans="1:18" ht="14.1" customHeight="1" x14ac:dyDescent="0.2">
      <c r="A719" s="354"/>
      <c r="B719" s="354"/>
      <c r="C719" s="355"/>
      <c r="D719" s="150" t="s">
        <v>962</v>
      </c>
      <c r="E719" s="255">
        <v>2</v>
      </c>
      <c r="F719" s="226">
        <v>221951</v>
      </c>
      <c r="G719" s="148"/>
      <c r="H719" s="179"/>
      <c r="I719" s="179">
        <v>-500</v>
      </c>
      <c r="J719" s="179"/>
      <c r="K719" s="179">
        <v>-261</v>
      </c>
      <c r="L719" s="179"/>
      <c r="M719" s="148"/>
      <c r="N719" s="148">
        <v>1200</v>
      </c>
      <c r="O719" s="148"/>
      <c r="P719" s="148"/>
      <c r="Q719" s="342">
        <f>SUM(G719:P719)</f>
        <v>439</v>
      </c>
      <c r="R719" s="598" t="s">
        <v>1366</v>
      </c>
    </row>
    <row r="720" spans="1:18" ht="14.1" customHeight="1" x14ac:dyDescent="0.2">
      <c r="A720" s="354"/>
      <c r="B720" s="354"/>
      <c r="C720" s="362"/>
      <c r="D720" s="363" t="s">
        <v>963</v>
      </c>
      <c r="E720" s="198">
        <v>2</v>
      </c>
      <c r="F720" s="148" t="s">
        <v>964</v>
      </c>
      <c r="G720" s="359"/>
      <c r="H720" s="179"/>
      <c r="I720" s="179">
        <v>-6727</v>
      </c>
      <c r="J720" s="179"/>
      <c r="K720" s="179">
        <v>3608</v>
      </c>
      <c r="L720" s="179">
        <v>416</v>
      </c>
      <c r="M720" s="342"/>
      <c r="N720" s="342">
        <v>250</v>
      </c>
      <c r="O720" s="342"/>
      <c r="P720" s="342"/>
      <c r="Q720" s="342">
        <f>SUM(G720:P720)</f>
        <v>-2453</v>
      </c>
      <c r="R720" s="598" t="s">
        <v>1366</v>
      </c>
    </row>
    <row r="721" spans="1:18" ht="14.1" hidden="1" customHeight="1" x14ac:dyDescent="0.2">
      <c r="A721" s="354"/>
      <c r="B721" s="354"/>
      <c r="C721" s="355"/>
      <c r="D721" s="288" t="s">
        <v>965</v>
      </c>
      <c r="E721" s="198"/>
      <c r="F721" s="148"/>
      <c r="G721" s="359"/>
      <c r="H721" s="179"/>
      <c r="I721" s="179"/>
      <c r="J721" s="179"/>
      <c r="K721" s="179"/>
      <c r="L721" s="179"/>
      <c r="M721" s="342"/>
      <c r="N721" s="342"/>
      <c r="O721" s="342"/>
      <c r="P721" s="342"/>
      <c r="Q721" s="342"/>
      <c r="R721" s="598"/>
    </row>
    <row r="722" spans="1:18" ht="14.1" hidden="1" customHeight="1" x14ac:dyDescent="0.2">
      <c r="A722" s="354"/>
      <c r="B722" s="354"/>
      <c r="C722" s="355"/>
      <c r="D722" s="288" t="s">
        <v>966</v>
      </c>
      <c r="E722" s="198">
        <v>2</v>
      </c>
      <c r="F722" s="148">
        <v>221929</v>
      </c>
      <c r="G722" s="359"/>
      <c r="H722" s="179"/>
      <c r="I722" s="179"/>
      <c r="J722" s="179"/>
      <c r="K722" s="179"/>
      <c r="L722" s="179"/>
      <c r="M722" s="342"/>
      <c r="N722" s="342"/>
      <c r="O722" s="342"/>
      <c r="P722" s="342"/>
      <c r="Q722" s="342">
        <f>SUM(G722:P722)</f>
        <v>0</v>
      </c>
      <c r="R722" s="598"/>
    </row>
    <row r="723" spans="1:18" ht="14.1" hidden="1" customHeight="1" x14ac:dyDescent="0.2">
      <c r="A723" s="354"/>
      <c r="B723" s="354"/>
      <c r="C723" s="364"/>
      <c r="D723" s="288" t="s">
        <v>967</v>
      </c>
      <c r="E723" s="198">
        <v>2</v>
      </c>
      <c r="F723" s="148">
        <v>191402</v>
      </c>
      <c r="G723" s="359"/>
      <c r="H723" s="179"/>
      <c r="I723" s="179"/>
      <c r="J723" s="179"/>
      <c r="K723" s="179"/>
      <c r="L723" s="179"/>
      <c r="M723" s="342"/>
      <c r="N723" s="342"/>
      <c r="O723" s="342"/>
      <c r="P723" s="342"/>
      <c r="Q723" s="342">
        <f>SUM(G723:P723)</f>
        <v>0</v>
      </c>
      <c r="R723" s="598"/>
    </row>
    <row r="724" spans="1:18" ht="14.1" hidden="1" customHeight="1" x14ac:dyDescent="0.2">
      <c r="A724" s="354"/>
      <c r="B724" s="354"/>
      <c r="C724" s="364"/>
      <c r="D724" s="288" t="s">
        <v>968</v>
      </c>
      <c r="E724" s="198"/>
      <c r="F724" s="148"/>
      <c r="G724" s="359"/>
      <c r="H724" s="179"/>
      <c r="I724" s="179"/>
      <c r="J724" s="179"/>
      <c r="K724" s="179"/>
      <c r="L724" s="179"/>
      <c r="M724" s="342"/>
      <c r="N724" s="342"/>
      <c r="O724" s="342"/>
      <c r="P724" s="342"/>
      <c r="Q724" s="342"/>
      <c r="R724" s="598"/>
    </row>
    <row r="725" spans="1:18" ht="14.1" hidden="1" customHeight="1" x14ac:dyDescent="0.2">
      <c r="A725" s="354"/>
      <c r="B725" s="354"/>
      <c r="C725" s="364"/>
      <c r="D725" s="288" t="s">
        <v>969</v>
      </c>
      <c r="E725" s="198">
        <v>1</v>
      </c>
      <c r="F725" s="148">
        <v>221909</v>
      </c>
      <c r="G725" s="359"/>
      <c r="H725" s="179"/>
      <c r="I725" s="179"/>
      <c r="J725" s="179"/>
      <c r="K725" s="179"/>
      <c r="L725" s="179"/>
      <c r="M725" s="342"/>
      <c r="N725" s="342"/>
      <c r="O725" s="342"/>
      <c r="P725" s="342"/>
      <c r="Q725" s="342">
        <f>SUM(G725:P725)</f>
        <v>0</v>
      </c>
      <c r="R725" s="598"/>
    </row>
    <row r="726" spans="1:18" ht="14.1" hidden="1" customHeight="1" x14ac:dyDescent="0.2">
      <c r="A726" s="354"/>
      <c r="B726" s="354"/>
      <c r="C726" s="355"/>
      <c r="D726" s="288" t="s">
        <v>970</v>
      </c>
      <c r="E726" s="198">
        <v>1</v>
      </c>
      <c r="F726" s="148">
        <v>221913</v>
      </c>
      <c r="G726" s="359"/>
      <c r="H726" s="179"/>
      <c r="I726" s="389"/>
      <c r="J726" s="179"/>
      <c r="K726" s="179"/>
      <c r="L726" s="179"/>
      <c r="M726" s="342"/>
      <c r="N726" s="342"/>
      <c r="O726" s="342"/>
      <c r="P726" s="342"/>
      <c r="Q726" s="342">
        <f>SUM(G726:P726)</f>
        <v>0</v>
      </c>
      <c r="R726" s="598"/>
    </row>
    <row r="727" spans="1:18" ht="14.1" hidden="1" customHeight="1" x14ac:dyDescent="0.2">
      <c r="A727" s="611"/>
      <c r="B727" s="611"/>
      <c r="C727" s="612"/>
      <c r="D727" s="613" t="s">
        <v>1028</v>
      </c>
      <c r="E727" s="582">
        <v>1</v>
      </c>
      <c r="F727" s="587">
        <v>221962</v>
      </c>
      <c r="G727" s="586"/>
      <c r="H727" s="583"/>
      <c r="I727" s="583"/>
      <c r="J727" s="583"/>
      <c r="K727" s="583"/>
      <c r="L727" s="583"/>
      <c r="M727" s="586"/>
      <c r="N727" s="586"/>
      <c r="O727" s="582"/>
      <c r="P727" s="582"/>
      <c r="Q727" s="342">
        <f>SUM(G727:P727)</f>
        <v>0</v>
      </c>
      <c r="R727" s="598"/>
    </row>
    <row r="728" spans="1:18" ht="24.95" hidden="1" customHeight="1" x14ac:dyDescent="0.2">
      <c r="A728" s="354"/>
      <c r="B728" s="354"/>
      <c r="C728" s="355"/>
      <c r="D728" s="149" t="s">
        <v>971</v>
      </c>
      <c r="E728" s="198">
        <v>2</v>
      </c>
      <c r="F728" s="207">
        <v>221955</v>
      </c>
      <c r="G728" s="359"/>
      <c r="H728" s="179"/>
      <c r="I728" s="179"/>
      <c r="J728" s="179"/>
      <c r="K728" s="179"/>
      <c r="L728" s="179"/>
      <c r="M728" s="342"/>
      <c r="N728" s="342"/>
      <c r="O728" s="342"/>
      <c r="P728" s="342"/>
      <c r="Q728" s="342">
        <f>SUM(G728:P728)</f>
        <v>0</v>
      </c>
      <c r="R728" s="598"/>
    </row>
    <row r="729" spans="1:18" ht="16.5" hidden="1" customHeight="1" x14ac:dyDescent="0.2">
      <c r="A729" s="354"/>
      <c r="B729" s="354"/>
      <c r="C729" s="355"/>
      <c r="D729" s="277" t="s">
        <v>972</v>
      </c>
      <c r="E729" s="185"/>
      <c r="F729" s="185"/>
      <c r="G729" s="182"/>
      <c r="H729" s="179"/>
      <c r="I729" s="179"/>
      <c r="J729" s="179"/>
      <c r="K729" s="179"/>
      <c r="L729" s="179"/>
      <c r="M729" s="182"/>
      <c r="N729" s="182"/>
      <c r="O729" s="148"/>
      <c r="P729" s="148"/>
      <c r="Q729" s="148"/>
      <c r="R729" s="598"/>
    </row>
    <row r="730" spans="1:18" ht="14.25" hidden="1" customHeight="1" x14ac:dyDescent="0.2">
      <c r="A730" s="354"/>
      <c r="B730" s="354"/>
      <c r="C730" s="355"/>
      <c r="D730" s="277" t="s">
        <v>973</v>
      </c>
      <c r="E730" s="148">
        <v>2</v>
      </c>
      <c r="F730" s="148">
        <v>191151</v>
      </c>
      <c r="G730" s="198"/>
      <c r="H730" s="179"/>
      <c r="I730" s="179"/>
      <c r="J730" s="179"/>
      <c r="K730" s="179"/>
      <c r="L730" s="179"/>
      <c r="M730" s="198"/>
      <c r="N730" s="198"/>
      <c r="O730" s="148"/>
      <c r="P730" s="148"/>
      <c r="Q730" s="148">
        <f>SUM(G730:P730)</f>
        <v>0</v>
      </c>
      <c r="R730" s="598"/>
    </row>
    <row r="731" spans="1:18" ht="15.95" hidden="1" customHeight="1" x14ac:dyDescent="0.2">
      <c r="A731" s="354"/>
      <c r="B731" s="354"/>
      <c r="C731" s="355"/>
      <c r="D731" s="277" t="s">
        <v>406</v>
      </c>
      <c r="E731" s="198"/>
      <c r="F731" s="207"/>
      <c r="G731" s="359"/>
      <c r="H731" s="179"/>
      <c r="I731" s="179"/>
      <c r="J731" s="179"/>
      <c r="K731" s="179"/>
      <c r="L731" s="179"/>
      <c r="M731" s="342"/>
      <c r="N731" s="342"/>
      <c r="O731" s="342"/>
      <c r="P731" s="342"/>
      <c r="Q731" s="342"/>
      <c r="R731" s="598"/>
    </row>
    <row r="732" spans="1:18" ht="24" hidden="1" customHeight="1" x14ac:dyDescent="0.2">
      <c r="A732" s="354"/>
      <c r="B732" s="354"/>
      <c r="C732" s="355"/>
      <c r="D732" s="150" t="s">
        <v>998</v>
      </c>
      <c r="E732" s="198">
        <v>2</v>
      </c>
      <c r="F732" s="207">
        <v>221942</v>
      </c>
      <c r="G732" s="359"/>
      <c r="H732" s="179"/>
      <c r="I732" s="179"/>
      <c r="J732" s="179"/>
      <c r="K732" s="179"/>
      <c r="L732" s="179"/>
      <c r="M732" s="342"/>
      <c r="N732" s="342"/>
      <c r="O732" s="342"/>
      <c r="P732" s="342"/>
      <c r="Q732" s="342">
        <f t="shared" ref="Q732:Q737" si="54">SUM(G732:P732)</f>
        <v>0</v>
      </c>
      <c r="R732" s="598"/>
    </row>
    <row r="733" spans="1:18" ht="18.75" hidden="1" customHeight="1" x14ac:dyDescent="0.2">
      <c r="A733" s="354"/>
      <c r="B733" s="354"/>
      <c r="C733" s="355"/>
      <c r="D733" s="150" t="s">
        <v>1004</v>
      </c>
      <c r="E733" s="198">
        <v>2</v>
      </c>
      <c r="F733" s="510">
        <v>221961</v>
      </c>
      <c r="G733" s="359"/>
      <c r="H733" s="179"/>
      <c r="I733" s="179"/>
      <c r="J733" s="179"/>
      <c r="K733" s="179"/>
      <c r="L733" s="179"/>
      <c r="M733" s="342"/>
      <c r="N733" s="342"/>
      <c r="O733" s="342"/>
      <c r="P733" s="342"/>
      <c r="Q733" s="342">
        <f t="shared" si="54"/>
        <v>0</v>
      </c>
      <c r="R733" s="598"/>
    </row>
    <row r="734" spans="1:18" ht="26.25" hidden="1" customHeight="1" x14ac:dyDescent="0.2">
      <c r="A734" s="354"/>
      <c r="B734" s="354"/>
      <c r="C734" s="355"/>
      <c r="D734" s="150" t="s">
        <v>974</v>
      </c>
      <c r="E734" s="198">
        <v>2</v>
      </c>
      <c r="F734" s="207">
        <v>221910</v>
      </c>
      <c r="G734" s="359"/>
      <c r="H734" s="179"/>
      <c r="I734" s="179"/>
      <c r="J734" s="179"/>
      <c r="K734" s="179"/>
      <c r="L734" s="179"/>
      <c r="M734" s="342"/>
      <c r="N734" s="342"/>
      <c r="O734" s="342"/>
      <c r="P734" s="342"/>
      <c r="Q734" s="342">
        <f t="shared" si="54"/>
        <v>0</v>
      </c>
      <c r="R734" s="598"/>
    </row>
    <row r="735" spans="1:18" ht="15.75" hidden="1" customHeight="1" x14ac:dyDescent="0.2">
      <c r="A735" s="354"/>
      <c r="B735" s="354"/>
      <c r="C735" s="355"/>
      <c r="D735" s="776" t="s">
        <v>1016</v>
      </c>
      <c r="E735" s="185">
        <v>2</v>
      </c>
      <c r="F735" s="148">
        <v>121518</v>
      </c>
      <c r="G735" s="359"/>
      <c r="H735" s="179"/>
      <c r="I735" s="179"/>
      <c r="J735" s="179"/>
      <c r="K735" s="179"/>
      <c r="L735" s="179"/>
      <c r="M735" s="342"/>
      <c r="N735" s="342"/>
      <c r="O735" s="342"/>
      <c r="P735" s="342"/>
      <c r="Q735" s="342">
        <f t="shared" si="54"/>
        <v>0</v>
      </c>
      <c r="R735" s="598"/>
    </row>
    <row r="736" spans="1:18" ht="15.75" hidden="1" customHeight="1" x14ac:dyDescent="0.2">
      <c r="A736" s="354"/>
      <c r="B736" s="354"/>
      <c r="C736" s="355"/>
      <c r="D736" s="763" t="s">
        <v>975</v>
      </c>
      <c r="E736" s="198">
        <v>2</v>
      </c>
      <c r="F736" s="503">
        <v>221931</v>
      </c>
      <c r="G736" s="359"/>
      <c r="H736" s="179"/>
      <c r="I736" s="179"/>
      <c r="J736" s="179"/>
      <c r="K736" s="179"/>
      <c r="L736" s="179"/>
      <c r="M736" s="342"/>
      <c r="N736" s="342"/>
      <c r="O736" s="342"/>
      <c r="P736" s="342"/>
      <c r="Q736" s="342">
        <f t="shared" si="54"/>
        <v>0</v>
      </c>
      <c r="R736" s="598"/>
    </row>
    <row r="737" spans="1:18" ht="15.75" hidden="1" customHeight="1" x14ac:dyDescent="0.2">
      <c r="A737" s="851"/>
      <c r="B737" s="851"/>
      <c r="C737" s="852"/>
      <c r="D737" s="855" t="s">
        <v>1323</v>
      </c>
      <c r="E737" s="856">
        <v>2</v>
      </c>
      <c r="F737" s="857">
        <v>221963</v>
      </c>
      <c r="G737" s="853"/>
      <c r="H737" s="826"/>
      <c r="I737" s="826"/>
      <c r="J737" s="826"/>
      <c r="K737" s="826"/>
      <c r="L737" s="826"/>
      <c r="M737" s="854"/>
      <c r="N737" s="854"/>
      <c r="O737" s="854"/>
      <c r="P737" s="854"/>
      <c r="Q737" s="342">
        <f t="shared" si="54"/>
        <v>0</v>
      </c>
      <c r="R737" s="827"/>
    </row>
    <row r="738" spans="1:18" ht="14.1" customHeight="1" x14ac:dyDescent="0.2">
      <c r="A738" s="200"/>
      <c r="B738" s="200"/>
      <c r="C738" s="201"/>
      <c r="D738" s="300" t="s">
        <v>976</v>
      </c>
      <c r="E738" s="365"/>
      <c r="F738" s="203"/>
      <c r="G738" s="366">
        <f>SUM(G705:G737)</f>
        <v>250</v>
      </c>
      <c r="H738" s="366">
        <f t="shared" ref="H738:Q738" si="55">SUM(H705:H737)</f>
        <v>35</v>
      </c>
      <c r="I738" s="366">
        <f t="shared" si="55"/>
        <v>-11854</v>
      </c>
      <c r="J738" s="366">
        <f t="shared" si="55"/>
        <v>0</v>
      </c>
      <c r="K738" s="366">
        <f t="shared" si="55"/>
        <v>3347</v>
      </c>
      <c r="L738" s="366">
        <f t="shared" si="55"/>
        <v>543</v>
      </c>
      <c r="M738" s="366">
        <f t="shared" si="55"/>
        <v>0</v>
      </c>
      <c r="N738" s="366">
        <f t="shared" si="55"/>
        <v>1450</v>
      </c>
      <c r="O738" s="366">
        <f t="shared" si="55"/>
        <v>0</v>
      </c>
      <c r="P738" s="366">
        <f t="shared" si="55"/>
        <v>0</v>
      </c>
      <c r="Q738" s="366">
        <f t="shared" si="55"/>
        <v>-6229</v>
      </c>
      <c r="R738" s="599"/>
    </row>
    <row r="739" spans="1:18" ht="14.1" customHeight="1" x14ac:dyDescent="0.2">
      <c r="A739" s="206"/>
      <c r="B739" s="206"/>
      <c r="C739" s="206"/>
      <c r="D739" s="367" t="s">
        <v>977</v>
      </c>
      <c r="E739" s="340"/>
      <c r="F739" s="209"/>
      <c r="G739" s="262"/>
      <c r="H739" s="262"/>
      <c r="I739" s="262"/>
      <c r="J739" s="262"/>
      <c r="K739" s="262"/>
      <c r="L739" s="262"/>
      <c r="M739" s="262"/>
      <c r="N739" s="262"/>
      <c r="O739" s="262"/>
      <c r="P739" s="262"/>
      <c r="Q739" s="262"/>
      <c r="R739" s="598"/>
    </row>
    <row r="740" spans="1:18" ht="18.75" hidden="1" customHeight="1" x14ac:dyDescent="0.2">
      <c r="A740" s="206"/>
      <c r="B740" s="206"/>
      <c r="C740" s="726" t="s">
        <v>100</v>
      </c>
      <c r="D740" s="777" t="s">
        <v>1260</v>
      </c>
      <c r="E740" s="506"/>
      <c r="F740" s="503">
        <v>222925</v>
      </c>
      <c r="G740" s="262"/>
      <c r="H740" s="262"/>
      <c r="I740" s="198"/>
      <c r="J740" s="262"/>
      <c r="K740" s="262"/>
      <c r="L740" s="198"/>
      <c r="M740" s="262"/>
      <c r="N740" s="262"/>
      <c r="O740" s="262"/>
      <c r="P740" s="262"/>
      <c r="Q740" s="198">
        <f>SUM(I740:P740)</f>
        <v>0</v>
      </c>
      <c r="R740" s="598"/>
    </row>
    <row r="741" spans="1:18" ht="18" hidden="1" customHeight="1" x14ac:dyDescent="0.2">
      <c r="A741" s="206"/>
      <c r="B741" s="206"/>
      <c r="C741" s="726" t="s">
        <v>99</v>
      </c>
      <c r="D741" s="710" t="s">
        <v>1261</v>
      </c>
      <c r="E741" s="506"/>
      <c r="F741" s="503">
        <v>222926</v>
      </c>
      <c r="G741" s="262"/>
      <c r="H741" s="262"/>
      <c r="I741" s="198"/>
      <c r="J741" s="262"/>
      <c r="K741" s="262"/>
      <c r="L741" s="198"/>
      <c r="M741" s="262"/>
      <c r="N741" s="198"/>
      <c r="O741" s="262"/>
      <c r="P741" s="262"/>
      <c r="Q741" s="198">
        <f>SUM(I741:P741)</f>
        <v>0</v>
      </c>
      <c r="R741" s="598"/>
    </row>
    <row r="742" spans="1:18" ht="16.5" hidden="1" customHeight="1" x14ac:dyDescent="0.2">
      <c r="A742" s="206"/>
      <c r="B742" s="206"/>
      <c r="C742" s="726" t="s">
        <v>101</v>
      </c>
      <c r="D742" s="710" t="s">
        <v>1262</v>
      </c>
      <c r="E742" s="506"/>
      <c r="F742" s="503">
        <v>222927</v>
      </c>
      <c r="G742" s="262"/>
      <c r="H742" s="262"/>
      <c r="I742" s="262"/>
      <c r="J742" s="262"/>
      <c r="K742" s="262"/>
      <c r="L742" s="262"/>
      <c r="M742" s="262"/>
      <c r="N742" s="262"/>
      <c r="O742" s="262"/>
      <c r="P742" s="262"/>
      <c r="Q742" s="198">
        <f>SUM(I742:P742)</f>
        <v>0</v>
      </c>
      <c r="R742" s="598"/>
    </row>
    <row r="743" spans="1:18" ht="16.5" hidden="1" customHeight="1" x14ac:dyDescent="0.2">
      <c r="A743" s="585"/>
      <c r="B743" s="585"/>
      <c r="C743" s="579" t="s">
        <v>102</v>
      </c>
      <c r="D743" s="690" t="s">
        <v>1270</v>
      </c>
      <c r="E743" s="693"/>
      <c r="F743" s="778">
        <v>222919</v>
      </c>
      <c r="G743" s="794"/>
      <c r="H743" s="794"/>
      <c r="I743" s="794"/>
      <c r="J743" s="794"/>
      <c r="K743" s="794"/>
      <c r="L743" s="794"/>
      <c r="M743" s="794"/>
      <c r="N743" s="586"/>
      <c r="O743" s="794"/>
      <c r="P743" s="794"/>
      <c r="Q743" s="198">
        <f>SUM(I743:P743)</f>
        <v>0</v>
      </c>
      <c r="R743" s="598"/>
    </row>
    <row r="744" spans="1:18" ht="16.5" customHeight="1" x14ac:dyDescent="0.2">
      <c r="A744" s="863"/>
      <c r="B744" s="863"/>
      <c r="C744" s="879" t="s">
        <v>90</v>
      </c>
      <c r="D744" s="866" t="s">
        <v>1334</v>
      </c>
      <c r="E744" s="880"/>
      <c r="F744" s="864">
        <v>221964</v>
      </c>
      <c r="G744" s="881"/>
      <c r="H744" s="881"/>
      <c r="I744" s="881">
        <v>-6500</v>
      </c>
      <c r="J744" s="881"/>
      <c r="K744" s="881"/>
      <c r="L744" s="881">
        <v>10500</v>
      </c>
      <c r="M744" s="881"/>
      <c r="N744" s="881"/>
      <c r="O744" s="881"/>
      <c r="P744" s="881"/>
      <c r="Q744" s="881">
        <f>SUM(G744:P744)</f>
        <v>4000</v>
      </c>
      <c r="R744" s="867" t="s">
        <v>1366</v>
      </c>
    </row>
    <row r="745" spans="1:18" ht="18.75" customHeight="1" x14ac:dyDescent="0.2">
      <c r="A745" s="206"/>
      <c r="B745" s="206"/>
      <c r="C745" s="206"/>
      <c r="D745" s="707" t="s">
        <v>1145</v>
      </c>
      <c r="E745" s="772"/>
      <c r="F745" s="708"/>
      <c r="G745" s="262"/>
      <c r="H745" s="262"/>
      <c r="I745" s="262"/>
      <c r="J745" s="262"/>
      <c r="K745" s="262"/>
      <c r="L745" s="198"/>
      <c r="M745" s="262"/>
      <c r="N745" s="262"/>
      <c r="O745" s="262"/>
      <c r="P745" s="262"/>
      <c r="Q745" s="198"/>
      <c r="R745" s="598"/>
    </row>
    <row r="746" spans="1:18" ht="18" hidden="1" customHeight="1" x14ac:dyDescent="0.2">
      <c r="A746" s="206"/>
      <c r="B746" s="206"/>
      <c r="C746" s="317" t="s">
        <v>978</v>
      </c>
      <c r="D746" s="710" t="s">
        <v>1002</v>
      </c>
      <c r="E746" s="506"/>
      <c r="F746" s="503">
        <v>222923</v>
      </c>
      <c r="G746" s="262"/>
      <c r="H746" s="262"/>
      <c r="I746" s="262"/>
      <c r="J746" s="262"/>
      <c r="K746" s="262"/>
      <c r="L746" s="198"/>
      <c r="M746" s="262"/>
      <c r="N746" s="262"/>
      <c r="O746" s="262"/>
      <c r="P746" s="262"/>
      <c r="Q746" s="198">
        <f>SUM(L746:P746)</f>
        <v>0</v>
      </c>
      <c r="R746" s="598"/>
    </row>
    <row r="747" spans="1:18" ht="25.5" customHeight="1" x14ac:dyDescent="0.2">
      <c r="A747" s="206"/>
      <c r="B747" s="206"/>
      <c r="C747" s="317" t="s">
        <v>1263</v>
      </c>
      <c r="D747" s="737" t="s">
        <v>979</v>
      </c>
      <c r="E747" s="772"/>
      <c r="F747" s="707">
        <v>222902</v>
      </c>
      <c r="G747" s="262"/>
      <c r="H747" s="262"/>
      <c r="I747" s="198">
        <v>200</v>
      </c>
      <c r="J747" s="198"/>
      <c r="K747" s="198"/>
      <c r="L747" s="198">
        <v>-200</v>
      </c>
      <c r="M747" s="262"/>
      <c r="N747" s="198"/>
      <c r="O747" s="198"/>
      <c r="P747" s="198"/>
      <c r="Q747" s="198">
        <f>SUM(G747:P747)</f>
        <v>0</v>
      </c>
      <c r="R747" s="598" t="s">
        <v>1366</v>
      </c>
    </row>
    <row r="748" spans="1:18" ht="18" customHeight="1" x14ac:dyDescent="0.2">
      <c r="A748" s="200"/>
      <c r="B748" s="200"/>
      <c r="C748" s="201"/>
      <c r="D748" s="159" t="s">
        <v>980</v>
      </c>
      <c r="E748" s="365"/>
      <c r="F748" s="203"/>
      <c r="G748" s="366">
        <f t="shared" ref="G748:Q748" si="56">SUM(G738:G747)</f>
        <v>250</v>
      </c>
      <c r="H748" s="366">
        <f t="shared" si="56"/>
        <v>35</v>
      </c>
      <c r="I748" s="366">
        <f t="shared" si="56"/>
        <v>-18154</v>
      </c>
      <c r="J748" s="366">
        <f t="shared" si="56"/>
        <v>0</v>
      </c>
      <c r="K748" s="366">
        <f t="shared" si="56"/>
        <v>3347</v>
      </c>
      <c r="L748" s="366">
        <f t="shared" si="56"/>
        <v>10843</v>
      </c>
      <c r="M748" s="366">
        <f t="shared" si="56"/>
        <v>0</v>
      </c>
      <c r="N748" s="366">
        <f t="shared" si="56"/>
        <v>1450</v>
      </c>
      <c r="O748" s="366">
        <f t="shared" si="56"/>
        <v>0</v>
      </c>
      <c r="P748" s="366">
        <f t="shared" si="56"/>
        <v>0</v>
      </c>
      <c r="Q748" s="366">
        <f t="shared" si="56"/>
        <v>-2229</v>
      </c>
      <c r="R748" s="599"/>
    </row>
    <row r="749" spans="1:18" ht="18" customHeight="1" x14ac:dyDescent="0.2">
      <c r="A749" s="206">
        <v>1</v>
      </c>
      <c r="B749" s="206">
        <v>30</v>
      </c>
      <c r="C749" s="259"/>
      <c r="D749" s="276" t="s">
        <v>981</v>
      </c>
      <c r="E749" s="207"/>
      <c r="F749" s="207"/>
      <c r="G749" s="148"/>
      <c r="H749" s="179"/>
      <c r="I749" s="179"/>
      <c r="J749" s="179"/>
      <c r="K749" s="179"/>
      <c r="L749" s="179"/>
      <c r="M749" s="148"/>
      <c r="N749" s="148"/>
      <c r="O749" s="148"/>
      <c r="P749" s="148"/>
      <c r="Q749" s="148"/>
      <c r="R749" s="598"/>
    </row>
    <row r="750" spans="1:18" ht="16.5" hidden="1" customHeight="1" x14ac:dyDescent="0.2">
      <c r="A750" s="206"/>
      <c r="B750" s="206">
        <v>31</v>
      </c>
      <c r="C750" s="259"/>
      <c r="D750" s="276" t="s">
        <v>982</v>
      </c>
      <c r="E750" s="148">
        <v>1</v>
      </c>
      <c r="F750" s="207">
        <v>311901</v>
      </c>
      <c r="G750" s="198"/>
      <c r="H750" s="179"/>
      <c r="I750" s="179"/>
      <c r="J750" s="179"/>
      <c r="K750" s="179"/>
      <c r="L750" s="179"/>
      <c r="M750" s="198"/>
      <c r="N750" s="198"/>
      <c r="O750" s="210"/>
      <c r="P750" s="210"/>
      <c r="Q750" s="148">
        <f>SUM(K750:P750)</f>
        <v>0</v>
      </c>
      <c r="R750" s="598"/>
    </row>
    <row r="751" spans="1:18" ht="14.25" customHeight="1" x14ac:dyDescent="0.2">
      <c r="A751" s="174"/>
      <c r="B751" s="174">
        <v>32</v>
      </c>
      <c r="C751" s="194"/>
      <c r="D751" s="276" t="s">
        <v>983</v>
      </c>
      <c r="E751" s="148"/>
      <c r="F751" s="207"/>
      <c r="G751" s="198"/>
      <c r="H751" s="179"/>
      <c r="I751" s="179"/>
      <c r="J751" s="179"/>
      <c r="K751" s="179"/>
      <c r="L751" s="179"/>
      <c r="M751" s="198"/>
      <c r="N751" s="198"/>
      <c r="O751" s="148"/>
      <c r="P751" s="148"/>
      <c r="Q751" s="148"/>
      <c r="R751" s="598"/>
    </row>
    <row r="752" spans="1:18" ht="18" customHeight="1" x14ac:dyDescent="0.2">
      <c r="A752" s="174"/>
      <c r="B752" s="174"/>
      <c r="C752" s="194"/>
      <c r="D752" s="277" t="s">
        <v>1017</v>
      </c>
      <c r="E752" s="148">
        <v>1</v>
      </c>
      <c r="F752" s="148">
        <v>321907</v>
      </c>
      <c r="G752" s="198"/>
      <c r="H752" s="179"/>
      <c r="I752" s="179"/>
      <c r="J752" s="179"/>
      <c r="K752" s="179">
        <v>-27251</v>
      </c>
      <c r="L752" s="179"/>
      <c r="M752" s="198"/>
      <c r="N752" s="198"/>
      <c r="O752" s="148"/>
      <c r="P752" s="148"/>
      <c r="Q752" s="148">
        <f t="shared" ref="Q752:Q764" si="57">SUM(K752:P752)</f>
        <v>-27251</v>
      </c>
      <c r="R752" s="598" t="s">
        <v>1365</v>
      </c>
    </row>
    <row r="753" spans="1:18" ht="15.75" customHeight="1" x14ac:dyDescent="0.2">
      <c r="A753" s="368"/>
      <c r="B753" s="368"/>
      <c r="C753" s="368"/>
      <c r="D753" s="369" t="s">
        <v>984</v>
      </c>
      <c r="E753" s="370">
        <v>1</v>
      </c>
      <c r="F753" s="371">
        <v>321903</v>
      </c>
      <c r="G753" s="370"/>
      <c r="H753" s="179"/>
      <c r="I753" s="179"/>
      <c r="J753" s="179"/>
      <c r="K753" s="179">
        <v>-7999</v>
      </c>
      <c r="L753" s="179"/>
      <c r="M753" s="370"/>
      <c r="N753" s="370"/>
      <c r="O753" s="372"/>
      <c r="P753" s="372"/>
      <c r="Q753" s="148">
        <f t="shared" si="57"/>
        <v>-7999</v>
      </c>
      <c r="R753" s="598" t="s">
        <v>1365</v>
      </c>
    </row>
    <row r="754" spans="1:18" ht="18" customHeight="1" x14ac:dyDescent="0.2">
      <c r="A754" s="174"/>
      <c r="B754" s="174"/>
      <c r="C754" s="194"/>
      <c r="D754" s="277" t="s">
        <v>985</v>
      </c>
      <c r="E754" s="185">
        <v>1</v>
      </c>
      <c r="F754" s="148">
        <v>321908</v>
      </c>
      <c r="G754" s="198"/>
      <c r="H754" s="179"/>
      <c r="I754" s="179"/>
      <c r="J754" s="179"/>
      <c r="K754" s="179">
        <v>-2782</v>
      </c>
      <c r="L754" s="179"/>
      <c r="M754" s="198"/>
      <c r="N754" s="198"/>
      <c r="O754" s="148"/>
      <c r="P754" s="148"/>
      <c r="Q754" s="148">
        <f t="shared" si="57"/>
        <v>-2782</v>
      </c>
      <c r="R754" s="598" t="s">
        <v>1365</v>
      </c>
    </row>
    <row r="755" spans="1:18" ht="26.25" customHeight="1" x14ac:dyDescent="0.2">
      <c r="A755" s="174"/>
      <c r="B755" s="174"/>
      <c r="C755" s="194"/>
      <c r="D755" s="336" t="s">
        <v>986</v>
      </c>
      <c r="E755" s="217">
        <v>1</v>
      </c>
      <c r="F755" s="226">
        <v>321933</v>
      </c>
      <c r="G755" s="148"/>
      <c r="H755" s="179"/>
      <c r="I755" s="179"/>
      <c r="J755" s="179"/>
      <c r="K755" s="179">
        <v>54141</v>
      </c>
      <c r="L755" s="179"/>
      <c r="M755" s="148"/>
      <c r="N755" s="148"/>
      <c r="O755" s="148"/>
      <c r="P755" s="148"/>
      <c r="Q755" s="148">
        <f t="shared" si="57"/>
        <v>54141</v>
      </c>
      <c r="R755" s="598" t="s">
        <v>1365</v>
      </c>
    </row>
    <row r="756" spans="1:18" ht="18" customHeight="1" x14ac:dyDescent="0.2">
      <c r="A756" s="174"/>
      <c r="B756" s="174"/>
      <c r="C756" s="194"/>
      <c r="D756" s="373" t="s">
        <v>987</v>
      </c>
      <c r="E756" s="217">
        <v>1</v>
      </c>
      <c r="F756" s="226">
        <v>321934</v>
      </c>
      <c r="G756" s="148"/>
      <c r="H756" s="179"/>
      <c r="I756" s="179"/>
      <c r="J756" s="179"/>
      <c r="K756" s="179">
        <v>-50</v>
      </c>
      <c r="L756" s="179"/>
      <c r="M756" s="148"/>
      <c r="N756" s="148"/>
      <c r="O756" s="148"/>
      <c r="P756" s="148"/>
      <c r="Q756" s="148">
        <f t="shared" si="57"/>
        <v>-50</v>
      </c>
      <c r="R756" s="598" t="s">
        <v>1365</v>
      </c>
    </row>
    <row r="757" spans="1:18" ht="18" hidden="1" customHeight="1" x14ac:dyDescent="0.2">
      <c r="A757" s="174"/>
      <c r="B757" s="174"/>
      <c r="C757" s="194"/>
      <c r="D757" s="149" t="s">
        <v>988</v>
      </c>
      <c r="E757" s="217">
        <v>1</v>
      </c>
      <c r="F757" s="226">
        <v>321911</v>
      </c>
      <c r="G757" s="148"/>
      <c r="H757" s="179"/>
      <c r="I757" s="179"/>
      <c r="J757" s="179"/>
      <c r="K757" s="179"/>
      <c r="L757" s="179"/>
      <c r="M757" s="148"/>
      <c r="N757" s="148"/>
      <c r="O757" s="148"/>
      <c r="P757" s="148"/>
      <c r="Q757" s="148">
        <f t="shared" si="57"/>
        <v>0</v>
      </c>
      <c r="R757" s="598"/>
    </row>
    <row r="758" spans="1:18" ht="14.1" hidden="1" customHeight="1" x14ac:dyDescent="0.2">
      <c r="A758" s="824"/>
      <c r="B758" s="824"/>
      <c r="C758" s="825"/>
      <c r="D758" s="858" t="s">
        <v>1324</v>
      </c>
      <c r="E758" s="859">
        <v>1</v>
      </c>
      <c r="F758" s="860">
        <v>321922</v>
      </c>
      <c r="G758" s="861"/>
      <c r="H758" s="861"/>
      <c r="I758" s="861"/>
      <c r="J758" s="861"/>
      <c r="K758" s="861"/>
      <c r="L758" s="826"/>
      <c r="M758" s="784"/>
      <c r="N758" s="784"/>
      <c r="O758" s="784"/>
      <c r="P758" s="784"/>
      <c r="Q758" s="148"/>
      <c r="R758" s="827"/>
    </row>
    <row r="759" spans="1:18" ht="14.1" hidden="1" customHeight="1" x14ac:dyDescent="0.2">
      <c r="A759" s="824"/>
      <c r="B759" s="824"/>
      <c r="C759" s="825"/>
      <c r="D759" s="858" t="s">
        <v>1325</v>
      </c>
      <c r="E759" s="859"/>
      <c r="F759" s="860"/>
      <c r="G759" s="861"/>
      <c r="H759" s="861"/>
      <c r="I759" s="861"/>
      <c r="J759" s="861"/>
      <c r="K759" s="861"/>
      <c r="L759" s="826"/>
      <c r="M759" s="784"/>
      <c r="N759" s="784"/>
      <c r="O759" s="784"/>
      <c r="P759" s="784"/>
      <c r="Q759" s="148">
        <f t="shared" si="57"/>
        <v>0</v>
      </c>
      <c r="R759" s="827"/>
    </row>
    <row r="760" spans="1:18" ht="14.1" hidden="1" customHeight="1" x14ac:dyDescent="0.2">
      <c r="A760" s="824"/>
      <c r="B760" s="824"/>
      <c r="C760" s="825"/>
      <c r="D760" s="858" t="s">
        <v>1326</v>
      </c>
      <c r="E760" s="859"/>
      <c r="F760" s="860"/>
      <c r="G760" s="861"/>
      <c r="H760" s="861"/>
      <c r="I760" s="861"/>
      <c r="J760" s="861"/>
      <c r="K760" s="861"/>
      <c r="L760" s="826"/>
      <c r="M760" s="784"/>
      <c r="N760" s="784"/>
      <c r="O760" s="784"/>
      <c r="P760" s="784"/>
      <c r="Q760" s="148">
        <f t="shared" si="57"/>
        <v>0</v>
      </c>
      <c r="R760" s="827"/>
    </row>
    <row r="761" spans="1:18" ht="14.1" hidden="1" customHeight="1" x14ac:dyDescent="0.2">
      <c r="A761" s="824"/>
      <c r="B761" s="824"/>
      <c r="C761" s="825"/>
      <c r="D761" s="858" t="s">
        <v>1327</v>
      </c>
      <c r="E761" s="859"/>
      <c r="F761" s="860"/>
      <c r="G761" s="861"/>
      <c r="H761" s="861"/>
      <c r="I761" s="861"/>
      <c r="J761" s="861"/>
      <c r="K761" s="861"/>
      <c r="L761" s="826"/>
      <c r="M761" s="784"/>
      <c r="N761" s="784"/>
      <c r="O761" s="784"/>
      <c r="P761" s="784"/>
      <c r="Q761" s="148">
        <f t="shared" si="57"/>
        <v>0</v>
      </c>
      <c r="R761" s="827"/>
    </row>
    <row r="762" spans="1:18" ht="14.1" hidden="1" customHeight="1" x14ac:dyDescent="0.2">
      <c r="A762" s="824"/>
      <c r="B762" s="824"/>
      <c r="C762" s="825"/>
      <c r="D762" s="858" t="s">
        <v>1328</v>
      </c>
      <c r="E762" s="859"/>
      <c r="F762" s="860"/>
      <c r="G762" s="861"/>
      <c r="H762" s="861"/>
      <c r="I762" s="861"/>
      <c r="J762" s="861"/>
      <c r="K762" s="861"/>
      <c r="L762" s="826"/>
      <c r="M762" s="784"/>
      <c r="N762" s="784"/>
      <c r="O762" s="784"/>
      <c r="P762" s="784"/>
      <c r="Q762" s="148">
        <f t="shared" si="57"/>
        <v>0</v>
      </c>
      <c r="R762" s="827"/>
    </row>
    <row r="763" spans="1:18" ht="14.1" hidden="1" customHeight="1" x14ac:dyDescent="0.2">
      <c r="A763" s="824"/>
      <c r="B763" s="824"/>
      <c r="C763" s="825"/>
      <c r="D763" s="858" t="s">
        <v>1329</v>
      </c>
      <c r="E763" s="859"/>
      <c r="F763" s="860"/>
      <c r="G763" s="861"/>
      <c r="H763" s="861"/>
      <c r="I763" s="861"/>
      <c r="J763" s="861"/>
      <c r="K763" s="861"/>
      <c r="L763" s="826"/>
      <c r="M763" s="784"/>
      <c r="N763" s="784"/>
      <c r="O763" s="784"/>
      <c r="P763" s="784"/>
      <c r="Q763" s="148">
        <f t="shared" si="57"/>
        <v>0</v>
      </c>
      <c r="R763" s="827"/>
    </row>
    <row r="764" spans="1:18" ht="14.1" hidden="1" customHeight="1" x14ac:dyDescent="0.2">
      <c r="A764" s="174"/>
      <c r="B764" s="174"/>
      <c r="C764" s="194"/>
      <c r="D764" s="150" t="s">
        <v>989</v>
      </c>
      <c r="E764" s="217">
        <v>1</v>
      </c>
      <c r="F764" s="226">
        <v>321909</v>
      </c>
      <c r="G764" s="148"/>
      <c r="H764" s="179"/>
      <c r="I764" s="179"/>
      <c r="J764" s="179"/>
      <c r="K764" s="179"/>
      <c r="L764" s="179"/>
      <c r="M764" s="148"/>
      <c r="N764" s="148"/>
      <c r="O764" s="148"/>
      <c r="P764" s="148"/>
      <c r="Q764" s="148">
        <f t="shared" si="57"/>
        <v>0</v>
      </c>
      <c r="R764" s="598"/>
    </row>
    <row r="765" spans="1:18" ht="14.1" customHeight="1" x14ac:dyDescent="0.2">
      <c r="A765" s="174"/>
      <c r="B765" s="174"/>
      <c r="C765" s="194"/>
      <c r="D765" s="281" t="s">
        <v>990</v>
      </c>
      <c r="E765" s="148"/>
      <c r="F765" s="148"/>
      <c r="G765" s="148"/>
      <c r="H765" s="179"/>
      <c r="I765" s="179"/>
      <c r="J765" s="179"/>
      <c r="K765" s="179"/>
      <c r="L765" s="179"/>
      <c r="M765" s="148"/>
      <c r="N765" s="148"/>
      <c r="O765" s="148"/>
      <c r="P765" s="148"/>
      <c r="Q765" s="148"/>
      <c r="R765" s="598"/>
    </row>
    <row r="766" spans="1:18" ht="14.1" customHeight="1" x14ac:dyDescent="0.2">
      <c r="A766" s="174"/>
      <c r="B766" s="174"/>
      <c r="C766" s="194" t="s">
        <v>100</v>
      </c>
      <c r="D766" s="374" t="s">
        <v>991</v>
      </c>
      <c r="E766" s="148">
        <v>1</v>
      </c>
      <c r="F766" s="148">
        <v>324902</v>
      </c>
      <c r="G766" s="148"/>
      <c r="H766" s="179"/>
      <c r="I766" s="179"/>
      <c r="J766" s="179"/>
      <c r="K766" s="179"/>
      <c r="L766" s="179"/>
      <c r="M766" s="148">
        <v>-6947</v>
      </c>
      <c r="N766" s="148"/>
      <c r="O766" s="148"/>
      <c r="P766" s="148"/>
      <c r="Q766" s="148">
        <f>SUM(K766:P766)</f>
        <v>-6947</v>
      </c>
      <c r="R766" s="598" t="s">
        <v>1366</v>
      </c>
    </row>
    <row r="767" spans="1:18" ht="24" customHeight="1" x14ac:dyDescent="0.2">
      <c r="A767" s="174"/>
      <c r="B767" s="174"/>
      <c r="C767" s="194" t="s">
        <v>99</v>
      </c>
      <c r="D767" s="375" t="s">
        <v>1404</v>
      </c>
      <c r="E767" s="148">
        <v>1</v>
      </c>
      <c r="F767" s="207">
        <v>322906</v>
      </c>
      <c r="G767" s="148"/>
      <c r="H767" s="179"/>
      <c r="I767" s="179"/>
      <c r="J767" s="179"/>
      <c r="K767" s="179"/>
      <c r="L767" s="179">
        <v>11285</v>
      </c>
      <c r="M767" s="148"/>
      <c r="N767" s="148"/>
      <c r="O767" s="148"/>
      <c r="P767" s="148"/>
      <c r="Q767" s="148">
        <f>SUM(K767:P767)</f>
        <v>11285</v>
      </c>
      <c r="R767" s="598" t="s">
        <v>1365</v>
      </c>
    </row>
    <row r="768" spans="1:18" ht="15.95" customHeight="1" x14ac:dyDescent="0.2">
      <c r="A768" s="200"/>
      <c r="B768" s="200"/>
      <c r="C768" s="201"/>
      <c r="D768" s="159" t="s">
        <v>992</v>
      </c>
      <c r="E768" s="203"/>
      <c r="F768" s="376"/>
      <c r="G768" s="377">
        <f t="shared" ref="G768:Q768" si="58">SUM(G750:G767)</f>
        <v>0</v>
      </c>
      <c r="H768" s="377">
        <f t="shared" si="58"/>
        <v>0</v>
      </c>
      <c r="I768" s="377">
        <f t="shared" si="58"/>
        <v>0</v>
      </c>
      <c r="J768" s="377">
        <f t="shared" si="58"/>
        <v>0</v>
      </c>
      <c r="K768" s="377">
        <f t="shared" si="58"/>
        <v>16059</v>
      </c>
      <c r="L768" s="377">
        <f t="shared" si="58"/>
        <v>11285</v>
      </c>
      <c r="M768" s="377">
        <f t="shared" si="58"/>
        <v>-6947</v>
      </c>
      <c r="N768" s="377">
        <f t="shared" si="58"/>
        <v>0</v>
      </c>
      <c r="O768" s="377">
        <f t="shared" si="58"/>
        <v>0</v>
      </c>
      <c r="P768" s="377">
        <f t="shared" si="58"/>
        <v>0</v>
      </c>
      <c r="Q768" s="377">
        <f t="shared" si="58"/>
        <v>20397</v>
      </c>
      <c r="R768" s="599"/>
    </row>
    <row r="769" spans="1:18" ht="21.75" customHeight="1" x14ac:dyDescent="0.2">
      <c r="A769" s="200"/>
      <c r="B769" s="200"/>
      <c r="C769" s="201"/>
      <c r="D769" s="160" t="s">
        <v>993</v>
      </c>
      <c r="E769" s="378"/>
      <c r="F769" s="379"/>
      <c r="G769" s="380">
        <f>SUM(G46+G217+G229+G479+G623+G646+G668+G702+G748+G768)</f>
        <v>9743</v>
      </c>
      <c r="H769" s="380">
        <f t="shared" ref="H769:Q769" si="59">SUM(H46+H217+H229+H479+H623+H646+H668+H702+H748+H768)</f>
        <v>1554</v>
      </c>
      <c r="I769" s="380">
        <f t="shared" si="59"/>
        <v>572620</v>
      </c>
      <c r="J769" s="380">
        <f t="shared" si="59"/>
        <v>-650</v>
      </c>
      <c r="K769" s="380">
        <f t="shared" si="59"/>
        <v>78432</v>
      </c>
      <c r="L769" s="380">
        <f t="shared" si="59"/>
        <v>8111036</v>
      </c>
      <c r="M769" s="380">
        <f t="shared" si="59"/>
        <v>-2671</v>
      </c>
      <c r="N769" s="380">
        <f t="shared" si="59"/>
        <v>6786</v>
      </c>
      <c r="O769" s="380">
        <f t="shared" si="59"/>
        <v>0</v>
      </c>
      <c r="P769" s="380">
        <f t="shared" si="59"/>
        <v>0</v>
      </c>
      <c r="Q769" s="380">
        <f t="shared" si="59"/>
        <v>8776850</v>
      </c>
      <c r="R769" s="599"/>
    </row>
    <row r="770" spans="1:18" ht="15.95" customHeight="1" x14ac:dyDescent="0.2">
      <c r="A770" s="174"/>
      <c r="B770" s="174"/>
      <c r="C770" s="174"/>
      <c r="D770" s="381" t="s">
        <v>196</v>
      </c>
      <c r="E770" s="207"/>
      <c r="F770" s="382"/>
      <c r="G770" s="383">
        <f>táj.4!C21</f>
        <v>58526</v>
      </c>
      <c r="H770" s="383">
        <f>táj.4!D21</f>
        <v>9081</v>
      </c>
      <c r="I770" s="383">
        <f>táj.4!E21</f>
        <v>-81517</v>
      </c>
      <c r="J770" s="383">
        <f>táj.4!F21</f>
        <v>0</v>
      </c>
      <c r="K770" s="383">
        <f>táj.4!G21</f>
        <v>6296</v>
      </c>
      <c r="L770" s="383">
        <f>táj.4!H21</f>
        <v>26353</v>
      </c>
      <c r="M770" s="383">
        <f>táj.4!I21</f>
        <v>5140</v>
      </c>
      <c r="N770" s="383">
        <f>táj.4!J21</f>
        <v>300</v>
      </c>
      <c r="O770" s="383"/>
      <c r="P770" s="383"/>
      <c r="Q770" s="383">
        <f>SUM(G770:P770)</f>
        <v>24179</v>
      </c>
      <c r="R770" s="598"/>
    </row>
    <row r="771" spans="1:18" ht="15.95" customHeight="1" x14ac:dyDescent="0.2">
      <c r="A771" s="200"/>
      <c r="B771" s="200"/>
      <c r="C771" s="201"/>
      <c r="D771" s="159" t="s">
        <v>186</v>
      </c>
      <c r="E771" s="321"/>
      <c r="F771" s="384"/>
      <c r="G771" s="44">
        <f t="shared" ref="G771:Q771" si="60">SUM(G769:G770)</f>
        <v>68269</v>
      </c>
      <c r="H771" s="44">
        <f t="shared" si="60"/>
        <v>10635</v>
      </c>
      <c r="I771" s="44">
        <f t="shared" si="60"/>
        <v>491103</v>
      </c>
      <c r="J771" s="44">
        <f t="shared" si="60"/>
        <v>-650</v>
      </c>
      <c r="K771" s="44">
        <f t="shared" si="60"/>
        <v>84728</v>
      </c>
      <c r="L771" s="44">
        <f t="shared" si="60"/>
        <v>8137389</v>
      </c>
      <c r="M771" s="44">
        <f t="shared" si="60"/>
        <v>2469</v>
      </c>
      <c r="N771" s="44">
        <f t="shared" si="60"/>
        <v>7086</v>
      </c>
      <c r="O771" s="44">
        <f t="shared" si="60"/>
        <v>0</v>
      </c>
      <c r="P771" s="44">
        <f t="shared" si="60"/>
        <v>0</v>
      </c>
      <c r="Q771" s="44">
        <f t="shared" si="60"/>
        <v>8801029</v>
      </c>
      <c r="R771" s="599"/>
    </row>
    <row r="773" spans="1:18" ht="12.75" customHeight="1" x14ac:dyDescent="0.2">
      <c r="N773" s="965"/>
      <c r="O773" s="965"/>
      <c r="P773" s="965"/>
      <c r="Q773" s="386"/>
    </row>
  </sheetData>
  <sheetProtection selectLockedCells="1" selectUnlockedCells="1"/>
  <mergeCells count="11">
    <mergeCell ref="R1:R2"/>
    <mergeCell ref="G1:N1"/>
    <mergeCell ref="O1:P1"/>
    <mergeCell ref="Q1:Q2"/>
    <mergeCell ref="N773:P773"/>
    <mergeCell ref="F1:F2"/>
    <mergeCell ref="A1:A2"/>
    <mergeCell ref="B1:B2"/>
    <mergeCell ref="C1:C2"/>
    <mergeCell ref="D1:D2"/>
    <mergeCell ref="E1:E2"/>
  </mergeCells>
  <phoneticPr fontId="96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 2021. ÉVI
KIADÁSI ELŐIRÁNYZATAINAK MÓDOSÍTÁSA A III. NEGYEDÉVBEN
&amp;R&amp;"Times New Roman CE,Félkövér dőlt"2. tájékoztató tábla
Adatok ezer Ft-ban</oddHeader>
    <oddFooter>&amp;L*Módosítás hatáskör szerint:
kgy=közgyűlés
pm=polgármester
biz=bizottság
&amp;C&amp;P. oldal&amp;Ra *-gal jelzett célok  hitel felvételével valósíthatók meg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29"/>
  <sheetViews>
    <sheetView workbookViewId="0">
      <pane ySplit="2" topLeftCell="A9" activePane="bottomLeft" state="frozen"/>
      <selection activeCell="H32" sqref="H32"/>
      <selection pane="bottomLeft" activeCell="K19" sqref="K19"/>
    </sheetView>
  </sheetViews>
  <sheetFormatPr defaultRowHeight="12.75" x14ac:dyDescent="0.2"/>
  <cols>
    <col min="1" max="1" width="3.33203125" style="102" customWidth="1"/>
    <col min="2" max="2" width="39.6640625" style="102" customWidth="1"/>
    <col min="3" max="4" width="12.33203125" style="102" customWidth="1"/>
    <col min="5" max="5" width="7.6640625" style="102" customWidth="1"/>
    <col min="6" max="6" width="10.33203125" style="102" customWidth="1"/>
    <col min="7" max="7" width="12" style="102" customWidth="1"/>
    <col min="8" max="9" width="12.33203125" style="102" customWidth="1"/>
    <col min="10" max="10" width="12.83203125" style="102" customWidth="1"/>
    <col min="11" max="11" width="14.83203125" style="102" customWidth="1"/>
    <col min="12" max="12" width="12" style="102" customWidth="1"/>
    <col min="13" max="13" width="11.5" style="102" customWidth="1"/>
    <col min="14" max="16384" width="9.33203125" style="102"/>
  </cols>
  <sheetData>
    <row r="1" spans="1:13" ht="12.75" customHeight="1" x14ac:dyDescent="0.2">
      <c r="A1" s="949" t="s">
        <v>97</v>
      </c>
      <c r="B1" s="950" t="s">
        <v>137</v>
      </c>
      <c r="C1" s="976" t="s">
        <v>144</v>
      </c>
      <c r="D1" s="976"/>
      <c r="E1" s="976"/>
      <c r="F1" s="976"/>
      <c r="G1" s="976"/>
      <c r="H1" s="976"/>
      <c r="I1" s="976"/>
      <c r="J1" s="976" t="s">
        <v>211</v>
      </c>
      <c r="K1" s="976"/>
      <c r="L1" s="976"/>
      <c r="M1" s="974" t="s">
        <v>213</v>
      </c>
    </row>
    <row r="2" spans="1:13" s="103" customFormat="1" ht="78" customHeight="1" x14ac:dyDescent="0.2">
      <c r="A2" s="949"/>
      <c r="B2" s="950"/>
      <c r="C2" s="109" t="s">
        <v>15</v>
      </c>
      <c r="D2" s="109" t="s">
        <v>16</v>
      </c>
      <c r="E2" s="532" t="s">
        <v>17</v>
      </c>
      <c r="F2" s="109" t="s">
        <v>207</v>
      </c>
      <c r="G2" s="532" t="s">
        <v>208</v>
      </c>
      <c r="H2" s="532" t="s">
        <v>209</v>
      </c>
      <c r="I2" s="532" t="s">
        <v>210</v>
      </c>
      <c r="J2" s="532" t="s">
        <v>146</v>
      </c>
      <c r="K2" s="532" t="s">
        <v>103</v>
      </c>
      <c r="L2" s="532" t="s">
        <v>148</v>
      </c>
      <c r="M2" s="975"/>
    </row>
    <row r="3" spans="1:13" ht="17.100000000000001" customHeight="1" x14ac:dyDescent="0.2">
      <c r="A3" s="110" t="s">
        <v>99</v>
      </c>
      <c r="B3" s="111" t="s">
        <v>139</v>
      </c>
      <c r="C3" s="112"/>
      <c r="D3" s="112"/>
      <c r="E3" s="112"/>
      <c r="F3" s="112">
        <v>131</v>
      </c>
      <c r="G3" s="112"/>
      <c r="H3" s="112"/>
      <c r="I3" s="112"/>
      <c r="J3" s="112"/>
      <c r="K3" s="112"/>
      <c r="L3" s="112"/>
      <c r="M3" s="112">
        <f t="shared" ref="M3:M20" si="0">SUM(C3:L3)</f>
        <v>131</v>
      </c>
    </row>
    <row r="4" spans="1:13" ht="17.100000000000001" customHeight="1" x14ac:dyDescent="0.2">
      <c r="A4" s="110" t="s">
        <v>101</v>
      </c>
      <c r="B4" s="111" t="s">
        <v>133</v>
      </c>
      <c r="C4" s="112">
        <v>300</v>
      </c>
      <c r="D4" s="112">
        <v>300</v>
      </c>
      <c r="E4" s="112"/>
      <c r="F4" s="112">
        <v>-118000</v>
      </c>
      <c r="G4" s="112"/>
      <c r="H4" s="112"/>
      <c r="I4" s="112"/>
      <c r="J4" s="112"/>
      <c r="K4" s="112">
        <v>3051</v>
      </c>
      <c r="L4" s="112"/>
      <c r="M4" s="112">
        <f t="shared" si="0"/>
        <v>-114349</v>
      </c>
    </row>
    <row r="5" spans="1:13" ht="17.100000000000001" customHeight="1" x14ac:dyDescent="0.2">
      <c r="A5" s="110" t="s">
        <v>102</v>
      </c>
      <c r="B5" s="111" t="s">
        <v>164</v>
      </c>
      <c r="C5" s="112">
        <v>-6890</v>
      </c>
      <c r="D5" s="112"/>
      <c r="E5" s="112"/>
      <c r="F5" s="112">
        <v>8100</v>
      </c>
      <c r="G5" s="112"/>
      <c r="H5" s="112"/>
      <c r="I5" s="112"/>
      <c r="J5" s="112"/>
      <c r="K5" s="112">
        <v>20221</v>
      </c>
      <c r="L5" s="112"/>
      <c r="M5" s="112">
        <f t="shared" si="0"/>
        <v>21431</v>
      </c>
    </row>
    <row r="6" spans="1:13" ht="24" customHeight="1" x14ac:dyDescent="0.2">
      <c r="A6" s="110" t="s">
        <v>90</v>
      </c>
      <c r="B6" s="113" t="s">
        <v>198</v>
      </c>
      <c r="C6" s="112"/>
      <c r="D6" s="112"/>
      <c r="E6" s="112"/>
      <c r="F6" s="112">
        <v>600</v>
      </c>
      <c r="G6" s="112"/>
      <c r="H6" s="112"/>
      <c r="I6" s="112"/>
      <c r="J6" s="112"/>
      <c r="K6" s="112">
        <v>50</v>
      </c>
      <c r="L6" s="112"/>
      <c r="M6" s="112">
        <f t="shared" si="0"/>
        <v>650</v>
      </c>
    </row>
    <row r="7" spans="1:13" ht="24" customHeight="1" x14ac:dyDescent="0.2">
      <c r="A7" s="110" t="s">
        <v>89</v>
      </c>
      <c r="B7" s="113" t="s">
        <v>199</v>
      </c>
      <c r="C7" s="112"/>
      <c r="D7" s="112"/>
      <c r="E7" s="112"/>
      <c r="F7" s="112">
        <v>460</v>
      </c>
      <c r="G7" s="112"/>
      <c r="H7" s="112"/>
      <c r="I7" s="112"/>
      <c r="J7" s="112"/>
      <c r="K7" s="112">
        <v>18058</v>
      </c>
      <c r="L7" s="112"/>
      <c r="M7" s="112">
        <f t="shared" si="0"/>
        <v>18518</v>
      </c>
    </row>
    <row r="8" spans="1:13" ht="17.100000000000001" customHeight="1" x14ac:dyDescent="0.2">
      <c r="A8" s="110" t="s">
        <v>91</v>
      </c>
      <c r="B8" s="114" t="s">
        <v>165</v>
      </c>
      <c r="C8" s="112">
        <v>-7839</v>
      </c>
      <c r="D8" s="112"/>
      <c r="E8" s="112"/>
      <c r="F8" s="112">
        <v>950</v>
      </c>
      <c r="G8" s="112"/>
      <c r="H8" s="112"/>
      <c r="I8" s="112"/>
      <c r="J8" s="112"/>
      <c r="K8" s="112">
        <v>7861</v>
      </c>
      <c r="L8" s="112"/>
      <c r="M8" s="112">
        <f t="shared" si="0"/>
        <v>972</v>
      </c>
    </row>
    <row r="9" spans="1:13" ht="17.100000000000001" customHeight="1" x14ac:dyDescent="0.2">
      <c r="A9" s="110" t="s">
        <v>92</v>
      </c>
      <c r="B9" s="114" t="s">
        <v>166</v>
      </c>
      <c r="C9" s="112">
        <v>-3958</v>
      </c>
      <c r="D9" s="112"/>
      <c r="E9" s="112"/>
      <c r="F9" s="112">
        <v>2000</v>
      </c>
      <c r="G9" s="112"/>
      <c r="H9" s="112"/>
      <c r="I9" s="112"/>
      <c r="J9" s="112"/>
      <c r="K9" s="112">
        <v>4001</v>
      </c>
      <c r="L9" s="112"/>
      <c r="M9" s="112">
        <f t="shared" si="0"/>
        <v>2043</v>
      </c>
    </row>
    <row r="10" spans="1:13" ht="17.100000000000001" customHeight="1" x14ac:dyDescent="0.2">
      <c r="A10" s="110" t="s">
        <v>93</v>
      </c>
      <c r="B10" s="114" t="s">
        <v>167</v>
      </c>
      <c r="C10" s="112">
        <v>-4261</v>
      </c>
      <c r="D10" s="112">
        <v>1030</v>
      </c>
      <c r="E10" s="112"/>
      <c r="F10" s="112"/>
      <c r="G10" s="112"/>
      <c r="H10" s="112"/>
      <c r="I10" s="112"/>
      <c r="J10" s="112"/>
      <c r="K10" s="112">
        <v>4605</v>
      </c>
      <c r="L10" s="112"/>
      <c r="M10" s="112">
        <f t="shared" si="0"/>
        <v>1374</v>
      </c>
    </row>
    <row r="11" spans="1:13" ht="17.100000000000001" customHeight="1" x14ac:dyDescent="0.2">
      <c r="A11" s="110" t="s">
        <v>25</v>
      </c>
      <c r="B11" s="114" t="s">
        <v>168</v>
      </c>
      <c r="C11" s="112">
        <v>-6853</v>
      </c>
      <c r="D11" s="112"/>
      <c r="E11" s="112"/>
      <c r="F11" s="112"/>
      <c r="G11" s="112"/>
      <c r="H11" s="112"/>
      <c r="I11" s="112"/>
      <c r="J11" s="112"/>
      <c r="K11" s="112">
        <v>6853</v>
      </c>
      <c r="L11" s="112"/>
      <c r="M11" s="112">
        <f t="shared" si="0"/>
        <v>0</v>
      </c>
    </row>
    <row r="12" spans="1:13" ht="18" customHeight="1" x14ac:dyDescent="0.2">
      <c r="A12" s="110" t="s">
        <v>26</v>
      </c>
      <c r="B12" s="115" t="s">
        <v>200</v>
      </c>
      <c r="C12" s="112">
        <v>-272</v>
      </c>
      <c r="D12" s="112"/>
      <c r="E12" s="112"/>
      <c r="F12" s="112"/>
      <c r="G12" s="112"/>
      <c r="H12" s="112"/>
      <c r="I12" s="112"/>
      <c r="J12" s="112"/>
      <c r="K12" s="112">
        <v>1242</v>
      </c>
      <c r="L12" s="112"/>
      <c r="M12" s="112">
        <f t="shared" si="0"/>
        <v>970</v>
      </c>
    </row>
    <row r="13" spans="1:13" ht="17.100000000000001" customHeight="1" x14ac:dyDescent="0.2">
      <c r="A13" s="110" t="s">
        <v>27</v>
      </c>
      <c r="B13" s="116" t="s">
        <v>161</v>
      </c>
      <c r="C13" s="112">
        <v>5100</v>
      </c>
      <c r="D13" s="112">
        <v>3800</v>
      </c>
      <c r="E13" s="112"/>
      <c r="F13" s="112"/>
      <c r="G13" s="112"/>
      <c r="H13" s="112"/>
      <c r="I13" s="112"/>
      <c r="J13" s="112"/>
      <c r="K13" s="112">
        <v>3601</v>
      </c>
      <c r="L13" s="112"/>
      <c r="M13" s="112">
        <f t="shared" si="0"/>
        <v>12501</v>
      </c>
    </row>
    <row r="14" spans="1:13" ht="27" customHeight="1" x14ac:dyDescent="0.2">
      <c r="A14" s="110" t="s">
        <v>28</v>
      </c>
      <c r="B14" s="113" t="s">
        <v>169</v>
      </c>
      <c r="C14" s="112"/>
      <c r="D14" s="112"/>
      <c r="E14" s="112"/>
      <c r="F14" s="112"/>
      <c r="G14" s="112"/>
      <c r="H14" s="112"/>
      <c r="I14" s="112"/>
      <c r="J14" s="112"/>
      <c r="K14" s="112">
        <v>336</v>
      </c>
      <c r="L14" s="112"/>
      <c r="M14" s="112">
        <f t="shared" si="0"/>
        <v>336</v>
      </c>
    </row>
    <row r="15" spans="1:13" ht="17.100000000000001" customHeight="1" x14ac:dyDescent="0.2">
      <c r="A15" s="110" t="s">
        <v>29</v>
      </c>
      <c r="B15" s="114" t="s">
        <v>162</v>
      </c>
      <c r="C15" s="112">
        <v>17524</v>
      </c>
      <c r="D15" s="112">
        <v>841</v>
      </c>
      <c r="E15" s="112"/>
      <c r="F15" s="112"/>
      <c r="G15" s="112"/>
      <c r="H15" s="112"/>
      <c r="I15" s="112"/>
      <c r="J15" s="112"/>
      <c r="K15" s="112">
        <v>4338</v>
      </c>
      <c r="L15" s="112"/>
      <c r="M15" s="112">
        <f t="shared" si="0"/>
        <v>22703</v>
      </c>
    </row>
    <row r="16" spans="1:13" ht="17.100000000000001" customHeight="1" x14ac:dyDescent="0.2">
      <c r="A16" s="110" t="s">
        <v>30</v>
      </c>
      <c r="B16" s="114" t="s">
        <v>163</v>
      </c>
      <c r="C16" s="112">
        <v>12144</v>
      </c>
      <c r="D16" s="112">
        <v>1114</v>
      </c>
      <c r="E16" s="112"/>
      <c r="F16" s="112">
        <v>18651</v>
      </c>
      <c r="G16" s="112"/>
      <c r="H16" s="112"/>
      <c r="I16" s="112">
        <v>250</v>
      </c>
      <c r="J16" s="112"/>
      <c r="K16" s="112">
        <v>773</v>
      </c>
      <c r="L16" s="112"/>
      <c r="M16" s="112">
        <f t="shared" si="0"/>
        <v>32932</v>
      </c>
    </row>
    <row r="17" spans="1:13" ht="17.100000000000001" customHeight="1" x14ac:dyDescent="0.2">
      <c r="A17" s="110" t="s">
        <v>94</v>
      </c>
      <c r="B17" s="114" t="s">
        <v>170</v>
      </c>
      <c r="C17" s="112">
        <v>15000</v>
      </c>
      <c r="D17" s="112"/>
      <c r="E17" s="112"/>
      <c r="F17" s="112"/>
      <c r="G17" s="112"/>
      <c r="H17" s="112"/>
      <c r="I17" s="112"/>
      <c r="J17" s="112"/>
      <c r="K17" s="112"/>
      <c r="L17" s="112"/>
      <c r="M17" s="112">
        <f t="shared" si="0"/>
        <v>15000</v>
      </c>
    </row>
    <row r="18" spans="1:13" ht="17.100000000000001" customHeight="1" x14ac:dyDescent="0.2">
      <c r="A18" s="110" t="s">
        <v>31</v>
      </c>
      <c r="B18" s="114" t="s">
        <v>171</v>
      </c>
      <c r="C18" s="112"/>
      <c r="D18" s="112"/>
      <c r="E18" s="112"/>
      <c r="F18" s="112"/>
      <c r="G18" s="112"/>
      <c r="H18" s="112"/>
      <c r="I18" s="112"/>
      <c r="J18" s="112"/>
      <c r="K18" s="112">
        <v>3000</v>
      </c>
      <c r="L18" s="112"/>
      <c r="M18" s="112">
        <f t="shared" si="0"/>
        <v>3000</v>
      </c>
    </row>
    <row r="19" spans="1:13" ht="17.100000000000001" customHeight="1" x14ac:dyDescent="0.2">
      <c r="A19" s="110" t="s">
        <v>32</v>
      </c>
      <c r="B19" s="114" t="s">
        <v>202</v>
      </c>
      <c r="C19" s="112">
        <v>4524</v>
      </c>
      <c r="D19" s="112"/>
      <c r="E19" s="112"/>
      <c r="F19" s="112"/>
      <c r="G19" s="112"/>
      <c r="H19" s="112"/>
      <c r="I19" s="112"/>
      <c r="J19" s="112"/>
      <c r="K19" s="112">
        <v>1443</v>
      </c>
      <c r="L19" s="112"/>
      <c r="M19" s="112">
        <f t="shared" si="0"/>
        <v>5967</v>
      </c>
    </row>
    <row r="20" spans="1:13" ht="17.100000000000001" customHeight="1" x14ac:dyDescent="0.2">
      <c r="A20" s="110" t="s">
        <v>201</v>
      </c>
      <c r="B20" s="114" t="s">
        <v>205</v>
      </c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>
        <f t="shared" si="0"/>
        <v>0</v>
      </c>
    </row>
    <row r="21" spans="1:13" ht="14.25" customHeight="1" x14ac:dyDescent="0.2">
      <c r="A21" s="117"/>
      <c r="B21" s="118" t="s">
        <v>14</v>
      </c>
      <c r="C21" s="119">
        <f t="shared" ref="C21:M21" si="1">SUM(C3:C20)</f>
        <v>24519</v>
      </c>
      <c r="D21" s="119">
        <f t="shared" si="1"/>
        <v>7085</v>
      </c>
      <c r="E21" s="119">
        <f t="shared" si="1"/>
        <v>0</v>
      </c>
      <c r="F21" s="119">
        <f t="shared" si="1"/>
        <v>-87108</v>
      </c>
      <c r="G21" s="119">
        <f t="shared" si="1"/>
        <v>0</v>
      </c>
      <c r="H21" s="119">
        <f t="shared" si="1"/>
        <v>0</v>
      </c>
      <c r="I21" s="119">
        <f t="shared" si="1"/>
        <v>250</v>
      </c>
      <c r="J21" s="119">
        <f t="shared" si="1"/>
        <v>0</v>
      </c>
      <c r="K21" s="119">
        <f t="shared" si="1"/>
        <v>79433</v>
      </c>
      <c r="L21" s="119">
        <f t="shared" si="1"/>
        <v>0</v>
      </c>
      <c r="M21" s="119">
        <f t="shared" si="1"/>
        <v>24179</v>
      </c>
    </row>
    <row r="22" spans="1:13" ht="14.1" customHeight="1" x14ac:dyDescent="0.2">
      <c r="C22" s="104"/>
      <c r="D22" s="104"/>
      <c r="E22" s="104"/>
      <c r="F22" s="104"/>
      <c r="G22" s="104"/>
      <c r="H22" s="104"/>
      <c r="I22" s="104"/>
      <c r="J22" s="104"/>
      <c r="K22" s="104"/>
    </row>
    <row r="23" spans="1:13" ht="14.1" customHeight="1" x14ac:dyDescent="0.2">
      <c r="C23" s="104"/>
      <c r="D23" s="104"/>
      <c r="E23" s="104"/>
      <c r="F23" s="104"/>
      <c r="G23" s="104"/>
      <c r="H23" s="104"/>
      <c r="I23" s="104"/>
      <c r="J23" s="104"/>
      <c r="K23" s="104"/>
    </row>
    <row r="24" spans="1:13" ht="14.1" customHeight="1" x14ac:dyDescent="0.2">
      <c r="C24" s="104"/>
      <c r="D24" s="104"/>
      <c r="E24" s="104"/>
      <c r="F24" s="104"/>
      <c r="G24" s="104"/>
      <c r="H24" s="104"/>
      <c r="I24" s="104"/>
      <c r="J24" s="104"/>
      <c r="K24" s="120"/>
    </row>
    <row r="25" spans="1:13" ht="14.1" customHeight="1" x14ac:dyDescent="0.2">
      <c r="C25" s="104"/>
      <c r="D25" s="104"/>
      <c r="E25" s="104"/>
      <c r="F25" s="104"/>
      <c r="G25" s="104"/>
      <c r="H25" s="104"/>
      <c r="I25" s="104"/>
      <c r="J25" s="104"/>
      <c r="K25" s="120"/>
    </row>
    <row r="26" spans="1:13" ht="14.1" customHeight="1" x14ac:dyDescent="0.2">
      <c r="C26" s="104"/>
      <c r="D26" s="104"/>
      <c r="E26" s="104"/>
      <c r="F26" s="104"/>
      <c r="G26" s="104"/>
      <c r="H26" s="104"/>
      <c r="I26" s="104"/>
      <c r="J26" s="104"/>
      <c r="K26" s="104"/>
    </row>
    <row r="27" spans="1:13" ht="14.1" customHeight="1" x14ac:dyDescent="0.2"/>
    <row r="28" spans="1:13" ht="14.1" customHeight="1" x14ac:dyDescent="0.2"/>
    <row r="29" spans="1:13" ht="14.1" customHeight="1" x14ac:dyDescent="0.2"/>
  </sheetData>
  <mergeCells count="5">
    <mergeCell ref="A1:A2"/>
    <mergeCell ref="B1:B2"/>
    <mergeCell ref="C1:I1"/>
    <mergeCell ref="J1:L1"/>
    <mergeCell ref="M1:M2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2" orientation="landscape" r:id="rId1"/>
  <headerFooter alignWithMargins="0">
    <oddHeader>&amp;C&amp;"Times New Roman,Félkövér dőlt"ZMJV ÖNKORMÁNYZATA ÁLTAL IRÁNYÍTOTT KÖLTSÉGVETÉSI SZERVEK
  2021. ÉVI  BEVÉTELI ELŐIRÁNYZATAINAK MÓDOSÍTÁSA A  III. NEGYEDÉVBEN&amp;R&amp;"Times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L26"/>
  <sheetViews>
    <sheetView zoomScale="112" zoomScaleNormal="112" workbookViewId="0">
      <pane ySplit="2" topLeftCell="A3" activePane="bottomLeft" state="frozen"/>
      <selection activeCell="H32" sqref="H32"/>
      <selection pane="bottomLeft" activeCell="H19" sqref="H19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" style="19" customWidth="1"/>
    <col min="4" max="4" width="11.83203125" style="19" customWidth="1"/>
    <col min="5" max="5" width="9.83203125" style="19" customWidth="1"/>
    <col min="6" max="7" width="10.5" style="19" customWidth="1"/>
    <col min="8" max="8" width="11.1640625" style="19" customWidth="1"/>
    <col min="9" max="9" width="11.83203125" style="19" customWidth="1"/>
    <col min="10" max="10" width="9.5" style="19" customWidth="1"/>
    <col min="11" max="11" width="8.1640625" style="19" customWidth="1"/>
    <col min="12" max="12" width="10.83203125" style="31" customWidth="1"/>
    <col min="13" max="16384" width="9.33203125" style="19"/>
  </cols>
  <sheetData>
    <row r="1" spans="1:12" ht="12.75" customHeight="1" x14ac:dyDescent="0.2">
      <c r="A1" s="958" t="s">
        <v>97</v>
      </c>
      <c r="B1" s="958" t="s">
        <v>137</v>
      </c>
      <c r="C1" s="957" t="s">
        <v>143</v>
      </c>
      <c r="D1" s="957"/>
      <c r="E1" s="957"/>
      <c r="F1" s="957"/>
      <c r="G1" s="957"/>
      <c r="H1" s="957"/>
      <c r="I1" s="957"/>
      <c r="J1" s="957"/>
      <c r="K1" s="958" t="s">
        <v>142</v>
      </c>
      <c r="L1" s="958" t="s">
        <v>194</v>
      </c>
    </row>
    <row r="2" spans="1:12" s="28" customFormat="1" ht="60" customHeight="1" x14ac:dyDescent="0.2">
      <c r="A2" s="958"/>
      <c r="B2" s="958"/>
      <c r="C2" s="535" t="s">
        <v>121</v>
      </c>
      <c r="D2" s="535" t="s">
        <v>212</v>
      </c>
      <c r="E2" s="535" t="s">
        <v>206</v>
      </c>
      <c r="F2" s="535" t="s">
        <v>18</v>
      </c>
      <c r="G2" s="535" t="s">
        <v>33</v>
      </c>
      <c r="H2" s="535" t="s">
        <v>24</v>
      </c>
      <c r="I2" s="535" t="s">
        <v>23</v>
      </c>
      <c r="J2" s="535" t="s">
        <v>19</v>
      </c>
      <c r="K2" s="979"/>
      <c r="L2" s="958"/>
    </row>
    <row r="3" spans="1:12" s="28" customFormat="1" ht="15" customHeight="1" x14ac:dyDescent="0.2">
      <c r="A3" s="121" t="s">
        <v>99</v>
      </c>
      <c r="B3" s="122" t="s">
        <v>139</v>
      </c>
      <c r="C3" s="123"/>
      <c r="D3" s="123"/>
      <c r="E3" s="123">
        <v>-1972</v>
      </c>
      <c r="F3" s="123"/>
      <c r="G3" s="123"/>
      <c r="H3" s="123">
        <v>2103</v>
      </c>
      <c r="I3" s="123"/>
      <c r="J3" s="123"/>
      <c r="K3" s="123"/>
      <c r="L3" s="123">
        <f t="shared" ref="L3:L20" si="0">SUM(C3:K3)</f>
        <v>131</v>
      </c>
    </row>
    <row r="4" spans="1:12" s="28" customFormat="1" ht="15" customHeight="1" x14ac:dyDescent="0.2">
      <c r="A4" s="121" t="s">
        <v>101</v>
      </c>
      <c r="B4" s="122" t="s">
        <v>133</v>
      </c>
      <c r="C4" s="123">
        <v>2858</v>
      </c>
      <c r="D4" s="123">
        <v>443</v>
      </c>
      <c r="E4" s="123">
        <v>-117950</v>
      </c>
      <c r="F4" s="123"/>
      <c r="G4" s="123"/>
      <c r="H4" s="123">
        <v>300</v>
      </c>
      <c r="I4" s="123"/>
      <c r="J4" s="123"/>
      <c r="K4" s="123"/>
      <c r="L4" s="123">
        <f t="shared" si="0"/>
        <v>-114349</v>
      </c>
    </row>
    <row r="5" spans="1:12" s="28" customFormat="1" ht="15" customHeight="1" x14ac:dyDescent="0.2">
      <c r="A5" s="121" t="s">
        <v>102</v>
      </c>
      <c r="B5" s="122" t="s">
        <v>164</v>
      </c>
      <c r="C5" s="123">
        <v>14816</v>
      </c>
      <c r="D5" s="123">
        <v>1817</v>
      </c>
      <c r="E5" s="123">
        <v>1083</v>
      </c>
      <c r="F5" s="123"/>
      <c r="G5" s="123"/>
      <c r="H5" s="123">
        <v>4415</v>
      </c>
      <c r="I5" s="123">
        <v>-1000</v>
      </c>
      <c r="J5" s="123">
        <v>300</v>
      </c>
      <c r="K5" s="123"/>
      <c r="L5" s="123">
        <f t="shared" si="0"/>
        <v>21431</v>
      </c>
    </row>
    <row r="6" spans="1:12" s="28" customFormat="1" ht="23.25" customHeight="1" x14ac:dyDescent="0.2">
      <c r="A6" s="121" t="s">
        <v>90</v>
      </c>
      <c r="B6" s="113" t="s">
        <v>198</v>
      </c>
      <c r="C6" s="123">
        <v>43</v>
      </c>
      <c r="D6" s="123">
        <v>7</v>
      </c>
      <c r="E6" s="123">
        <v>600</v>
      </c>
      <c r="F6" s="123"/>
      <c r="G6" s="123"/>
      <c r="H6" s="123"/>
      <c r="I6" s="123"/>
      <c r="J6" s="123"/>
      <c r="K6" s="123"/>
      <c r="L6" s="123">
        <f t="shared" si="0"/>
        <v>650</v>
      </c>
    </row>
    <row r="7" spans="1:12" s="28" customFormat="1" ht="26.25" customHeight="1" x14ac:dyDescent="0.2">
      <c r="A7" s="121" t="s">
        <v>89</v>
      </c>
      <c r="B7" s="113" t="s">
        <v>199</v>
      </c>
      <c r="C7" s="123">
        <v>15635</v>
      </c>
      <c r="D7" s="123">
        <v>2423</v>
      </c>
      <c r="E7" s="123">
        <v>460</v>
      </c>
      <c r="F7" s="123"/>
      <c r="G7" s="123"/>
      <c r="H7" s="123"/>
      <c r="I7" s="123"/>
      <c r="J7" s="123"/>
      <c r="K7" s="123"/>
      <c r="L7" s="123">
        <f t="shared" si="0"/>
        <v>18518</v>
      </c>
    </row>
    <row r="8" spans="1:12" s="28" customFormat="1" ht="15" customHeight="1" x14ac:dyDescent="0.2">
      <c r="A8" s="121" t="s">
        <v>91</v>
      </c>
      <c r="B8" s="114" t="s">
        <v>165</v>
      </c>
      <c r="C8" s="123">
        <v>19</v>
      </c>
      <c r="D8" s="123">
        <v>3</v>
      </c>
      <c r="E8" s="123">
        <v>750</v>
      </c>
      <c r="F8" s="123"/>
      <c r="G8" s="123">
        <v>200</v>
      </c>
      <c r="H8" s="123"/>
      <c r="I8" s="123"/>
      <c r="J8" s="123"/>
      <c r="K8" s="123"/>
      <c r="L8" s="123">
        <f t="shared" si="0"/>
        <v>972</v>
      </c>
    </row>
    <row r="9" spans="1:12" s="28" customFormat="1" ht="15" customHeight="1" x14ac:dyDescent="0.2">
      <c r="A9" s="121" t="s">
        <v>92</v>
      </c>
      <c r="B9" s="114" t="s">
        <v>166</v>
      </c>
      <c r="C9" s="123">
        <v>37</v>
      </c>
      <c r="D9" s="123">
        <v>6</v>
      </c>
      <c r="E9" s="123">
        <v>1860</v>
      </c>
      <c r="F9" s="123"/>
      <c r="G9" s="123"/>
      <c r="H9" s="123"/>
      <c r="I9" s="123">
        <v>140</v>
      </c>
      <c r="J9" s="123"/>
      <c r="K9" s="123"/>
      <c r="L9" s="123">
        <f t="shared" si="0"/>
        <v>2043</v>
      </c>
    </row>
    <row r="10" spans="1:12" s="29" customFormat="1" ht="15" customHeight="1" x14ac:dyDescent="0.2">
      <c r="A10" s="121" t="s">
        <v>93</v>
      </c>
      <c r="B10" s="114" t="s">
        <v>167</v>
      </c>
      <c r="C10" s="5">
        <v>297</v>
      </c>
      <c r="D10" s="5">
        <v>47</v>
      </c>
      <c r="E10" s="5"/>
      <c r="F10" s="5"/>
      <c r="G10" s="5"/>
      <c r="H10" s="5">
        <v>1030</v>
      </c>
      <c r="I10" s="5"/>
      <c r="J10" s="5"/>
      <c r="K10" s="5"/>
      <c r="L10" s="123">
        <f t="shared" si="0"/>
        <v>1374</v>
      </c>
    </row>
    <row r="11" spans="1:12" s="29" customFormat="1" ht="17.25" customHeight="1" x14ac:dyDescent="0.2">
      <c r="A11" s="121" t="s">
        <v>25</v>
      </c>
      <c r="B11" s="114" t="s">
        <v>168</v>
      </c>
      <c r="C11" s="5"/>
      <c r="D11" s="5"/>
      <c r="E11" s="5"/>
      <c r="F11" s="5"/>
      <c r="G11" s="5"/>
      <c r="H11" s="5"/>
      <c r="I11" s="5"/>
      <c r="J11" s="5"/>
      <c r="K11" s="5"/>
      <c r="L11" s="123">
        <f t="shared" si="0"/>
        <v>0</v>
      </c>
    </row>
    <row r="12" spans="1:12" s="29" customFormat="1" ht="18.75" customHeight="1" x14ac:dyDescent="0.2">
      <c r="A12" s="121" t="s">
        <v>26</v>
      </c>
      <c r="B12" s="115" t="s">
        <v>200</v>
      </c>
      <c r="C12" s="5">
        <v>839</v>
      </c>
      <c r="D12" s="5">
        <v>131</v>
      </c>
      <c r="E12" s="5"/>
      <c r="F12" s="5"/>
      <c r="G12" s="5"/>
      <c r="H12" s="5"/>
      <c r="I12" s="5"/>
      <c r="J12" s="5"/>
      <c r="K12" s="5"/>
      <c r="L12" s="123">
        <f t="shared" si="0"/>
        <v>970</v>
      </c>
    </row>
    <row r="13" spans="1:12" s="29" customFormat="1" ht="14.1" customHeight="1" x14ac:dyDescent="0.2">
      <c r="A13" s="121" t="s">
        <v>27</v>
      </c>
      <c r="B13" s="116" t="s">
        <v>161</v>
      </c>
      <c r="C13" s="5"/>
      <c r="D13" s="5"/>
      <c r="E13" s="5">
        <v>8701</v>
      </c>
      <c r="F13" s="5"/>
      <c r="G13" s="5"/>
      <c r="H13" s="5">
        <v>800</v>
      </c>
      <c r="I13" s="5">
        <v>3000</v>
      </c>
      <c r="J13" s="5"/>
      <c r="K13" s="5"/>
      <c r="L13" s="123">
        <f t="shared" si="0"/>
        <v>12501</v>
      </c>
    </row>
    <row r="14" spans="1:12" s="29" customFormat="1" ht="24.75" customHeight="1" x14ac:dyDescent="0.2">
      <c r="A14" s="121" t="s">
        <v>28</v>
      </c>
      <c r="B14" s="113" t="s">
        <v>169</v>
      </c>
      <c r="C14" s="5">
        <v>291</v>
      </c>
      <c r="D14" s="5">
        <v>45</v>
      </c>
      <c r="E14" s="5"/>
      <c r="F14" s="5"/>
      <c r="G14" s="5"/>
      <c r="H14" s="5"/>
      <c r="I14" s="5"/>
      <c r="J14" s="5"/>
      <c r="K14" s="5"/>
      <c r="L14" s="123">
        <f t="shared" si="0"/>
        <v>336</v>
      </c>
    </row>
    <row r="15" spans="1:12" s="29" customFormat="1" ht="14.1" customHeight="1" x14ac:dyDescent="0.2">
      <c r="A15" s="121" t="s">
        <v>29</v>
      </c>
      <c r="B15" s="114" t="s">
        <v>162</v>
      </c>
      <c r="C15" s="5">
        <v>196</v>
      </c>
      <c r="D15" s="5">
        <v>30</v>
      </c>
      <c r="E15" s="5">
        <v>21636</v>
      </c>
      <c r="F15" s="5"/>
      <c r="G15" s="5"/>
      <c r="H15" s="5">
        <v>841</v>
      </c>
      <c r="I15" s="5"/>
      <c r="J15" s="5"/>
      <c r="K15" s="5"/>
      <c r="L15" s="123">
        <f t="shared" si="0"/>
        <v>22703</v>
      </c>
    </row>
    <row r="16" spans="1:12" s="29" customFormat="1" ht="14.1" customHeight="1" x14ac:dyDescent="0.2">
      <c r="A16" s="121" t="s">
        <v>30</v>
      </c>
      <c r="B16" s="114" t="s">
        <v>163</v>
      </c>
      <c r="C16" s="5">
        <v>5349</v>
      </c>
      <c r="D16" s="5">
        <v>1308</v>
      </c>
      <c r="E16" s="5">
        <v>3315</v>
      </c>
      <c r="F16" s="5"/>
      <c r="G16" s="5">
        <v>6096</v>
      </c>
      <c r="H16" s="5">
        <v>13864</v>
      </c>
      <c r="I16" s="5">
        <v>3000</v>
      </c>
      <c r="J16" s="5"/>
      <c r="K16" s="5"/>
      <c r="L16" s="123">
        <f t="shared" si="0"/>
        <v>32932</v>
      </c>
    </row>
    <row r="17" spans="1:12" s="29" customFormat="1" ht="12.95" customHeight="1" x14ac:dyDescent="0.2">
      <c r="A17" s="121" t="s">
        <v>94</v>
      </c>
      <c r="B17" s="114" t="s">
        <v>170</v>
      </c>
      <c r="C17" s="5">
        <v>12980</v>
      </c>
      <c r="D17" s="5">
        <v>2020</v>
      </c>
      <c r="E17" s="5"/>
      <c r="F17" s="5"/>
      <c r="G17" s="5"/>
      <c r="H17" s="5"/>
      <c r="I17" s="5"/>
      <c r="J17" s="5"/>
      <c r="K17" s="5"/>
      <c r="L17" s="123">
        <f t="shared" si="0"/>
        <v>15000</v>
      </c>
    </row>
    <row r="18" spans="1:12" s="29" customFormat="1" ht="12.95" customHeight="1" x14ac:dyDescent="0.2">
      <c r="A18" s="121" t="s">
        <v>31</v>
      </c>
      <c r="B18" s="114" t="s">
        <v>171</v>
      </c>
      <c r="C18" s="5"/>
      <c r="D18" s="5"/>
      <c r="E18" s="5"/>
      <c r="F18" s="5"/>
      <c r="G18" s="5"/>
      <c r="H18" s="5">
        <v>3000</v>
      </c>
      <c r="I18" s="5"/>
      <c r="J18" s="5"/>
      <c r="K18" s="5"/>
      <c r="L18" s="123">
        <f t="shared" si="0"/>
        <v>3000</v>
      </c>
    </row>
    <row r="19" spans="1:12" s="29" customFormat="1" ht="15.75" customHeight="1" x14ac:dyDescent="0.2">
      <c r="A19" s="121" t="s">
        <v>32</v>
      </c>
      <c r="B19" s="114" t="s">
        <v>202</v>
      </c>
      <c r="C19" s="82">
        <v>5166</v>
      </c>
      <c r="D19" s="82">
        <v>801</v>
      </c>
      <c r="E19" s="82"/>
      <c r="F19" s="82"/>
      <c r="G19" s="82"/>
      <c r="H19" s="82"/>
      <c r="I19" s="82"/>
      <c r="J19" s="82"/>
      <c r="K19" s="82"/>
      <c r="L19" s="123">
        <f t="shared" si="0"/>
        <v>5967</v>
      </c>
    </row>
    <row r="20" spans="1:12" s="1" customFormat="1" x14ac:dyDescent="0.2">
      <c r="A20" s="121" t="s">
        <v>201</v>
      </c>
      <c r="B20" s="114" t="s">
        <v>205</v>
      </c>
      <c r="C20" s="10"/>
      <c r="D20" s="10"/>
      <c r="E20" s="10"/>
      <c r="F20" s="10"/>
      <c r="G20" s="10"/>
      <c r="H20" s="10"/>
      <c r="I20" s="10"/>
      <c r="J20" s="10"/>
      <c r="K20" s="10"/>
      <c r="L20" s="123">
        <f t="shared" si="0"/>
        <v>0</v>
      </c>
    </row>
    <row r="21" spans="1:12" s="1" customFormat="1" x14ac:dyDescent="0.2">
      <c r="A21" s="536"/>
      <c r="B21" s="125" t="s">
        <v>14</v>
      </c>
      <c r="C21" s="84">
        <f t="shared" ref="C21:L21" si="1">SUM(C3:C20)</f>
        <v>58526</v>
      </c>
      <c r="D21" s="84">
        <f t="shared" si="1"/>
        <v>9081</v>
      </c>
      <c r="E21" s="84">
        <f t="shared" si="1"/>
        <v>-81517</v>
      </c>
      <c r="F21" s="84">
        <f t="shared" si="1"/>
        <v>0</v>
      </c>
      <c r="G21" s="84">
        <f t="shared" si="1"/>
        <v>6296</v>
      </c>
      <c r="H21" s="84">
        <f t="shared" si="1"/>
        <v>26353</v>
      </c>
      <c r="I21" s="84">
        <f t="shared" si="1"/>
        <v>5140</v>
      </c>
      <c r="J21" s="84">
        <f t="shared" si="1"/>
        <v>300</v>
      </c>
      <c r="K21" s="84">
        <f t="shared" si="1"/>
        <v>0</v>
      </c>
      <c r="L21" s="84">
        <f t="shared" si="1"/>
        <v>24179</v>
      </c>
    </row>
    <row r="22" spans="1:12" s="1" customFormat="1" x14ac:dyDescent="0.2">
      <c r="L22" s="20"/>
    </row>
    <row r="23" spans="1:12" s="1" customFormat="1" x14ac:dyDescent="0.2">
      <c r="B23" s="15"/>
      <c r="L23" s="20"/>
    </row>
    <row r="24" spans="1:12" s="1" customFormat="1" x14ac:dyDescent="0.2">
      <c r="L24" s="20"/>
    </row>
    <row r="25" spans="1:12" s="1" customFormat="1" x14ac:dyDescent="0.2">
      <c r="L25" s="20"/>
    </row>
    <row r="26" spans="1:12" s="1" customFormat="1" x14ac:dyDescent="0.2">
      <c r="C26" s="15"/>
      <c r="L26" s="20"/>
    </row>
  </sheetData>
  <dataConsolidate/>
  <mergeCells count="5">
    <mergeCell ref="A1:A2"/>
    <mergeCell ref="B1:B2"/>
    <mergeCell ref="C1:J1"/>
    <mergeCell ref="K1:K2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dőlt"ZMJV ÖNKORMÁNYZATA ÁLTAL IRÁNYÍTOTT KÖLTSÉGVETÉSI SZERVEK 
2021.  ÉVI KIADÁSI ELŐIRÁNYZATAINAK MÓDOSÍTÁSA A III. NEGYEDÉVBEN&amp;R&amp;"Times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táj.1</vt:lpstr>
      <vt:lpstr>táj.2</vt:lpstr>
      <vt:lpstr>táj.3</vt:lpstr>
      <vt:lpstr>táj.4</vt:lpstr>
      <vt:lpstr>'3'!Nyomtatási_cím</vt:lpstr>
      <vt:lpstr>'6'!Nyomtatási_cím</vt:lpstr>
      <vt:lpstr>'8'!Nyomtatási_cím</vt:lpstr>
      <vt:lpstr>táj.1!Nyomtatási_cím</vt:lpstr>
      <vt:lpstr>táj.2!Nyomtatási_cím</vt:lpstr>
      <vt:lpstr>'3'!Nyomtatási_terület</vt:lpstr>
      <vt:lpstr>'6'!Nyomtatási_terület</vt:lpstr>
      <vt:lpstr>'8'!Nyomtatási_terület</vt:lpstr>
      <vt:lpstr>táj.1!Nyomtatási_terület</vt:lpstr>
      <vt:lpstr>táj.2!Nyomtatási_terület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2021-09-01T13:17:55Z</cp:lastPrinted>
  <dcterms:created xsi:type="dcterms:W3CDTF">2002-12-30T13:12:46Z</dcterms:created>
  <dcterms:modified xsi:type="dcterms:W3CDTF">2021-09-01T14:19:10Z</dcterms:modified>
</cp:coreProperties>
</file>