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3. IV.névi ei-módosítás\"/>
    </mc:Choice>
  </mc:AlternateContent>
  <xr:revisionPtr revIDLastSave="0" documentId="13_ncr:1_{BEE49C8E-DD15-4EFF-9AE7-5B5C14FAB906}" xr6:coauthVersionLast="47" xr6:coauthVersionMax="47" xr10:uidLastSave="{00000000-0000-0000-0000-000000000000}"/>
  <bookViews>
    <workbookView xWindow="-108" yWindow="-108" windowWidth="23256" windowHeight="12576" tabRatio="608" activeTab="11" xr2:uid="{00000000-000D-0000-FFFF-FFFF00000000}"/>
  </bookViews>
  <sheets>
    <sheet name="1" sheetId="202" r:id="rId1"/>
    <sheet name="2" sheetId="203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táj1" sheetId="198" r:id="rId11"/>
    <sheet name="táj2" sheetId="199" r:id="rId12"/>
    <sheet name="táj3" sheetId="200" r:id="rId13"/>
    <sheet name="táj4" sheetId="201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Area" localSheetId="2">'3'!$A$1:$J$83</definedName>
    <definedName name="_xlnm.Print_Area" localSheetId="5">'6'!$A$1:$O$201</definedName>
    <definedName name="_xlnm.Print_Area" localSheetId="7">'8'!$A$1:$Q$620</definedName>
    <definedName name="_xlnm.Print_Area" localSheetId="10">táj1!$A$1:$O$201</definedName>
    <definedName name="_xlnm.Print_Area" localSheetId="11">táj2!$C$1:$R$619</definedName>
  </definedNames>
  <calcPr calcId="181029"/>
</workbook>
</file>

<file path=xl/calcChain.xml><?xml version="1.0" encoding="utf-8"?>
<calcChain xmlns="http://schemas.openxmlformats.org/spreadsheetml/2006/main">
  <c r="M264" i="194" l="1"/>
  <c r="L462" i="194"/>
  <c r="I462" i="194"/>
  <c r="Q462" i="199"/>
  <c r="L372" i="194"/>
  <c r="N386" i="194"/>
  <c r="H65" i="194"/>
  <c r="G65" i="194"/>
  <c r="Q334" i="199"/>
  <c r="M334" i="194"/>
  <c r="Q334" i="194" s="1"/>
  <c r="O105" i="198"/>
  <c r="F105" i="193"/>
  <c r="H105" i="193"/>
  <c r="E105" i="193"/>
  <c r="Q462" i="194" l="1"/>
  <c r="O105" i="193"/>
  <c r="D15" i="202"/>
  <c r="H563" i="194"/>
  <c r="G563" i="194"/>
  <c r="N457" i="194"/>
  <c r="M457" i="194"/>
  <c r="N440" i="194"/>
  <c r="M391" i="194"/>
  <c r="M455" i="194"/>
  <c r="L377" i="194"/>
  <c r="M332" i="194"/>
  <c r="Q332" i="194" s="1"/>
  <c r="M331" i="194"/>
  <c r="Q331" i="194" s="1"/>
  <c r="L333" i="194"/>
  <c r="Q333" i="194" s="1"/>
  <c r="Q331" i="199"/>
  <c r="Q332" i="199"/>
  <c r="Q333" i="199"/>
  <c r="M233" i="194"/>
  <c r="M291" i="194"/>
  <c r="Q291" i="199"/>
  <c r="I55" i="194"/>
  <c r="H157" i="194"/>
  <c r="G157" i="194"/>
  <c r="F187" i="193"/>
  <c r="I187" i="193"/>
  <c r="L187" i="193"/>
  <c r="J186" i="193"/>
  <c r="O186" i="193" s="1"/>
  <c r="F187" i="198"/>
  <c r="G187" i="198"/>
  <c r="H187" i="198"/>
  <c r="I187" i="198"/>
  <c r="J187" i="198"/>
  <c r="K187" i="198"/>
  <c r="L187" i="198"/>
  <c r="M187" i="198"/>
  <c r="N187" i="198"/>
  <c r="E187" i="198"/>
  <c r="O186" i="198"/>
  <c r="H111" i="193"/>
  <c r="H110" i="193"/>
  <c r="O110" i="193" s="1"/>
  <c r="G112" i="193"/>
  <c r="J112" i="193"/>
  <c r="K112" i="193"/>
  <c r="L112" i="193"/>
  <c r="O111" i="193"/>
  <c r="O110" i="198"/>
  <c r="O111" i="198"/>
  <c r="F112" i="198"/>
  <c r="G112" i="198"/>
  <c r="H112" i="198"/>
  <c r="I112" i="198"/>
  <c r="J112" i="198"/>
  <c r="K112" i="198"/>
  <c r="L112" i="198"/>
  <c r="M112" i="198"/>
  <c r="N112" i="198"/>
  <c r="E112" i="198"/>
  <c r="H95" i="193"/>
  <c r="F71" i="193"/>
  <c r="H70" i="193"/>
  <c r="H55" i="193"/>
  <c r="O55" i="193" s="1"/>
  <c r="H57" i="193"/>
  <c r="O57" i="193" s="1"/>
  <c r="F58" i="193"/>
  <c r="G58" i="193"/>
  <c r="I58" i="193"/>
  <c r="J58" i="193"/>
  <c r="L58" i="193"/>
  <c r="N58" i="193"/>
  <c r="E58" i="193"/>
  <c r="O55" i="198"/>
  <c r="O57" i="198"/>
  <c r="F58" i="198"/>
  <c r="G58" i="198"/>
  <c r="H58" i="198"/>
  <c r="I58" i="198"/>
  <c r="J58" i="198"/>
  <c r="K58" i="198"/>
  <c r="L58" i="198"/>
  <c r="M58" i="198"/>
  <c r="N58" i="198"/>
  <c r="E58" i="198"/>
  <c r="H53" i="193"/>
  <c r="O53" i="193" s="1"/>
  <c r="O53" i="198"/>
  <c r="H29" i="193"/>
  <c r="J25" i="193"/>
  <c r="O25" i="193" s="1"/>
  <c r="O25" i="198"/>
  <c r="K609" i="194" l="1"/>
  <c r="K610" i="194"/>
  <c r="K606" i="194"/>
  <c r="K605" i="194"/>
  <c r="K604" i="194"/>
  <c r="N597" i="194"/>
  <c r="Q597" i="194" s="1"/>
  <c r="N596" i="194"/>
  <c r="K575" i="194"/>
  <c r="I575" i="194"/>
  <c r="K574" i="194"/>
  <c r="I566" i="194"/>
  <c r="H566" i="194"/>
  <c r="G566" i="194"/>
  <c r="I558" i="194"/>
  <c r="K540" i="194"/>
  <c r="I532" i="194"/>
  <c r="I488" i="194"/>
  <c r="L469" i="194"/>
  <c r="N458" i="194"/>
  <c r="L458" i="194"/>
  <c r="I458" i="194"/>
  <c r="L454" i="194"/>
  <c r="I454" i="194"/>
  <c r="L431" i="194"/>
  <c r="I431" i="194"/>
  <c r="H431" i="194"/>
  <c r="M427" i="194"/>
  <c r="L427" i="194"/>
  <c r="M420" i="194"/>
  <c r="M414" i="194"/>
  <c r="M406" i="194"/>
  <c r="L406" i="194"/>
  <c r="M390" i="194"/>
  <c r="I390" i="194"/>
  <c r="M382" i="194"/>
  <c r="L382" i="194"/>
  <c r="M372" i="194"/>
  <c r="I372" i="194"/>
  <c r="I370" i="194"/>
  <c r="L366" i="194"/>
  <c r="I355" i="194"/>
  <c r="M304" i="194"/>
  <c r="M322" i="194"/>
  <c r="I264" i="194"/>
  <c r="I260" i="194"/>
  <c r="I255" i="194"/>
  <c r="L250" i="194"/>
  <c r="I250" i="194"/>
  <c r="I218" i="194"/>
  <c r="L217" i="194"/>
  <c r="I217" i="194"/>
  <c r="I209" i="194"/>
  <c r="M180" i="194"/>
  <c r="N185" i="194"/>
  <c r="L175" i="194"/>
  <c r="Q175" i="194" s="1"/>
  <c r="L174" i="194"/>
  <c r="K156" i="194"/>
  <c r="Q156" i="194" s="1"/>
  <c r="K152" i="194"/>
  <c r="K134" i="194"/>
  <c r="H134" i="194"/>
  <c r="G134" i="194"/>
  <c r="K120" i="194"/>
  <c r="I108" i="194"/>
  <c r="G108" i="194"/>
  <c r="K76" i="194"/>
  <c r="Q76" i="194" s="1"/>
  <c r="I74" i="194"/>
  <c r="J67" i="194"/>
  <c r="H61" i="194"/>
  <c r="G61" i="194"/>
  <c r="K56" i="194"/>
  <c r="I34" i="194"/>
  <c r="J195" i="193"/>
  <c r="O195" i="193" s="1"/>
  <c r="K193" i="193"/>
  <c r="O193" i="193" s="1"/>
  <c r="J192" i="193"/>
  <c r="H192" i="193"/>
  <c r="J184" i="193"/>
  <c r="E165" i="193"/>
  <c r="H61" i="193"/>
  <c r="K51" i="193"/>
  <c r="K58" i="193" s="1"/>
  <c r="K28" i="193"/>
  <c r="O28" i="193" s="1"/>
  <c r="H7" i="193"/>
  <c r="K22" i="139"/>
  <c r="H22" i="139"/>
  <c r="G22" i="139"/>
  <c r="F22" i="139"/>
  <c r="K21" i="139"/>
  <c r="H21" i="139"/>
  <c r="G21" i="139"/>
  <c r="F21" i="139"/>
  <c r="K19" i="139"/>
  <c r="H14" i="139"/>
  <c r="L12" i="139"/>
  <c r="H12" i="139"/>
  <c r="L8" i="139"/>
  <c r="H8" i="139"/>
  <c r="G8" i="139"/>
  <c r="F8" i="139"/>
  <c r="G6" i="139"/>
  <c r="F6" i="139"/>
  <c r="N22" i="138"/>
  <c r="I22" i="138"/>
  <c r="N21" i="138"/>
  <c r="I21" i="138"/>
  <c r="F19" i="138"/>
  <c r="N14" i="138"/>
  <c r="N8" i="138"/>
  <c r="N6" i="138"/>
  <c r="Q156" i="199"/>
  <c r="Q597" i="199"/>
  <c r="Q175" i="199"/>
  <c r="Q76" i="199"/>
  <c r="O193" i="198"/>
  <c r="O195" i="198"/>
  <c r="O184" i="198"/>
  <c r="O28" i="198"/>
  <c r="I22" i="139"/>
  <c r="J22" i="139"/>
  <c r="L22" i="139"/>
  <c r="M22" i="139"/>
  <c r="N22" i="139"/>
  <c r="G22" i="138"/>
  <c r="H22" i="138"/>
  <c r="J22" i="138"/>
  <c r="K22" i="138"/>
  <c r="L22" i="138"/>
  <c r="M22" i="138"/>
  <c r="O22" i="138"/>
  <c r="F22" i="138"/>
  <c r="L614" i="194"/>
  <c r="L613" i="194"/>
  <c r="K607" i="194"/>
  <c r="K603" i="194"/>
  <c r="K602" i="194"/>
  <c r="K600" i="194"/>
  <c r="K590" i="194"/>
  <c r="H575" i="194"/>
  <c r="G575" i="194"/>
  <c r="K563" i="194"/>
  <c r="L558" i="194"/>
  <c r="N554" i="194"/>
  <c r="K548" i="194"/>
  <c r="I518" i="194"/>
  <c r="G507" i="194"/>
  <c r="L498" i="194"/>
  <c r="I498" i="194"/>
  <c r="N496" i="194"/>
  <c r="I493" i="194"/>
  <c r="L485" i="194"/>
  <c r="I482" i="194"/>
  <c r="I477" i="194"/>
  <c r="L476" i="194"/>
  <c r="I476" i="194"/>
  <c r="O184" i="193" l="1"/>
  <c r="J187" i="193"/>
  <c r="L460" i="194"/>
  <c r="I460" i="194"/>
  <c r="L455" i="194"/>
  <c r="I455" i="194"/>
  <c r="M454" i="194"/>
  <c r="L439" i="194"/>
  <c r="I438" i="194"/>
  <c r="L435" i="194"/>
  <c r="H435" i="194"/>
  <c r="G435" i="194"/>
  <c r="L434" i="194"/>
  <c r="I434" i="194"/>
  <c r="N427" i="194"/>
  <c r="L426" i="194"/>
  <c r="N421" i="194"/>
  <c r="M421" i="194"/>
  <c r="L421" i="194"/>
  <c r="I421" i="194"/>
  <c r="M417" i="194"/>
  <c r="I412" i="194"/>
  <c r="M401" i="194"/>
  <c r="L391" i="194"/>
  <c r="L385" i="194"/>
  <c r="P22" i="138"/>
  <c r="D23" i="138"/>
  <c r="O22" i="139"/>
  <c r="D23" i="139"/>
  <c r="E23" i="200"/>
  <c r="F23" i="200"/>
  <c r="G23" i="200"/>
  <c r="H23" i="200"/>
  <c r="I23" i="200"/>
  <c r="J23" i="200"/>
  <c r="K23" i="200"/>
  <c r="L23" i="200"/>
  <c r="M23" i="200"/>
  <c r="D23" i="200"/>
  <c r="N5" i="200"/>
  <c r="N6" i="200"/>
  <c r="E6" i="138" s="1"/>
  <c r="N7" i="200"/>
  <c r="N8" i="200"/>
  <c r="E8" i="138" s="1"/>
  <c r="N9" i="200"/>
  <c r="N10" i="200"/>
  <c r="N11" i="200"/>
  <c r="N12" i="200"/>
  <c r="N13" i="200"/>
  <c r="N14" i="200"/>
  <c r="E14" i="138" s="1"/>
  <c r="N15" i="200"/>
  <c r="N16" i="200"/>
  <c r="N17" i="200"/>
  <c r="N18" i="200"/>
  <c r="N19" i="200"/>
  <c r="E19" i="138" s="1"/>
  <c r="N20" i="200"/>
  <c r="N21" i="200"/>
  <c r="E21" i="138" s="1"/>
  <c r="N22" i="200"/>
  <c r="E22" i="138" s="1"/>
  <c r="M5" i="201"/>
  <c r="M6" i="201"/>
  <c r="E6" i="139" s="1"/>
  <c r="M7" i="201"/>
  <c r="M8" i="201"/>
  <c r="E8" i="139" s="1"/>
  <c r="M9" i="201"/>
  <c r="M10" i="201"/>
  <c r="M11" i="201"/>
  <c r="M12" i="201"/>
  <c r="M13" i="201"/>
  <c r="M14" i="201"/>
  <c r="E14" i="139" s="1"/>
  <c r="M15" i="201"/>
  <c r="M16" i="201"/>
  <c r="M17" i="201"/>
  <c r="M18" i="201"/>
  <c r="M19" i="201"/>
  <c r="E19" i="139" s="1"/>
  <c r="M20" i="201"/>
  <c r="M21" i="201"/>
  <c r="E21" i="139" s="1"/>
  <c r="M22" i="201"/>
  <c r="E22" i="139" s="1"/>
  <c r="E23" i="201"/>
  <c r="F23" i="201"/>
  <c r="G23" i="201"/>
  <c r="H23" i="201"/>
  <c r="I23" i="201"/>
  <c r="J23" i="201"/>
  <c r="K23" i="201"/>
  <c r="L23" i="201"/>
  <c r="D23" i="201"/>
  <c r="N375" i="194" l="1"/>
  <c r="K375" i="194"/>
  <c r="I373" i="194"/>
  <c r="N371" i="194"/>
  <c r="I371" i="194"/>
  <c r="L370" i="194"/>
  <c r="I364" i="194"/>
  <c r="L364" i="194"/>
  <c r="L360" i="194"/>
  <c r="I360" i="194"/>
  <c r="M355" i="194"/>
  <c r="M345" i="194"/>
  <c r="M338" i="194"/>
  <c r="M330" i="194"/>
  <c r="M329" i="194"/>
  <c r="M328" i="194"/>
  <c r="L327" i="194"/>
  <c r="L326" i="194"/>
  <c r="M325" i="194"/>
  <c r="M324" i="194"/>
  <c r="M314" i="194"/>
  <c r="I296" i="194"/>
  <c r="I292" i="194"/>
  <c r="K282" i="194"/>
  <c r="I279" i="194"/>
  <c r="I253" i="194"/>
  <c r="I244" i="194"/>
  <c r="I242" i="194"/>
  <c r="K238" i="194"/>
  <c r="I235" i="194"/>
  <c r="I229" i="194"/>
  <c r="I228" i="194"/>
  <c r="I226" i="194"/>
  <c r="I224" i="194"/>
  <c r="I216" i="194"/>
  <c r="I215" i="194"/>
  <c r="I214" i="194"/>
  <c r="L213" i="194"/>
  <c r="I213" i="194"/>
  <c r="I212" i="194"/>
  <c r="I210" i="194"/>
  <c r="L204" i="194"/>
  <c r="N192" i="194"/>
  <c r="Q174" i="194"/>
  <c r="L173" i="194"/>
  <c r="Q173" i="194" s="1"/>
  <c r="K163" i="194"/>
  <c r="K157" i="194"/>
  <c r="K142" i="194"/>
  <c r="K138" i="194"/>
  <c r="I134" i="194"/>
  <c r="K127" i="194"/>
  <c r="K118" i="194"/>
  <c r="I109" i="194"/>
  <c r="K108" i="194"/>
  <c r="K100" i="194"/>
  <c r="K89" i="194"/>
  <c r="K81" i="194"/>
  <c r="K75" i="194"/>
  <c r="I60" i="194"/>
  <c r="G60" i="194"/>
  <c r="I54" i="194"/>
  <c r="H54" i="194"/>
  <c r="G54" i="194"/>
  <c r="J35" i="194"/>
  <c r="H35" i="194"/>
  <c r="L34" i="194"/>
  <c r="J26" i="194"/>
  <c r="I26" i="194"/>
  <c r="K197" i="193"/>
  <c r="G172" i="193"/>
  <c r="E169" i="193"/>
  <c r="M163" i="193"/>
  <c r="K162" i="193"/>
  <c r="K187" i="193" s="1"/>
  <c r="H158" i="193"/>
  <c r="H152" i="193"/>
  <c r="H121" i="193"/>
  <c r="N145" i="193"/>
  <c r="I141" i="193"/>
  <c r="I123" i="193"/>
  <c r="H119" i="193"/>
  <c r="I117" i="193"/>
  <c r="H117" i="193"/>
  <c r="I116" i="193"/>
  <c r="H109" i="193"/>
  <c r="H108" i="193"/>
  <c r="H107" i="193"/>
  <c r="I106" i="193"/>
  <c r="I112" i="193" s="1"/>
  <c r="F103" i="193"/>
  <c r="E103" i="193"/>
  <c r="H96" i="193"/>
  <c r="M93" i="193"/>
  <c r="H93" i="193"/>
  <c r="H92" i="193"/>
  <c r="M75" i="193"/>
  <c r="F75" i="193"/>
  <c r="H47" i="193"/>
  <c r="H41" i="193"/>
  <c r="J29" i="193"/>
  <c r="E24" i="193"/>
  <c r="J16" i="193"/>
  <c r="E11" i="193"/>
  <c r="N19" i="139"/>
  <c r="N18" i="139"/>
  <c r="N17" i="139"/>
  <c r="L10" i="139"/>
  <c r="L6" i="139"/>
  <c r="L4" i="139"/>
  <c r="K18" i="139"/>
  <c r="K10" i="139"/>
  <c r="K7" i="139"/>
  <c r="K4" i="139"/>
  <c r="J19" i="139"/>
  <c r="H19" i="139"/>
  <c r="H18" i="139"/>
  <c r="H17" i="139"/>
  <c r="H16" i="139"/>
  <c r="H13" i="139"/>
  <c r="H11" i="139"/>
  <c r="H10" i="139"/>
  <c r="H9" i="139"/>
  <c r="H7" i="139"/>
  <c r="H6" i="139"/>
  <c r="H5" i="139"/>
  <c r="H4" i="139"/>
  <c r="G20" i="139"/>
  <c r="G17" i="139"/>
  <c r="G15" i="139"/>
  <c r="G14" i="139"/>
  <c r="G13" i="139"/>
  <c r="G12" i="139"/>
  <c r="G11" i="139"/>
  <c r="G10" i="139"/>
  <c r="G9" i="139"/>
  <c r="G7" i="139"/>
  <c r="G5" i="139"/>
  <c r="G4" i="139"/>
  <c r="F20" i="139"/>
  <c r="F17" i="139"/>
  <c r="F15" i="139"/>
  <c r="F14" i="139"/>
  <c r="F13" i="139"/>
  <c r="F12" i="139"/>
  <c r="F11" i="139"/>
  <c r="F10" i="139"/>
  <c r="F9" i="139"/>
  <c r="F7" i="139"/>
  <c r="F5" i="139"/>
  <c r="F4" i="139"/>
  <c r="O19" i="138"/>
  <c r="O18" i="138"/>
  <c r="N20" i="138"/>
  <c r="N17" i="138"/>
  <c r="N16" i="138"/>
  <c r="N15" i="138"/>
  <c r="N13" i="138"/>
  <c r="N12" i="138"/>
  <c r="N11" i="138"/>
  <c r="N10" i="138"/>
  <c r="N9" i="138"/>
  <c r="N7" i="138"/>
  <c r="N5" i="138"/>
  <c r="N4" i="138"/>
  <c r="K17" i="138"/>
  <c r="K14" i="138"/>
  <c r="J7" i="138"/>
  <c r="I19" i="138"/>
  <c r="I18" i="138"/>
  <c r="I17" i="138"/>
  <c r="I7" i="138"/>
  <c r="I4" i="138"/>
  <c r="H4" i="138"/>
  <c r="G18" i="138"/>
  <c r="F17" i="138"/>
  <c r="F16" i="138"/>
  <c r="F14" i="138"/>
  <c r="F12" i="138"/>
  <c r="F11" i="138"/>
  <c r="F10" i="138"/>
  <c r="F9" i="138"/>
  <c r="F7" i="138"/>
  <c r="F6" i="138"/>
  <c r="F5" i="138"/>
  <c r="Q173" i="199"/>
  <c r="Q174" i="199"/>
  <c r="E6" i="203" l="1"/>
  <c r="Q548" i="194" l="1"/>
  <c r="Q548" i="199"/>
  <c r="Q417" i="194"/>
  <c r="Q417" i="199"/>
  <c r="Q355" i="194"/>
  <c r="Q355" i="199"/>
  <c r="Q330" i="199"/>
  <c r="Q329" i="194"/>
  <c r="Q330" i="194"/>
  <c r="Q328" i="194"/>
  <c r="Q328" i="199"/>
  <c r="Q329" i="199"/>
  <c r="Q226" i="194"/>
  <c r="Q226" i="199"/>
  <c r="O107" i="193"/>
  <c r="O108" i="193"/>
  <c r="O106" i="198"/>
  <c r="O107" i="198"/>
  <c r="O108" i="198"/>
  <c r="O106" i="193" l="1"/>
  <c r="Q590" i="194"/>
  <c r="Q590" i="199"/>
  <c r="Q554" i="199"/>
  <c r="Q485" i="194"/>
  <c r="Q485" i="199"/>
  <c r="Q554" i="194" l="1"/>
  <c r="Q325" i="194" l="1"/>
  <c r="Q324" i="194"/>
  <c r="Q326" i="194"/>
  <c r="Q327" i="194"/>
  <c r="Q324" i="199"/>
  <c r="Q325" i="199"/>
  <c r="Q326" i="199"/>
  <c r="Q327" i="199"/>
  <c r="O192" i="198"/>
  <c r="O192" i="193"/>
  <c r="O162" i="193"/>
  <c r="O162" i="198"/>
  <c r="O123" i="193"/>
  <c r="O123" i="198"/>
  <c r="O109" i="198"/>
  <c r="O109" i="193"/>
  <c r="O47" i="193"/>
  <c r="O47" i="198"/>
  <c r="O29" i="198"/>
  <c r="F30" i="198"/>
  <c r="G30" i="198"/>
  <c r="H30" i="198"/>
  <c r="I30" i="198"/>
  <c r="J30" i="198"/>
  <c r="K30" i="198"/>
  <c r="L30" i="198"/>
  <c r="M30" i="198"/>
  <c r="N30" i="198"/>
  <c r="E30" i="198"/>
  <c r="G30" i="193"/>
  <c r="I30" i="193"/>
  <c r="K30" i="193"/>
  <c r="L30" i="193"/>
  <c r="N30" i="193"/>
  <c r="O29" i="193"/>
  <c r="O16" i="193"/>
  <c r="O16" i="198"/>
  <c r="M17" i="139" l="1"/>
  <c r="L17" i="139"/>
  <c r="L14" i="139"/>
  <c r="L9" i="139"/>
  <c r="L5" i="139"/>
  <c r="K17" i="139"/>
  <c r="K16" i="139"/>
  <c r="K15" i="139"/>
  <c r="K14" i="139"/>
  <c r="K13" i="139"/>
  <c r="K11" i="139"/>
  <c r="K8" i="139"/>
  <c r="K6" i="139"/>
  <c r="K5" i="139"/>
  <c r="J17" i="139"/>
  <c r="J12" i="139"/>
  <c r="J5" i="139"/>
  <c r="I8" i="139"/>
  <c r="H20" i="139"/>
  <c r="H15" i="139"/>
  <c r="G16" i="139"/>
  <c r="F18" i="139"/>
  <c r="F16" i="139"/>
  <c r="M21" i="138"/>
  <c r="M20" i="138"/>
  <c r="M19" i="138"/>
  <c r="M18" i="138"/>
  <c r="M17" i="138"/>
  <c r="M16" i="138"/>
  <c r="M15" i="138"/>
  <c r="M14" i="138"/>
  <c r="M13" i="138"/>
  <c r="M12" i="138"/>
  <c r="M11" i="138"/>
  <c r="M10" i="138"/>
  <c r="M9" i="138"/>
  <c r="M8" i="138"/>
  <c r="M7" i="138"/>
  <c r="M6" i="138"/>
  <c r="M5" i="138"/>
  <c r="M4" i="138"/>
  <c r="K16" i="138"/>
  <c r="J17" i="138"/>
  <c r="G16" i="138"/>
  <c r="G14" i="138"/>
  <c r="G12" i="138"/>
  <c r="F20" i="138"/>
  <c r="F18" i="138"/>
  <c r="F15" i="138"/>
  <c r="F4" i="138"/>
  <c r="K608" i="194"/>
  <c r="K569" i="194"/>
  <c r="K568" i="194"/>
  <c r="I568" i="194"/>
  <c r="K560" i="194"/>
  <c r="K549" i="194"/>
  <c r="I484" i="194"/>
  <c r="I483" i="194"/>
  <c r="M482" i="194"/>
  <c r="K476" i="194"/>
  <c r="K470" i="194"/>
  <c r="I470" i="194"/>
  <c r="I468" i="194"/>
  <c r="I461" i="194"/>
  <c r="H442" i="194"/>
  <c r="G442" i="194"/>
  <c r="L440" i="194"/>
  <c r="I440" i="194"/>
  <c r="L437" i="194"/>
  <c r="L436" i="194"/>
  <c r="I433" i="194"/>
  <c r="G431" i="194"/>
  <c r="I427" i="194"/>
  <c r="I425" i="194"/>
  <c r="L425" i="194"/>
  <c r="L416" i="194"/>
  <c r="M415" i="194"/>
  <c r="K413" i="194"/>
  <c r="I413" i="194"/>
  <c r="M386" i="194"/>
  <c r="M381" i="194"/>
  <c r="K373" i="194"/>
  <c r="H373" i="194"/>
  <c r="M371" i="194"/>
  <c r="K366" i="194"/>
  <c r="L350" i="194"/>
  <c r="L337" i="194"/>
  <c r="L323" i="194"/>
  <c r="L306" i="194"/>
  <c r="I280" i="194"/>
  <c r="I287" i="194"/>
  <c r="I281" i="194"/>
  <c r="I275" i="194"/>
  <c r="I272" i="194"/>
  <c r="K271" i="194"/>
  <c r="I271" i="194"/>
  <c r="I269" i="194"/>
  <c r="I268" i="194"/>
  <c r="M260" i="194"/>
  <c r="I251" i="194"/>
  <c r="L235" i="194"/>
  <c r="K229" i="194"/>
  <c r="K192" i="194"/>
  <c r="I188" i="194"/>
  <c r="M188" i="194"/>
  <c r="M187" i="194"/>
  <c r="L172" i="194"/>
  <c r="K162" i="194"/>
  <c r="K128" i="194"/>
  <c r="K119" i="194"/>
  <c r="Q119" i="194" s="1"/>
  <c r="K110" i="194"/>
  <c r="H109" i="194"/>
  <c r="K106" i="194"/>
  <c r="K77" i="194"/>
  <c r="K57" i="194"/>
  <c r="K26" i="194"/>
  <c r="J24" i="194"/>
  <c r="J9" i="194"/>
  <c r="H62" i="193"/>
  <c r="J191" i="193"/>
  <c r="J190" i="193"/>
  <c r="H190" i="193"/>
  <c r="E170" i="193"/>
  <c r="H161" i="193"/>
  <c r="H143" i="193"/>
  <c r="H122" i="193"/>
  <c r="E104" i="193"/>
  <c r="M98" i="193"/>
  <c r="F89" i="193"/>
  <c r="E89" i="193"/>
  <c r="H77" i="193"/>
  <c r="F77" i="193"/>
  <c r="F76" i="193"/>
  <c r="H67" i="193"/>
  <c r="F67" i="193"/>
  <c r="H40" i="193"/>
  <c r="J27" i="193"/>
  <c r="E13" i="193"/>
  <c r="Q119" i="199"/>
  <c r="H23" i="139" l="1"/>
  <c r="M23" i="138"/>
  <c r="Q596" i="194"/>
  <c r="Q596" i="199"/>
  <c r="F198" i="193"/>
  <c r="G198" i="193"/>
  <c r="I198" i="193"/>
  <c r="K198" i="193"/>
  <c r="L198" i="193"/>
  <c r="M198" i="193"/>
  <c r="N198" i="193"/>
  <c r="E198" i="193"/>
  <c r="O197" i="193"/>
  <c r="O197" i="198"/>
  <c r="F198" i="198"/>
  <c r="G198" i="198"/>
  <c r="H198" i="198"/>
  <c r="I198" i="198"/>
  <c r="J198" i="198"/>
  <c r="K198" i="198"/>
  <c r="L198" i="198"/>
  <c r="M198" i="198"/>
  <c r="N198" i="198"/>
  <c r="E198" i="198"/>
  <c r="Q323" i="194"/>
  <c r="Q323" i="199"/>
  <c r="Q180" i="194"/>
  <c r="Q180" i="199"/>
  <c r="Q416" i="194" l="1"/>
  <c r="Q416" i="199"/>
  <c r="Q106" i="194" l="1"/>
  <c r="Q106" i="199"/>
  <c r="O13" i="193"/>
  <c r="O13" i="198"/>
  <c r="Q322" i="199"/>
  <c r="Q322" i="194"/>
  <c r="Q192" i="199" l="1"/>
  <c r="Q415" i="199"/>
  <c r="Q549" i="194"/>
  <c r="Q549" i="199"/>
  <c r="H494" i="194"/>
  <c r="J494" i="194"/>
  <c r="K494" i="194"/>
  <c r="L494" i="194"/>
  <c r="N494" i="194"/>
  <c r="O494" i="194"/>
  <c r="P494" i="194"/>
  <c r="G494" i="194"/>
  <c r="Q493" i="194"/>
  <c r="H494" i="199"/>
  <c r="I494" i="199"/>
  <c r="J494" i="199"/>
  <c r="K494" i="199"/>
  <c r="L494" i="199"/>
  <c r="M494" i="199"/>
  <c r="N494" i="199"/>
  <c r="O494" i="199"/>
  <c r="P494" i="199"/>
  <c r="G494" i="199"/>
  <c r="Q493" i="199"/>
  <c r="M494" i="194"/>
  <c r="Q461" i="194"/>
  <c r="Q461" i="199"/>
  <c r="Q415" i="194"/>
  <c r="Q414" i="194"/>
  <c r="Q414" i="199"/>
  <c r="Q391" i="194"/>
  <c r="Q391" i="199"/>
  <c r="O191" i="193"/>
  <c r="O191" i="198"/>
  <c r="O190" i="198"/>
  <c r="O170" i="193"/>
  <c r="O170" i="198"/>
  <c r="O141" i="198"/>
  <c r="O143" i="198"/>
  <c r="O143" i="193"/>
  <c r="O122" i="193"/>
  <c r="O122" i="198"/>
  <c r="O198" i="198" l="1"/>
  <c r="J198" i="193"/>
  <c r="O190" i="193"/>
  <c r="O198" i="193" s="1"/>
  <c r="H198" i="193"/>
  <c r="H80" i="193"/>
  <c r="O104" i="193"/>
  <c r="O104" i="198"/>
  <c r="O51" i="193"/>
  <c r="O51" i="198"/>
  <c r="O27" i="193"/>
  <c r="O27" i="198"/>
  <c r="J18" i="139"/>
  <c r="J16" i="139"/>
  <c r="J14" i="139"/>
  <c r="G19" i="139"/>
  <c r="G18" i="139"/>
  <c r="F19" i="139"/>
  <c r="J14" i="138"/>
  <c r="M612" i="194"/>
  <c r="K592" i="194"/>
  <c r="Q592" i="194" s="1"/>
  <c r="K566" i="194"/>
  <c r="N551" i="194"/>
  <c r="K551" i="194"/>
  <c r="N522" i="194"/>
  <c r="L522" i="194"/>
  <c r="I522" i="194"/>
  <c r="L503" i="194"/>
  <c r="L477" i="194"/>
  <c r="N468" i="194"/>
  <c r="K468" i="194"/>
  <c r="H460" i="194"/>
  <c r="G460" i="194"/>
  <c r="L457" i="194"/>
  <c r="I457" i="194"/>
  <c r="H446" i="194"/>
  <c r="G446" i="194"/>
  <c r="L444" i="194"/>
  <c r="L442" i="194"/>
  <c r="I442" i="194"/>
  <c r="M425" i="194"/>
  <c r="L422" i="194"/>
  <c r="M370" i="194"/>
  <c r="M321" i="194"/>
  <c r="Q321" i="194" s="1"/>
  <c r="M320" i="194"/>
  <c r="L320" i="194"/>
  <c r="M308" i="194"/>
  <c r="L308" i="194"/>
  <c r="L292" i="194"/>
  <c r="I200" i="194"/>
  <c r="L190" i="194"/>
  <c r="I190" i="194"/>
  <c r="H190" i="194"/>
  <c r="G190" i="194"/>
  <c r="M177" i="194"/>
  <c r="Q172" i="194"/>
  <c r="N170" i="194"/>
  <c r="Q170" i="194" s="1"/>
  <c r="M168" i="194"/>
  <c r="K159" i="194"/>
  <c r="I159" i="194"/>
  <c r="N139" i="194"/>
  <c r="K87" i="194"/>
  <c r="K71" i="194"/>
  <c r="H71" i="194"/>
  <c r="G71" i="194"/>
  <c r="I35" i="194"/>
  <c r="J32" i="194"/>
  <c r="J16" i="194"/>
  <c r="H185" i="193"/>
  <c r="E167" i="193"/>
  <c r="H153" i="193"/>
  <c r="G153" i="193"/>
  <c r="H149" i="193"/>
  <c r="M103" i="193"/>
  <c r="E90" i="193"/>
  <c r="H84" i="193"/>
  <c r="F84" i="193"/>
  <c r="H74" i="193"/>
  <c r="F65" i="193"/>
  <c r="E65" i="193"/>
  <c r="F64" i="193"/>
  <c r="E64" i="193"/>
  <c r="H33" i="193"/>
  <c r="J23" i="193"/>
  <c r="J30" i="193" s="1"/>
  <c r="M18" i="193"/>
  <c r="M30" i="193" s="1"/>
  <c r="F18" i="193"/>
  <c r="F30" i="193" s="1"/>
  <c r="J593" i="194"/>
  <c r="J598" i="194" s="1"/>
  <c r="M593" i="194"/>
  <c r="M598" i="194" s="1"/>
  <c r="N593" i="194"/>
  <c r="N598" i="194" s="1"/>
  <c r="O593" i="194"/>
  <c r="O598" i="194" s="1"/>
  <c r="P593" i="194"/>
  <c r="P598" i="194" s="1"/>
  <c r="H593" i="199"/>
  <c r="H598" i="199" s="1"/>
  <c r="I593" i="199"/>
  <c r="I598" i="199" s="1"/>
  <c r="J593" i="199"/>
  <c r="J598" i="199" s="1"/>
  <c r="K593" i="199"/>
  <c r="K598" i="199" s="1"/>
  <c r="L593" i="199"/>
  <c r="L598" i="199" s="1"/>
  <c r="M593" i="199"/>
  <c r="M598" i="199" s="1"/>
  <c r="N593" i="199"/>
  <c r="N598" i="199" s="1"/>
  <c r="O593" i="199"/>
  <c r="O598" i="199" s="1"/>
  <c r="P593" i="199"/>
  <c r="P598" i="199" s="1"/>
  <c r="G593" i="199"/>
  <c r="G598" i="199" s="1"/>
  <c r="Q592" i="199"/>
  <c r="Q321" i="199"/>
  <c r="Q170" i="199"/>
  <c r="Q172" i="199"/>
  <c r="D38" i="203"/>
  <c r="C38" i="203"/>
  <c r="E37" i="203"/>
  <c r="E36" i="203"/>
  <c r="D31" i="203"/>
  <c r="C31" i="203"/>
  <c r="E30" i="203"/>
  <c r="E29" i="203"/>
  <c r="E27" i="203"/>
  <c r="D26" i="203"/>
  <c r="C26" i="203"/>
  <c r="E25" i="203"/>
  <c r="E24" i="203"/>
  <c r="E23" i="203"/>
  <c r="E21" i="203"/>
  <c r="D20" i="203"/>
  <c r="C20" i="203"/>
  <c r="E19" i="203"/>
  <c r="E18" i="203"/>
  <c r="E17" i="203"/>
  <c r="E16" i="203"/>
  <c r="E15" i="203"/>
  <c r="D13" i="203"/>
  <c r="C13" i="203"/>
  <c r="E12" i="203"/>
  <c r="E13" i="203" s="1"/>
  <c r="D9" i="203"/>
  <c r="C9" i="203"/>
  <c r="E8" i="203"/>
  <c r="E7" i="203"/>
  <c r="E5" i="203"/>
  <c r="E4" i="203"/>
  <c r="I26" i="202"/>
  <c r="D26" i="202"/>
  <c r="I23" i="202"/>
  <c r="H21" i="202"/>
  <c r="H24" i="202" s="1"/>
  <c r="G21" i="202"/>
  <c r="G24" i="202" s="1"/>
  <c r="D21" i="202"/>
  <c r="I20" i="202"/>
  <c r="D20" i="202"/>
  <c r="I19" i="202"/>
  <c r="I18" i="202"/>
  <c r="I17" i="202"/>
  <c r="C17" i="202"/>
  <c r="C24" i="202" s="1"/>
  <c r="B17" i="202"/>
  <c r="B24" i="202" s="1"/>
  <c r="I16" i="202"/>
  <c r="D16" i="202"/>
  <c r="I15" i="202"/>
  <c r="I14" i="202"/>
  <c r="D14" i="202"/>
  <c r="I13" i="202"/>
  <c r="D13" i="202"/>
  <c r="D10" i="202"/>
  <c r="I9" i="202"/>
  <c r="D9" i="202"/>
  <c r="H8" i="202"/>
  <c r="H11" i="202" s="1"/>
  <c r="G8" i="202"/>
  <c r="G11" i="202" s="1"/>
  <c r="I7" i="202"/>
  <c r="C7" i="202"/>
  <c r="C11" i="202" s="1"/>
  <c r="B7" i="202"/>
  <c r="B11" i="202" s="1"/>
  <c r="I6" i="202"/>
  <c r="D6" i="202"/>
  <c r="I5" i="202"/>
  <c r="D5" i="202"/>
  <c r="I4" i="202"/>
  <c r="D4" i="202"/>
  <c r="I3" i="202"/>
  <c r="D3" i="202"/>
  <c r="F23" i="139" l="1"/>
  <c r="G23" i="139"/>
  <c r="E26" i="203"/>
  <c r="I21" i="202"/>
  <c r="I24" i="202" s="1"/>
  <c r="E9" i="203"/>
  <c r="C32" i="203"/>
  <c r="C39" i="203" s="1"/>
  <c r="D32" i="203"/>
  <c r="D39" i="203" s="1"/>
  <c r="E20" i="203"/>
  <c r="D7" i="202"/>
  <c r="D11" i="202" s="1"/>
  <c r="D17" i="202"/>
  <c r="D24" i="202" s="1"/>
  <c r="E31" i="203"/>
  <c r="E38" i="203"/>
  <c r="I8" i="202"/>
  <c r="I11" i="202" s="1"/>
  <c r="G25" i="202"/>
  <c r="G27" i="202" s="1"/>
  <c r="B25" i="202"/>
  <c r="B27" i="202" s="1"/>
  <c r="C25" i="202"/>
  <c r="C27" i="202" s="1"/>
  <c r="H25" i="202"/>
  <c r="H27" i="202" s="1"/>
  <c r="E32" i="203" l="1"/>
  <c r="E39" i="203" s="1"/>
  <c r="I25" i="202"/>
  <c r="I27" i="202" s="1"/>
  <c r="D25" i="202"/>
  <c r="D27" i="202" s="1"/>
  <c r="O23" i="193"/>
  <c r="O23" i="198"/>
  <c r="L593" i="194"/>
  <c r="Q460" i="199"/>
  <c r="Q190" i="199"/>
  <c r="Q177" i="194"/>
  <c r="Q168" i="194"/>
  <c r="Q168" i="199"/>
  <c r="Q177" i="199"/>
  <c r="Q11" i="199"/>
  <c r="Q12" i="199"/>
  <c r="O185" i="193"/>
  <c r="O185" i="198"/>
  <c r="O41" i="198"/>
  <c r="O41" i="193"/>
  <c r="L615" i="194"/>
  <c r="Q615" i="194" s="1"/>
  <c r="Q614" i="194"/>
  <c r="M616" i="194"/>
  <c r="H616" i="194"/>
  <c r="I616" i="194"/>
  <c r="J616" i="194"/>
  <c r="N616" i="194"/>
  <c r="O616" i="194"/>
  <c r="P616" i="194"/>
  <c r="G616" i="194"/>
  <c r="H616" i="199"/>
  <c r="I616" i="199"/>
  <c r="J616" i="199"/>
  <c r="K616" i="199"/>
  <c r="L616" i="199"/>
  <c r="M616" i="199"/>
  <c r="N616" i="199"/>
  <c r="O616" i="199"/>
  <c r="P616" i="199"/>
  <c r="G616" i="199"/>
  <c r="Q614" i="199"/>
  <c r="Q615" i="199"/>
  <c r="Q606" i="199"/>
  <c r="Q607" i="199"/>
  <c r="Q607" i="194"/>
  <c r="Q606" i="194"/>
  <c r="K583" i="194"/>
  <c r="I582" i="194"/>
  <c r="K581" i="194"/>
  <c r="K579" i="194"/>
  <c r="K578" i="194"/>
  <c r="K576" i="194"/>
  <c r="I574" i="194"/>
  <c r="K567" i="194"/>
  <c r="H567" i="194"/>
  <c r="G567" i="194"/>
  <c r="I563" i="194"/>
  <c r="I562" i="194"/>
  <c r="K559" i="194"/>
  <c r="I559" i="194"/>
  <c r="H559" i="194"/>
  <c r="G559" i="194"/>
  <c r="K558" i="194"/>
  <c r="H558" i="194"/>
  <c r="G558" i="194"/>
  <c r="Q547" i="199"/>
  <c r="K547" i="194"/>
  <c r="Q547" i="194" s="1"/>
  <c r="P545" i="194"/>
  <c r="O544" i="194"/>
  <c r="I544" i="194"/>
  <c r="I536" i="194"/>
  <c r="N534" i="194"/>
  <c r="I534" i="194"/>
  <c r="K529" i="194"/>
  <c r="P528" i="194"/>
  <c r="K527" i="194"/>
  <c r="M523" i="194"/>
  <c r="L523" i="194"/>
  <c r="I517" i="194"/>
  <c r="I516" i="194"/>
  <c r="I514" i="194"/>
  <c r="Q514" i="194" s="1"/>
  <c r="Q514" i="199"/>
  <c r="K512" i="194"/>
  <c r="K511" i="194"/>
  <c r="K510" i="194"/>
  <c r="I510" i="194"/>
  <c r="I508" i="194"/>
  <c r="I507" i="194"/>
  <c r="H507" i="194"/>
  <c r="I505" i="194"/>
  <c r="I504" i="194"/>
  <c r="I503" i="194"/>
  <c r="I502" i="194"/>
  <c r="I492" i="194"/>
  <c r="I489" i="194"/>
  <c r="L478" i="194"/>
  <c r="L475" i="194"/>
  <c r="L473" i="194"/>
  <c r="L471" i="194"/>
  <c r="I471" i="194"/>
  <c r="H467" i="194"/>
  <c r="G467" i="194"/>
  <c r="L466" i="194"/>
  <c r="I466" i="194"/>
  <c r="I465" i="194"/>
  <c r="L464" i="194"/>
  <c r="I464" i="194"/>
  <c r="M458" i="194"/>
  <c r="N456" i="194"/>
  <c r="Q456" i="194" s="1"/>
  <c r="N455" i="194"/>
  <c r="H454" i="194"/>
  <c r="G454" i="194"/>
  <c r="L451" i="194"/>
  <c r="I451" i="194"/>
  <c r="H451" i="194"/>
  <c r="G451" i="194"/>
  <c r="I450" i="194"/>
  <c r="I449" i="194"/>
  <c r="H448" i="194"/>
  <c r="G448" i="194"/>
  <c r="I447" i="194"/>
  <c r="I445" i="194"/>
  <c r="H445" i="194"/>
  <c r="G445" i="194"/>
  <c r="I444" i="194"/>
  <c r="L443" i="194"/>
  <c r="I443" i="194"/>
  <c r="L441" i="194"/>
  <c r="I441" i="194"/>
  <c r="I439" i="194"/>
  <c r="H439" i="194"/>
  <c r="G439" i="194"/>
  <c r="I437" i="194"/>
  <c r="I436" i="194"/>
  <c r="I435" i="194"/>
  <c r="L432" i="194"/>
  <c r="I432" i="194"/>
  <c r="M424" i="194"/>
  <c r="L423" i="194"/>
  <c r="Q422" i="194"/>
  <c r="Q420" i="194"/>
  <c r="M419" i="194"/>
  <c r="Q412" i="194"/>
  <c r="M411" i="194"/>
  <c r="L407" i="194"/>
  <c r="L405" i="194"/>
  <c r="M400" i="194"/>
  <c r="Q400" i="194" s="1"/>
  <c r="L399" i="194"/>
  <c r="L396" i="194"/>
  <c r="L394" i="194"/>
  <c r="I394" i="194"/>
  <c r="L393" i="194"/>
  <c r="I393" i="194"/>
  <c r="L390" i="194"/>
  <c r="L388" i="194"/>
  <c r="Q388" i="194" s="1"/>
  <c r="L387" i="194"/>
  <c r="I386" i="194"/>
  <c r="H386" i="194"/>
  <c r="G386" i="194"/>
  <c r="L383" i="194"/>
  <c r="I381" i="194"/>
  <c r="Q454" i="199"/>
  <c r="Q455" i="199"/>
  <c r="Q456" i="199"/>
  <c r="Q457" i="199"/>
  <c r="Q441" i="199"/>
  <c r="Q427" i="199"/>
  <c r="Q431" i="199"/>
  <c r="Q411" i="199"/>
  <c r="Q412" i="199"/>
  <c r="Q413" i="199"/>
  <c r="Q418" i="199"/>
  <c r="Q419" i="199"/>
  <c r="Q420" i="199"/>
  <c r="Q421" i="199"/>
  <c r="Q422" i="199"/>
  <c r="Q397" i="199"/>
  <c r="Q398" i="199"/>
  <c r="Q399" i="199"/>
  <c r="Q400" i="199"/>
  <c r="Q386" i="199"/>
  <c r="Q387" i="199"/>
  <c r="Q388" i="199"/>
  <c r="Q390" i="199"/>
  <c r="Q392" i="199"/>
  <c r="Q393" i="199"/>
  <c r="I377" i="194"/>
  <c r="I337" i="194"/>
  <c r="L365" i="194"/>
  <c r="I365" i="194"/>
  <c r="L362" i="194"/>
  <c r="L357" i="194"/>
  <c r="L353" i="194"/>
  <c r="M352" i="194"/>
  <c r="M351" i="194"/>
  <c r="M349" i="194"/>
  <c r="M348" i="194"/>
  <c r="M347" i="194"/>
  <c r="I347" i="194"/>
  <c r="M346" i="194"/>
  <c r="L344" i="194"/>
  <c r="M343" i="194"/>
  <c r="L342" i="194"/>
  <c r="M341" i="194"/>
  <c r="I340" i="194"/>
  <c r="M339" i="194"/>
  <c r="M336" i="194"/>
  <c r="Q336" i="194" s="1"/>
  <c r="M319" i="194"/>
  <c r="I318" i="194"/>
  <c r="L317" i="194"/>
  <c r="Q317" i="194" s="1"/>
  <c r="M316" i="194"/>
  <c r="L313" i="194"/>
  <c r="L312" i="194"/>
  <c r="Q312" i="194" s="1"/>
  <c r="L307" i="194"/>
  <c r="L305" i="194"/>
  <c r="Q305" i="194" s="1"/>
  <c r="I302" i="194"/>
  <c r="Q305" i="199"/>
  <c r="Q306" i="199"/>
  <c r="Q307" i="199"/>
  <c r="Q311" i="199"/>
  <c r="Q312" i="199"/>
  <c r="Q317" i="199"/>
  <c r="Q336" i="199"/>
  <c r="K298" i="194"/>
  <c r="I294" i="194"/>
  <c r="I291" i="194"/>
  <c r="H291" i="194"/>
  <c r="G291" i="194"/>
  <c r="I289" i="194"/>
  <c r="I288" i="194"/>
  <c r="I286" i="194"/>
  <c r="K284" i="194"/>
  <c r="I277" i="194"/>
  <c r="I273" i="194"/>
  <c r="I270" i="194"/>
  <c r="I267" i="194"/>
  <c r="I266" i="194"/>
  <c r="I265" i="194"/>
  <c r="I263" i="194"/>
  <c r="I262" i="194"/>
  <c r="I258" i="194"/>
  <c r="I256" i="194"/>
  <c r="Q256" i="194" s="1"/>
  <c r="Q256" i="199"/>
  <c r="I254" i="194"/>
  <c r="I252" i="194"/>
  <c r="I249" i="194"/>
  <c r="I248" i="194"/>
  <c r="I247" i="194"/>
  <c r="I246" i="194"/>
  <c r="I241" i="194"/>
  <c r="I236" i="194"/>
  <c r="I234" i="194"/>
  <c r="I233" i="194"/>
  <c r="I232" i="194"/>
  <c r="I231" i="194"/>
  <c r="G593" i="194" l="1"/>
  <c r="G598" i="194" s="1"/>
  <c r="H593" i="194"/>
  <c r="H598" i="194" s="1"/>
  <c r="Q457" i="194"/>
  <c r="Q460" i="194"/>
  <c r="L616" i="194"/>
  <c r="Q441" i="194"/>
  <c r="Q455" i="194"/>
  <c r="Q393" i="194"/>
  <c r="Q427" i="194"/>
  <c r="Q386" i="194"/>
  <c r="Q454" i="194"/>
  <c r="Q431" i="194"/>
  <c r="I225" i="194" l="1"/>
  <c r="Q224" i="194"/>
  <c r="I223" i="194"/>
  <c r="I222" i="194"/>
  <c r="I221" i="194"/>
  <c r="I220" i="194"/>
  <c r="I219" i="194"/>
  <c r="I211" i="194"/>
  <c r="I199" i="194"/>
  <c r="I198" i="194"/>
  <c r="I193" i="194"/>
  <c r="Q193" i="194" s="1"/>
  <c r="Q192" i="194"/>
  <c r="N191" i="194"/>
  <c r="L189" i="194"/>
  <c r="Q188" i="194"/>
  <c r="N186" i="194"/>
  <c r="M184" i="194"/>
  <c r="M183" i="194"/>
  <c r="M182" i="194"/>
  <c r="M179" i="194"/>
  <c r="Q179" i="194" s="1"/>
  <c r="Q188" i="199"/>
  <c r="Q179" i="199"/>
  <c r="K161" i="194"/>
  <c r="K160" i="194"/>
  <c r="I157" i="194"/>
  <c r="K151" i="194"/>
  <c r="K149" i="194"/>
  <c r="K148" i="194"/>
  <c r="K147" i="194"/>
  <c r="K146" i="194"/>
  <c r="K145" i="194"/>
  <c r="K144" i="194"/>
  <c r="K141" i="194"/>
  <c r="K140" i="194"/>
  <c r="K139" i="194"/>
  <c r="K137" i="194"/>
  <c r="K136" i="194"/>
  <c r="K133" i="194"/>
  <c r="K132" i="194"/>
  <c r="K131" i="194"/>
  <c r="K130" i="194"/>
  <c r="K129" i="194"/>
  <c r="I123" i="194"/>
  <c r="H123" i="194"/>
  <c r="G123" i="194"/>
  <c r="I122" i="194"/>
  <c r="H122" i="194"/>
  <c r="G122" i="194"/>
  <c r="Q190" i="194" l="1"/>
  <c r="K117" i="194" l="1"/>
  <c r="K112" i="194"/>
  <c r="H108" i="194" l="1"/>
  <c r="I102" i="194"/>
  <c r="H102" i="194"/>
  <c r="G102" i="194"/>
  <c r="I99" i="194"/>
  <c r="I93" i="194"/>
  <c r="J92" i="194"/>
  <c r="K88" i="194"/>
  <c r="K86" i="194"/>
  <c r="K85" i="194"/>
  <c r="K84" i="194"/>
  <c r="K82" i="194"/>
  <c r="K80" i="194"/>
  <c r="K79" i="194"/>
  <c r="I78" i="194"/>
  <c r="K73" i="194"/>
  <c r="I64" i="194"/>
  <c r="K63" i="194"/>
  <c r="K62" i="194"/>
  <c r="I61" i="194"/>
  <c r="H60" i="194"/>
  <c r="K53" i="194"/>
  <c r="N44" i="194"/>
  <c r="J12" i="194"/>
  <c r="Q12" i="194" s="1"/>
  <c r="J11" i="194"/>
  <c r="Q11" i="194" s="1"/>
  <c r="K20" i="139"/>
  <c r="L16" i="139"/>
  <c r="K12" i="139"/>
  <c r="K9" i="139"/>
  <c r="J9" i="139"/>
  <c r="I20" i="138"/>
  <c r="N19" i="138"/>
  <c r="N18" i="138" l="1"/>
  <c r="N23" i="138" s="1"/>
  <c r="G17" i="138"/>
  <c r="I14" i="138"/>
  <c r="F13" i="138"/>
  <c r="I12" i="138"/>
  <c r="I11" i="138"/>
  <c r="I10" i="138"/>
  <c r="I9" i="138"/>
  <c r="I8" i="138" l="1"/>
  <c r="I6" i="138"/>
  <c r="I5" i="138"/>
  <c r="M182" i="193"/>
  <c r="M187" i="193" s="1"/>
  <c r="E178" i="193"/>
  <c r="G176" i="193"/>
  <c r="G175" i="193"/>
  <c r="O169" i="198"/>
  <c r="O169" i="193"/>
  <c r="E168" i="193"/>
  <c r="E166" i="193" l="1"/>
  <c r="N163" i="193"/>
  <c r="N158" i="193"/>
  <c r="M154" i="193"/>
  <c r="G150" i="193"/>
  <c r="M145" i="193"/>
  <c r="O141" i="193"/>
  <c r="K140" i="193"/>
  <c r="H137" i="193"/>
  <c r="H133" i="193"/>
  <c r="H132" i="193"/>
  <c r="H131" i="193"/>
  <c r="H130" i="193"/>
  <c r="H129" i="193"/>
  <c r="H126" i="193"/>
  <c r="I115" i="193"/>
  <c r="M102" i="193"/>
  <c r="M101" i="193"/>
  <c r="O101" i="193" s="1"/>
  <c r="M100" i="193"/>
  <c r="F100" i="193"/>
  <c r="E99" i="193"/>
  <c r="E112" i="193" s="1"/>
  <c r="H98" i="193"/>
  <c r="O100" i="198"/>
  <c r="O101" i="198"/>
  <c r="M97" i="193"/>
  <c r="N96" i="193"/>
  <c r="M96" i="193"/>
  <c r="M95" i="193"/>
  <c r="M94" i="193"/>
  <c r="N93" i="193"/>
  <c r="N92" i="193"/>
  <c r="M92" i="193"/>
  <c r="M91" i="193"/>
  <c r="O91" i="193" s="1"/>
  <c r="M90" i="193"/>
  <c r="M89" i="193"/>
  <c r="O91" i="198"/>
  <c r="M87" i="193"/>
  <c r="M86" i="193"/>
  <c r="M85" i="193"/>
  <c r="M84" i="193"/>
  <c r="M83" i="193"/>
  <c r="M82" i="193"/>
  <c r="M80" i="193"/>
  <c r="M79" i="193"/>
  <c r="M78" i="193"/>
  <c r="O78" i="193" s="1"/>
  <c r="O78" i="198"/>
  <c r="M77" i="193"/>
  <c r="M76" i="193"/>
  <c r="H75" i="193"/>
  <c r="O75" i="198"/>
  <c r="M74" i="193"/>
  <c r="M73" i="193"/>
  <c r="M72" i="193"/>
  <c r="M71" i="193"/>
  <c r="M69" i="193"/>
  <c r="M67" i="193"/>
  <c r="F66" i="193"/>
  <c r="M64" i="193"/>
  <c r="H64" i="193"/>
  <c r="M63" i="193"/>
  <c r="H63" i="193"/>
  <c r="M62" i="193"/>
  <c r="H49" i="193"/>
  <c r="M45" i="193"/>
  <c r="M58" i="193" s="1"/>
  <c r="H44" i="193"/>
  <c r="H38" i="193"/>
  <c r="O24" i="198"/>
  <c r="O24" i="193"/>
  <c r="H15" i="193"/>
  <c r="H30" i="193" s="1"/>
  <c r="E81" i="195"/>
  <c r="I81" i="195"/>
  <c r="J81" i="195"/>
  <c r="F112" i="193" l="1"/>
  <c r="N112" i="193"/>
  <c r="N187" i="193"/>
  <c r="O100" i="193"/>
  <c r="O75" i="193"/>
  <c r="O18" i="193" l="1"/>
  <c r="O18" i="198"/>
  <c r="Q366" i="199" l="1"/>
  <c r="Q366" i="194"/>
  <c r="Q187" i="194"/>
  <c r="Q187" i="199"/>
  <c r="O182" i="193" l="1"/>
  <c r="O182" i="198"/>
  <c r="L595" i="194"/>
  <c r="L598" i="194" s="1"/>
  <c r="K591" i="194"/>
  <c r="K589" i="194"/>
  <c r="I588" i="194"/>
  <c r="K586" i="194"/>
  <c r="I584" i="194"/>
  <c r="I572" i="194"/>
  <c r="K571" i="194"/>
  <c r="K565" i="194"/>
  <c r="K564" i="194"/>
  <c r="I561" i="194"/>
  <c r="I542" i="194"/>
  <c r="K538" i="194"/>
  <c r="I533" i="194"/>
  <c r="I531" i="194"/>
  <c r="L504" i="194"/>
  <c r="I490" i="194"/>
  <c r="I487" i="194"/>
  <c r="I486" i="194"/>
  <c r="I494" i="194" l="1"/>
  <c r="I593" i="194"/>
  <c r="I598" i="194" s="1"/>
  <c r="K593" i="194"/>
  <c r="K598" i="194" s="1"/>
  <c r="K616" i="194"/>
  <c r="K291" i="194"/>
  <c r="I290" i="194"/>
  <c r="I274" i="194"/>
  <c r="K261" i="194"/>
  <c r="I245" i="194"/>
  <c r="I240" i="194"/>
  <c r="I230" i="194"/>
  <c r="N205" i="194"/>
  <c r="I197" i="194"/>
  <c r="K154" i="194"/>
  <c r="K155" i="194"/>
  <c r="K153" i="194"/>
  <c r="K150" i="194"/>
  <c r="K143" i="194"/>
  <c r="N134" i="194"/>
  <c r="K125" i="194"/>
  <c r="K124" i="194"/>
  <c r="K114" i="194"/>
  <c r="K105" i="194"/>
  <c r="K104" i="194"/>
  <c r="K96" i="194"/>
  <c r="K95" i="194"/>
  <c r="K90" i="194"/>
  <c r="K72" i="194"/>
  <c r="I69" i="194"/>
  <c r="K67" i="194"/>
  <c r="I65" i="194"/>
  <c r="K55" i="194"/>
  <c r="H55" i="194"/>
  <c r="G55" i="194"/>
  <c r="K52" i="194"/>
  <c r="N47" i="194"/>
  <c r="N46" i="194"/>
  <c r="K41" i="194"/>
  <c r="K39" i="194"/>
  <c r="I39" i="194"/>
  <c r="H39" i="194"/>
  <c r="G39" i="194"/>
  <c r="I37" i="194"/>
  <c r="I36" i="194"/>
  <c r="I30" i="194"/>
  <c r="J28" i="194"/>
  <c r="J25" i="194"/>
  <c r="J22" i="194"/>
  <c r="J20" i="194"/>
  <c r="J18" i="194"/>
  <c r="J17" i="194"/>
  <c r="J15" i="194"/>
  <c r="J14" i="194"/>
  <c r="J10" i="194"/>
  <c r="J7" i="194"/>
  <c r="E180" i="193"/>
  <c r="E187" i="193" s="1"/>
  <c r="G174" i="193"/>
  <c r="G173" i="193"/>
  <c r="H160" i="193"/>
  <c r="H187" i="193" s="1"/>
  <c r="G151" i="193"/>
  <c r="H135" i="193"/>
  <c r="H128" i="193"/>
  <c r="H127" i="193"/>
  <c r="H125" i="193"/>
  <c r="H124" i="193"/>
  <c r="M88" i="193"/>
  <c r="G187" i="193" l="1"/>
  <c r="O180" i="193"/>
  <c r="M81" i="193"/>
  <c r="H81" i="193"/>
  <c r="H112" i="193" s="1"/>
  <c r="M70" i="193"/>
  <c r="M65" i="193"/>
  <c r="H43" i="193"/>
  <c r="H39" i="193"/>
  <c r="M34" i="193"/>
  <c r="E21" i="193"/>
  <c r="E20" i="193"/>
  <c r="H58" i="193" l="1"/>
  <c r="M112" i="193"/>
  <c r="E30" i="193"/>
  <c r="G21" i="138"/>
  <c r="H21" i="138"/>
  <c r="J21" i="138"/>
  <c r="K21" i="138"/>
  <c r="L21" i="138"/>
  <c r="O21" i="138"/>
  <c r="F21" i="138"/>
  <c r="G20" i="138"/>
  <c r="H20" i="138"/>
  <c r="J20" i="138"/>
  <c r="K20" i="138"/>
  <c r="L20" i="138"/>
  <c r="O20" i="138"/>
  <c r="H19" i="138"/>
  <c r="J19" i="138"/>
  <c r="K19" i="138"/>
  <c r="L19" i="138"/>
  <c r="G19" i="138"/>
  <c r="H18" i="138"/>
  <c r="J18" i="138"/>
  <c r="K18" i="138"/>
  <c r="L18" i="138"/>
  <c r="H17" i="138"/>
  <c r="L17" i="138"/>
  <c r="O17" i="138"/>
  <c r="I16" i="138"/>
  <c r="H16" i="138"/>
  <c r="J16" i="138"/>
  <c r="L16" i="138"/>
  <c r="O16" i="138"/>
  <c r="I15" i="138"/>
  <c r="G15" i="138"/>
  <c r="H15" i="138"/>
  <c r="J15" i="138"/>
  <c r="K15" i="138"/>
  <c r="L15" i="138"/>
  <c r="O15" i="138"/>
  <c r="H14" i="138"/>
  <c r="L14" i="138"/>
  <c r="O14" i="138"/>
  <c r="I13" i="138"/>
  <c r="H13" i="138"/>
  <c r="J13" i="138"/>
  <c r="K13" i="138"/>
  <c r="L13" i="138"/>
  <c r="O13" i="138"/>
  <c r="G13" i="138"/>
  <c r="H12" i="138"/>
  <c r="J12" i="138"/>
  <c r="K12" i="138"/>
  <c r="L12" i="138"/>
  <c r="O12" i="138"/>
  <c r="G11" i="138"/>
  <c r="H11" i="138"/>
  <c r="J11" i="138"/>
  <c r="K11" i="138"/>
  <c r="L11" i="138"/>
  <c r="O11" i="138"/>
  <c r="G10" i="138"/>
  <c r="H10" i="138"/>
  <c r="J10" i="138"/>
  <c r="K10" i="138"/>
  <c r="L10" i="138"/>
  <c r="O10" i="138"/>
  <c r="G9" i="138"/>
  <c r="H9" i="138"/>
  <c r="J9" i="138"/>
  <c r="K9" i="138"/>
  <c r="L9" i="138"/>
  <c r="O9" i="138"/>
  <c r="O7" i="138"/>
  <c r="G8" i="138"/>
  <c r="H8" i="138"/>
  <c r="J8" i="138"/>
  <c r="K8" i="138"/>
  <c r="L8" i="138"/>
  <c r="O8" i="138"/>
  <c r="F8" i="138"/>
  <c r="H7" i="138"/>
  <c r="K7" i="138"/>
  <c r="L7" i="138"/>
  <c r="G7" i="138"/>
  <c r="K6" i="138"/>
  <c r="L6" i="138"/>
  <c r="J6" i="138"/>
  <c r="H6" i="138"/>
  <c r="G6" i="138"/>
  <c r="G5" i="138"/>
  <c r="H5" i="138"/>
  <c r="J5" i="138"/>
  <c r="K5" i="138"/>
  <c r="L5" i="138"/>
  <c r="O5" i="138"/>
  <c r="O4" i="138"/>
  <c r="J4" i="138"/>
  <c r="K4" i="138"/>
  <c r="L4" i="138"/>
  <c r="G4" i="138"/>
  <c r="K23" i="139"/>
  <c r="J21" i="139"/>
  <c r="L21" i="139"/>
  <c r="M21" i="139"/>
  <c r="N21" i="139"/>
  <c r="I21" i="139"/>
  <c r="J20" i="139"/>
  <c r="L20" i="139"/>
  <c r="M20" i="139"/>
  <c r="N20" i="139"/>
  <c r="I20" i="139"/>
  <c r="L19" i="139"/>
  <c r="M19" i="139"/>
  <c r="I19" i="139"/>
  <c r="L18" i="139"/>
  <c r="M18" i="139"/>
  <c r="I18" i="139"/>
  <c r="I17" i="139"/>
  <c r="O17" i="139" s="1"/>
  <c r="M16" i="139"/>
  <c r="N16" i="139"/>
  <c r="I16" i="139"/>
  <c r="J15" i="139"/>
  <c r="L15" i="139"/>
  <c r="M15" i="139"/>
  <c r="N15" i="139"/>
  <c r="I15" i="139"/>
  <c r="M14" i="139"/>
  <c r="N14" i="139"/>
  <c r="I14" i="139"/>
  <c r="J13" i="139"/>
  <c r="L13" i="139"/>
  <c r="M13" i="139"/>
  <c r="N13" i="139"/>
  <c r="I13" i="139"/>
  <c r="M12" i="139"/>
  <c r="N12" i="139"/>
  <c r="I12" i="139"/>
  <c r="M11" i="139"/>
  <c r="N11" i="139"/>
  <c r="L11" i="139"/>
  <c r="J11" i="139"/>
  <c r="I11" i="139"/>
  <c r="M9" i="139"/>
  <c r="N9" i="139"/>
  <c r="M10" i="139"/>
  <c r="N10" i="139"/>
  <c r="J10" i="139"/>
  <c r="I10" i="139"/>
  <c r="I9" i="139"/>
  <c r="M8" i="139"/>
  <c r="N8" i="139"/>
  <c r="J8" i="139"/>
  <c r="M7" i="139"/>
  <c r="N7" i="139"/>
  <c r="L7" i="139"/>
  <c r="J7" i="139"/>
  <c r="I7" i="139"/>
  <c r="N6" i="139"/>
  <c r="M6" i="139"/>
  <c r="J6" i="139"/>
  <c r="I6" i="139"/>
  <c r="N5" i="139"/>
  <c r="M5" i="139"/>
  <c r="I5" i="139"/>
  <c r="N4" i="139"/>
  <c r="M4" i="139"/>
  <c r="J4" i="139"/>
  <c r="I4" i="139"/>
  <c r="Q224" i="199"/>
  <c r="P618" i="199"/>
  <c r="N618" i="199"/>
  <c r="M618" i="199"/>
  <c r="L618" i="199"/>
  <c r="K618" i="199"/>
  <c r="J618" i="199"/>
  <c r="I618" i="199"/>
  <c r="H618" i="199"/>
  <c r="G618" i="199"/>
  <c r="E20" i="139"/>
  <c r="E18" i="139"/>
  <c r="E17" i="139"/>
  <c r="E16" i="139"/>
  <c r="E15" i="139"/>
  <c r="E13" i="139"/>
  <c r="E12" i="139"/>
  <c r="E11" i="139"/>
  <c r="E10" i="139"/>
  <c r="E9" i="139"/>
  <c r="E7" i="139"/>
  <c r="E5" i="139"/>
  <c r="M4" i="201"/>
  <c r="N200" i="198"/>
  <c r="M200" i="198"/>
  <c r="K200" i="198"/>
  <c r="J200" i="198"/>
  <c r="I200" i="198"/>
  <c r="H200" i="198"/>
  <c r="G200" i="198"/>
  <c r="F200" i="198"/>
  <c r="E200" i="198"/>
  <c r="E20" i="138"/>
  <c r="E18" i="138"/>
  <c r="E17" i="138"/>
  <c r="E16" i="138"/>
  <c r="E15" i="138"/>
  <c r="E13" i="138"/>
  <c r="E12" i="138"/>
  <c r="E11" i="138"/>
  <c r="E10" i="138"/>
  <c r="E9" i="138"/>
  <c r="E7" i="138"/>
  <c r="E5" i="138"/>
  <c r="N4" i="200"/>
  <c r="Q613" i="199"/>
  <c r="Q612" i="199"/>
  <c r="Q610" i="199"/>
  <c r="Q609" i="199"/>
  <c r="Q608" i="199"/>
  <c r="Q605" i="199"/>
  <c r="Q604" i="199"/>
  <c r="Q603" i="199"/>
  <c r="Q602" i="199"/>
  <c r="Q600" i="199"/>
  <c r="Q595" i="199"/>
  <c r="Q591" i="199"/>
  <c r="Q589" i="199"/>
  <c r="Q588" i="199"/>
  <c r="Q586" i="199"/>
  <c r="Q584" i="199"/>
  <c r="Q583" i="199"/>
  <c r="Q582" i="199"/>
  <c r="Q581" i="199"/>
  <c r="Q579" i="199"/>
  <c r="Q578" i="199"/>
  <c r="Q576" i="199"/>
  <c r="Q575" i="199"/>
  <c r="Q574" i="199"/>
  <c r="Q572" i="199"/>
  <c r="Q571" i="199"/>
  <c r="Q569" i="199"/>
  <c r="Q568" i="199"/>
  <c r="Q567" i="199"/>
  <c r="Q566" i="199"/>
  <c r="Q565" i="199"/>
  <c r="Q564" i="199"/>
  <c r="Q563" i="199"/>
  <c r="Q562" i="199"/>
  <c r="Q561" i="199"/>
  <c r="Q560" i="199"/>
  <c r="Q559" i="199"/>
  <c r="Q558" i="199"/>
  <c r="P552" i="199"/>
  <c r="P555" i="199" s="1"/>
  <c r="O552" i="199"/>
  <c r="O555" i="199" s="1"/>
  <c r="N552" i="199"/>
  <c r="N555" i="199" s="1"/>
  <c r="M552" i="199"/>
  <c r="M555" i="199" s="1"/>
  <c r="L552" i="199"/>
  <c r="L555" i="199" s="1"/>
  <c r="K552" i="199"/>
  <c r="K555" i="199" s="1"/>
  <c r="J552" i="199"/>
  <c r="J555" i="199" s="1"/>
  <c r="I552" i="199"/>
  <c r="I555" i="199" s="1"/>
  <c r="H552" i="199"/>
  <c r="H555" i="199" s="1"/>
  <c r="G552" i="199"/>
  <c r="G555" i="199" s="1"/>
  <c r="Q551" i="199"/>
  <c r="Q545" i="199"/>
  <c r="Q544" i="199"/>
  <c r="Q542" i="199"/>
  <c r="Q540" i="199"/>
  <c r="Q538" i="199"/>
  <c r="Q536" i="199"/>
  <c r="Q534" i="199"/>
  <c r="Q533" i="199"/>
  <c r="Q532" i="199"/>
  <c r="Q531" i="199"/>
  <c r="Q529" i="199"/>
  <c r="Q528" i="199"/>
  <c r="Q527" i="199"/>
  <c r="Q523" i="199"/>
  <c r="Q522" i="199"/>
  <c r="P519" i="199"/>
  <c r="P524" i="199" s="1"/>
  <c r="O519" i="199"/>
  <c r="O524" i="199" s="1"/>
  <c r="N519" i="199"/>
  <c r="N524" i="199" s="1"/>
  <c r="M519" i="199"/>
  <c r="M524" i="199" s="1"/>
  <c r="L519" i="199"/>
  <c r="L524" i="199" s="1"/>
  <c r="K519" i="199"/>
  <c r="K524" i="199" s="1"/>
  <c r="J519" i="199"/>
  <c r="J524" i="199" s="1"/>
  <c r="I519" i="199"/>
  <c r="I524" i="199" s="1"/>
  <c r="H519" i="199"/>
  <c r="H524" i="199" s="1"/>
  <c r="G519" i="199"/>
  <c r="G524" i="199" s="1"/>
  <c r="Q518" i="199"/>
  <c r="Q517" i="199"/>
  <c r="Q516" i="199"/>
  <c r="Q512" i="199"/>
  <c r="Q511" i="199"/>
  <c r="Q510" i="199"/>
  <c r="Q508" i="199"/>
  <c r="Q507" i="199"/>
  <c r="Q505" i="199"/>
  <c r="Q504" i="199"/>
  <c r="Q503" i="199"/>
  <c r="Q502" i="199"/>
  <c r="Q498" i="199"/>
  <c r="Q496" i="199"/>
  <c r="P499" i="199"/>
  <c r="O499" i="199"/>
  <c r="N499" i="199"/>
  <c r="M499" i="199"/>
  <c r="L499" i="199"/>
  <c r="K499" i="199"/>
  <c r="J499" i="199"/>
  <c r="I499" i="199"/>
  <c r="H499" i="199"/>
  <c r="G499" i="199"/>
  <c r="Q492" i="199"/>
  <c r="Q490" i="199"/>
  <c r="Q489" i="199"/>
  <c r="Q488" i="199"/>
  <c r="Q487" i="199"/>
  <c r="Q486" i="199"/>
  <c r="Q484" i="199"/>
  <c r="Q483" i="199"/>
  <c r="Q482" i="199"/>
  <c r="Q478" i="199"/>
  <c r="Q477" i="199"/>
  <c r="Q476" i="199"/>
  <c r="Q475" i="199"/>
  <c r="Q474" i="199"/>
  <c r="Q473" i="199"/>
  <c r="Q471" i="199"/>
  <c r="Q470" i="199"/>
  <c r="Q469" i="199"/>
  <c r="Q468" i="199"/>
  <c r="Q467" i="199"/>
  <c r="Q466" i="199"/>
  <c r="Q465" i="199"/>
  <c r="Q464" i="199"/>
  <c r="Q458" i="199"/>
  <c r="Q451" i="199"/>
  <c r="Q450" i="199"/>
  <c r="Q449" i="199"/>
  <c r="Q448" i="199"/>
  <c r="Q447" i="199"/>
  <c r="Q446" i="199"/>
  <c r="Q445" i="199"/>
  <c r="Q444" i="199"/>
  <c r="Q443" i="199"/>
  <c r="Q442" i="199"/>
  <c r="Q440" i="199"/>
  <c r="Q439" i="199"/>
  <c r="Q438" i="199"/>
  <c r="Q437" i="199"/>
  <c r="Q436" i="199"/>
  <c r="Q435" i="199"/>
  <c r="Q434" i="199"/>
  <c r="Q433" i="199"/>
  <c r="Q432" i="199"/>
  <c r="Q426" i="199"/>
  <c r="Q425" i="199"/>
  <c r="Q424" i="199"/>
  <c r="Q423" i="199"/>
  <c r="Q409" i="199"/>
  <c r="Q408" i="199"/>
  <c r="Q407" i="199"/>
  <c r="Q406" i="199"/>
  <c r="Q405" i="199"/>
  <c r="Q404" i="199"/>
  <c r="Q402" i="199"/>
  <c r="Q401" i="199"/>
  <c r="Q396" i="199"/>
  <c r="Q395" i="199"/>
  <c r="Q394" i="199"/>
  <c r="Q385" i="199"/>
  <c r="Q384" i="199"/>
  <c r="Q383" i="199"/>
  <c r="Q382" i="199"/>
  <c r="Q381" i="199"/>
  <c r="P378" i="199"/>
  <c r="P479" i="199" s="1"/>
  <c r="O378" i="199"/>
  <c r="O479" i="199" s="1"/>
  <c r="N378" i="199"/>
  <c r="N479" i="199" s="1"/>
  <c r="M378" i="199"/>
  <c r="M479" i="199" s="1"/>
  <c r="L378" i="199"/>
  <c r="L479" i="199" s="1"/>
  <c r="K378" i="199"/>
  <c r="K479" i="199" s="1"/>
  <c r="J378" i="199"/>
  <c r="J479" i="199" s="1"/>
  <c r="I378" i="199"/>
  <c r="I479" i="199" s="1"/>
  <c r="H378" i="199"/>
  <c r="H479" i="199" s="1"/>
  <c r="G378" i="199"/>
  <c r="G479" i="199" s="1"/>
  <c r="Q377" i="199"/>
  <c r="Q375" i="199"/>
  <c r="Q373" i="199"/>
  <c r="Q372" i="199"/>
  <c r="Q371" i="199"/>
  <c r="Q370" i="199"/>
  <c r="Q365" i="199"/>
  <c r="Q364" i="199"/>
  <c r="Q363" i="199"/>
  <c r="Q362" i="199"/>
  <c r="Q360" i="199"/>
  <c r="Q358" i="199"/>
  <c r="Q357" i="199"/>
  <c r="Q356" i="199"/>
  <c r="Q353" i="199"/>
  <c r="Q352" i="199"/>
  <c r="Q351" i="199"/>
  <c r="Q350" i="199"/>
  <c r="Q349" i="199"/>
  <c r="Q348" i="199"/>
  <c r="Q347" i="199"/>
  <c r="Q346" i="199"/>
  <c r="Q345" i="199"/>
  <c r="Q344" i="199"/>
  <c r="Q343" i="199"/>
  <c r="Q342" i="199"/>
  <c r="Q341" i="199"/>
  <c r="Q340" i="199"/>
  <c r="Q339" i="199"/>
  <c r="Q338" i="199"/>
  <c r="Q337" i="199"/>
  <c r="Q335" i="199"/>
  <c r="Q320" i="199"/>
  <c r="Q319" i="199"/>
  <c r="Q318" i="199"/>
  <c r="Q316" i="199"/>
  <c r="Q314" i="199"/>
  <c r="Q313" i="199"/>
  <c r="Q309" i="199"/>
  <c r="Q308" i="199"/>
  <c r="Q304" i="199"/>
  <c r="Q303" i="199"/>
  <c r="Q302" i="199"/>
  <c r="P299" i="199"/>
  <c r="P367" i="199" s="1"/>
  <c r="O299" i="199"/>
  <c r="O367" i="199" s="1"/>
  <c r="N299" i="199"/>
  <c r="N367" i="199" s="1"/>
  <c r="M299" i="199"/>
  <c r="M367" i="199" s="1"/>
  <c r="L299" i="199"/>
  <c r="L367" i="199" s="1"/>
  <c r="K299" i="199"/>
  <c r="K367" i="199" s="1"/>
  <c r="J299" i="199"/>
  <c r="J367" i="199" s="1"/>
  <c r="I299" i="199"/>
  <c r="I367" i="199" s="1"/>
  <c r="H299" i="199"/>
  <c r="H367" i="199" s="1"/>
  <c r="G299" i="199"/>
  <c r="G367" i="199" s="1"/>
  <c r="Q298" i="199"/>
  <c r="Q296" i="199"/>
  <c r="Q294" i="199"/>
  <c r="Q292" i="199"/>
  <c r="Q290" i="199"/>
  <c r="Q289" i="199"/>
  <c r="Q288" i="199"/>
  <c r="Q287" i="199"/>
  <c r="Q286" i="199"/>
  <c r="Q284" i="199"/>
  <c r="Q282" i="199"/>
  <c r="Q281" i="199"/>
  <c r="Q280" i="199"/>
  <c r="Q279" i="199"/>
  <c r="Q277" i="199"/>
  <c r="Q275" i="199"/>
  <c r="Q274" i="199"/>
  <c r="Q273" i="199"/>
  <c r="Q272" i="199"/>
  <c r="Q271" i="199"/>
  <c r="Q270" i="199"/>
  <c r="Q269" i="199"/>
  <c r="Q268" i="199"/>
  <c r="Q267" i="199"/>
  <c r="Q266" i="199"/>
  <c r="Q265" i="199"/>
  <c r="Q264" i="199"/>
  <c r="Q263" i="199"/>
  <c r="Q262" i="199"/>
  <c r="Q261" i="199"/>
  <c r="Q260" i="199"/>
  <c r="Q258" i="199"/>
  <c r="Q255" i="199"/>
  <c r="Q254" i="199"/>
  <c r="Q253" i="199"/>
  <c r="Q252" i="199"/>
  <c r="Q251" i="199"/>
  <c r="Q250" i="199"/>
  <c r="Q249" i="199"/>
  <c r="Q248" i="199"/>
  <c r="Q247" i="199"/>
  <c r="Q246" i="199"/>
  <c r="Q245" i="199"/>
  <c r="Q244" i="199"/>
  <c r="Q242" i="199"/>
  <c r="Q241" i="199"/>
  <c r="Q240" i="199"/>
  <c r="Q238" i="199"/>
  <c r="Q236" i="199"/>
  <c r="Q235" i="199"/>
  <c r="Q234" i="199"/>
  <c r="Q233" i="199"/>
  <c r="Q232" i="199"/>
  <c r="Q231" i="199"/>
  <c r="Q230" i="199"/>
  <c r="Q229" i="199"/>
  <c r="Q228" i="199"/>
  <c r="Q225" i="199"/>
  <c r="Q223" i="199"/>
  <c r="Q222" i="199"/>
  <c r="Q221" i="199"/>
  <c r="Q220" i="199"/>
  <c r="Q219" i="199"/>
  <c r="Q218" i="199"/>
  <c r="Q217" i="199"/>
  <c r="Q216" i="199"/>
  <c r="Q215" i="199"/>
  <c r="Q214" i="199"/>
  <c r="Q213" i="199"/>
  <c r="Q212" i="199"/>
  <c r="Q211" i="199"/>
  <c r="Q210" i="199"/>
  <c r="Q209" i="199"/>
  <c r="Q205" i="199"/>
  <c r="Q204" i="199"/>
  <c r="P201" i="199"/>
  <c r="P206" i="199" s="1"/>
  <c r="O201" i="199"/>
  <c r="O206" i="199" s="1"/>
  <c r="N201" i="199"/>
  <c r="N206" i="199" s="1"/>
  <c r="M201" i="199"/>
  <c r="M206" i="199" s="1"/>
  <c r="L201" i="199"/>
  <c r="L206" i="199" s="1"/>
  <c r="K201" i="199"/>
  <c r="K206" i="199" s="1"/>
  <c r="J201" i="199"/>
  <c r="J206" i="199" s="1"/>
  <c r="I201" i="199"/>
  <c r="I206" i="199" s="1"/>
  <c r="H201" i="199"/>
  <c r="H206" i="199" s="1"/>
  <c r="G201" i="199"/>
  <c r="G206" i="199" s="1"/>
  <c r="Q200" i="199"/>
  <c r="Q199" i="199"/>
  <c r="Q198" i="199"/>
  <c r="Q197" i="199"/>
  <c r="Q193" i="199"/>
  <c r="Q191" i="199"/>
  <c r="Q189" i="199"/>
  <c r="Q186" i="199"/>
  <c r="Q185" i="199"/>
  <c r="Q184" i="199"/>
  <c r="Q183" i="199"/>
  <c r="Q182" i="199"/>
  <c r="P164" i="199"/>
  <c r="P194" i="199" s="1"/>
  <c r="O164" i="199"/>
  <c r="O194" i="199" s="1"/>
  <c r="N164" i="199"/>
  <c r="N194" i="199" s="1"/>
  <c r="M164" i="199"/>
  <c r="M194" i="199" s="1"/>
  <c r="L164" i="199"/>
  <c r="L194" i="199" s="1"/>
  <c r="K164" i="199"/>
  <c r="K194" i="199" s="1"/>
  <c r="J164" i="199"/>
  <c r="J194" i="199" s="1"/>
  <c r="I164" i="199"/>
  <c r="I194" i="199" s="1"/>
  <c r="H164" i="199"/>
  <c r="H194" i="199" s="1"/>
  <c r="G164" i="199"/>
  <c r="G194" i="199" s="1"/>
  <c r="Q163" i="199"/>
  <c r="Q162" i="199"/>
  <c r="Q161" i="199"/>
  <c r="Q160" i="199"/>
  <c r="Q159" i="199"/>
  <c r="Q157" i="199"/>
  <c r="Q155" i="199"/>
  <c r="Q154" i="199"/>
  <c r="Q153" i="199"/>
  <c r="Q152" i="199"/>
  <c r="Q151" i="199"/>
  <c r="Q150" i="199"/>
  <c r="Q149" i="199"/>
  <c r="Q148" i="199"/>
  <c r="Q147" i="199"/>
  <c r="Q146" i="199"/>
  <c r="Q145" i="199"/>
  <c r="Q144" i="199"/>
  <c r="Q143" i="199"/>
  <c r="Q142" i="199"/>
  <c r="Q141" i="199"/>
  <c r="Q140" i="199"/>
  <c r="Q139" i="199"/>
  <c r="Q138" i="199"/>
  <c r="Q137" i="199"/>
  <c r="Q136" i="199"/>
  <c r="Q134" i="199"/>
  <c r="Q133" i="199"/>
  <c r="Q132" i="199"/>
  <c r="Q131" i="199"/>
  <c r="Q130" i="199"/>
  <c r="Q129" i="199"/>
  <c r="Q128" i="199"/>
  <c r="Q127" i="199"/>
  <c r="Q125" i="199"/>
  <c r="Q124" i="199"/>
  <c r="Q123" i="199"/>
  <c r="Q122" i="199"/>
  <c r="Q120" i="199"/>
  <c r="Q118" i="199"/>
  <c r="Q117" i="199"/>
  <c r="Q114" i="199"/>
  <c r="Q112" i="199"/>
  <c r="Q110" i="199"/>
  <c r="Q109" i="199"/>
  <c r="Q108" i="199"/>
  <c r="Q105" i="199"/>
  <c r="Q104" i="199"/>
  <c r="Q102" i="199"/>
  <c r="Q100" i="199"/>
  <c r="Q99" i="199"/>
  <c r="Q96" i="199"/>
  <c r="Q95" i="199"/>
  <c r="Q93" i="199"/>
  <c r="Q92" i="199"/>
  <c r="Q90" i="199"/>
  <c r="Q89" i="199"/>
  <c r="Q88" i="199"/>
  <c r="Q87" i="199"/>
  <c r="Q86" i="199"/>
  <c r="Q85" i="199"/>
  <c r="Q84" i="199"/>
  <c r="Q82" i="199"/>
  <c r="Q81" i="199"/>
  <c r="Q80" i="199"/>
  <c r="Q79" i="199"/>
  <c r="Q78" i="199"/>
  <c r="Q77" i="199"/>
  <c r="Q75" i="199"/>
  <c r="Q74" i="199"/>
  <c r="Q73" i="199"/>
  <c r="Q72" i="199"/>
  <c r="Q71" i="199"/>
  <c r="Q69" i="199"/>
  <c r="Q67" i="199"/>
  <c r="Q65" i="199"/>
  <c r="Q64" i="199"/>
  <c r="Q63" i="199"/>
  <c r="Q62" i="199"/>
  <c r="Q61" i="199"/>
  <c r="Q60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80" i="198"/>
  <c r="O178" i="198"/>
  <c r="O176" i="198"/>
  <c r="O175" i="198"/>
  <c r="O174" i="198"/>
  <c r="O173" i="198"/>
  <c r="O172" i="198"/>
  <c r="O168" i="198"/>
  <c r="O167" i="198"/>
  <c r="O166" i="198"/>
  <c r="O165" i="198"/>
  <c r="O163" i="198"/>
  <c r="O161" i="198"/>
  <c r="O160" i="198"/>
  <c r="O158" i="198"/>
  <c r="N155" i="198"/>
  <c r="M155" i="198"/>
  <c r="L155" i="198"/>
  <c r="K155" i="198"/>
  <c r="J155" i="198"/>
  <c r="I155" i="198"/>
  <c r="H155" i="198"/>
  <c r="G155" i="198"/>
  <c r="F155" i="198"/>
  <c r="E155" i="198"/>
  <c r="O154" i="198"/>
  <c r="O153" i="198"/>
  <c r="O152" i="198"/>
  <c r="O151" i="198"/>
  <c r="O150" i="198"/>
  <c r="O149" i="198"/>
  <c r="N146" i="198"/>
  <c r="M146" i="198"/>
  <c r="L146" i="198"/>
  <c r="K146" i="198"/>
  <c r="J146" i="198"/>
  <c r="I146" i="198"/>
  <c r="H146" i="198"/>
  <c r="G146" i="198"/>
  <c r="F146" i="198"/>
  <c r="E146" i="198"/>
  <c r="O145" i="198"/>
  <c r="O140" i="198"/>
  <c r="O137" i="198"/>
  <c r="O135" i="198"/>
  <c r="O133" i="198"/>
  <c r="O132" i="198"/>
  <c r="O131" i="198"/>
  <c r="O130" i="198"/>
  <c r="O129" i="198"/>
  <c r="O128" i="198"/>
  <c r="O127" i="198"/>
  <c r="O126" i="198"/>
  <c r="O125" i="198"/>
  <c r="O124" i="198"/>
  <c r="O121" i="198"/>
  <c r="O119" i="198"/>
  <c r="O117" i="198"/>
  <c r="O116" i="198"/>
  <c r="O115" i="198"/>
  <c r="O103" i="198"/>
  <c r="O102" i="198"/>
  <c r="O99" i="198"/>
  <c r="O98" i="198"/>
  <c r="O97" i="198"/>
  <c r="O96" i="198"/>
  <c r="O95" i="198"/>
  <c r="O94" i="198"/>
  <c r="O93" i="198"/>
  <c r="O92" i="198"/>
  <c r="O90" i="198"/>
  <c r="O89" i="198"/>
  <c r="O88" i="198"/>
  <c r="O87" i="198"/>
  <c r="O86" i="198"/>
  <c r="O85" i="198"/>
  <c r="O84" i="198"/>
  <c r="O83" i="198"/>
  <c r="O82" i="198"/>
  <c r="O81" i="198"/>
  <c r="O80" i="198"/>
  <c r="O79" i="198"/>
  <c r="O77" i="198"/>
  <c r="O76" i="198"/>
  <c r="O74" i="198"/>
  <c r="O73" i="198"/>
  <c r="O72" i="198"/>
  <c r="O71" i="198"/>
  <c r="O70" i="198"/>
  <c r="O69" i="198"/>
  <c r="O67" i="198"/>
  <c r="O66" i="198"/>
  <c r="O65" i="198"/>
  <c r="O64" i="198"/>
  <c r="O63" i="198"/>
  <c r="O62" i="198"/>
  <c r="O61" i="198"/>
  <c r="O49" i="198"/>
  <c r="O45" i="198"/>
  <c r="O44" i="198"/>
  <c r="O43" i="198"/>
  <c r="O40" i="198"/>
  <c r="O39" i="198"/>
  <c r="O38" i="198"/>
  <c r="N35" i="198"/>
  <c r="M35" i="198"/>
  <c r="L35" i="198"/>
  <c r="K35" i="198"/>
  <c r="J35" i="198"/>
  <c r="I35" i="198"/>
  <c r="H35" i="198"/>
  <c r="O34" i="198"/>
  <c r="O33" i="198"/>
  <c r="O21" i="198"/>
  <c r="O20" i="198"/>
  <c r="O15" i="198"/>
  <c r="O11" i="198"/>
  <c r="N8" i="198"/>
  <c r="K8" i="198"/>
  <c r="J8" i="198"/>
  <c r="I8" i="198"/>
  <c r="H8" i="198"/>
  <c r="G8" i="198"/>
  <c r="F8" i="198"/>
  <c r="E8" i="198"/>
  <c r="O7" i="198"/>
  <c r="O8" i="198" s="1"/>
  <c r="O187" i="198" l="1"/>
  <c r="O58" i="198"/>
  <c r="O112" i="198"/>
  <c r="L23" i="139"/>
  <c r="O20" i="139"/>
  <c r="L23" i="138"/>
  <c r="I23" i="138"/>
  <c r="J23" i="139"/>
  <c r="H23" i="138"/>
  <c r="P11" i="138"/>
  <c r="O19" i="139"/>
  <c r="E4" i="138"/>
  <c r="E23" i="138" s="1"/>
  <c r="N23" i="200"/>
  <c r="M23" i="139"/>
  <c r="O11" i="139"/>
  <c r="O13" i="139"/>
  <c r="O15" i="139"/>
  <c r="O21" i="139"/>
  <c r="K23" i="138"/>
  <c r="P5" i="138"/>
  <c r="P12" i="138"/>
  <c r="P15" i="138"/>
  <c r="P20" i="138"/>
  <c r="N23" i="139"/>
  <c r="O6" i="139"/>
  <c r="O7" i="139"/>
  <c r="O9" i="139"/>
  <c r="O12" i="139"/>
  <c r="O14" i="139"/>
  <c r="O16" i="139"/>
  <c r="O18" i="139"/>
  <c r="J23" i="138"/>
  <c r="P6" i="138"/>
  <c r="P10" i="138"/>
  <c r="P13" i="138"/>
  <c r="P16" i="138"/>
  <c r="P17" i="138"/>
  <c r="P18" i="138"/>
  <c r="P21" i="138"/>
  <c r="P9" i="138"/>
  <c r="E4" i="139"/>
  <c r="E23" i="139" s="1"/>
  <c r="M23" i="201"/>
  <c r="I23" i="139"/>
  <c r="O5" i="139"/>
  <c r="O8" i="139"/>
  <c r="O10" i="139"/>
  <c r="G23" i="138"/>
  <c r="O23" i="138"/>
  <c r="P7" i="138"/>
  <c r="P8" i="138"/>
  <c r="F23" i="138"/>
  <c r="P14" i="138"/>
  <c r="P19" i="138"/>
  <c r="O30" i="198"/>
  <c r="Q494" i="199"/>
  <c r="Q499" i="199" s="1"/>
  <c r="Q593" i="199"/>
  <c r="Q598" i="199" s="1"/>
  <c r="J617" i="199"/>
  <c r="J619" i="199" s="1"/>
  <c r="D6" i="107" s="1"/>
  <c r="N617" i="199"/>
  <c r="N619" i="199" s="1"/>
  <c r="D11" i="107" s="1"/>
  <c r="O617" i="199"/>
  <c r="O619" i="199" s="1"/>
  <c r="G617" i="199"/>
  <c r="G619" i="199" s="1"/>
  <c r="D3" i="107" s="1"/>
  <c r="K617" i="199"/>
  <c r="K619" i="199" s="1"/>
  <c r="D7" i="107" s="1"/>
  <c r="H617" i="199"/>
  <c r="H619" i="199" s="1"/>
  <c r="D4" i="107" s="1"/>
  <c r="Q616" i="199"/>
  <c r="L617" i="199"/>
  <c r="L619" i="199" s="1"/>
  <c r="D9" i="107" s="1"/>
  <c r="P617" i="199"/>
  <c r="P619" i="199" s="1"/>
  <c r="I617" i="199"/>
  <c r="I619" i="199" s="1"/>
  <c r="D5" i="107" s="1"/>
  <c r="M617" i="199"/>
  <c r="M619" i="199" s="1"/>
  <c r="D10" i="107" s="1"/>
  <c r="L199" i="198"/>
  <c r="L201" i="198" s="1"/>
  <c r="O35" i="198"/>
  <c r="H199" i="198"/>
  <c r="H201" i="198" s="1"/>
  <c r="O146" i="198"/>
  <c r="O200" i="198"/>
  <c r="O155" i="198"/>
  <c r="K199" i="198"/>
  <c r="K201" i="198" s="1"/>
  <c r="G199" i="198"/>
  <c r="G201" i="198" s="1"/>
  <c r="N199" i="198"/>
  <c r="N201" i="198" s="1"/>
  <c r="E199" i="198"/>
  <c r="E201" i="198" s="1"/>
  <c r="I199" i="198"/>
  <c r="I201" i="198" s="1"/>
  <c r="J199" i="198"/>
  <c r="J201" i="198" s="1"/>
  <c r="M199" i="198"/>
  <c r="M201" i="198" s="1"/>
  <c r="F199" i="198"/>
  <c r="F201" i="198" s="1"/>
  <c r="Q618" i="199"/>
  <c r="Q552" i="199"/>
  <c r="Q555" i="199" s="1"/>
  <c r="Q519" i="199"/>
  <c r="Q524" i="199" s="1"/>
  <c r="Q378" i="199"/>
  <c r="Q479" i="199" s="1"/>
  <c r="Q299" i="199"/>
  <c r="Q367" i="199" s="1"/>
  <c r="Q201" i="199"/>
  <c r="Q206" i="199" s="1"/>
  <c r="Q164" i="199"/>
  <c r="Q194" i="199" s="1"/>
  <c r="Q42" i="199"/>
  <c r="Q48" i="199" s="1"/>
  <c r="Q304" i="194"/>
  <c r="Q365" i="194"/>
  <c r="Q364" i="194"/>
  <c r="D14" i="107" l="1"/>
  <c r="E14" i="107" s="1"/>
  <c r="E4" i="107"/>
  <c r="E6" i="107"/>
  <c r="E5" i="107"/>
  <c r="E11" i="107"/>
  <c r="E7" i="107"/>
  <c r="E10" i="107"/>
  <c r="Q617" i="199"/>
  <c r="Q619" i="199" s="1"/>
  <c r="O199" i="198"/>
  <c r="O201" i="198" s="1"/>
  <c r="Q186" i="194"/>
  <c r="D8" i="107" l="1"/>
  <c r="E3" i="107"/>
  <c r="D12" i="107"/>
  <c r="E9" i="107"/>
  <c r="H164" i="194"/>
  <c r="I164" i="194"/>
  <c r="J164" i="194"/>
  <c r="K164" i="194"/>
  <c r="L164" i="194"/>
  <c r="M164" i="194"/>
  <c r="N164" i="194"/>
  <c r="O164" i="194"/>
  <c r="P164" i="194"/>
  <c r="G164" i="194"/>
  <c r="Q440" i="194"/>
  <c r="D13" i="107" l="1"/>
  <c r="D15" i="107" s="1"/>
  <c r="Q360" i="194"/>
  <c r="Q413" i="194"/>
  <c r="Q439" i="194"/>
  <c r="Q591" i="194"/>
  <c r="O117" i="193"/>
  <c r="Q385" i="194" l="1"/>
  <c r="Q523" i="194"/>
  <c r="Q437" i="194"/>
  <c r="Q438" i="194"/>
  <c r="Q339" i="194"/>
  <c r="Q340" i="194"/>
  <c r="Q341" i="194"/>
  <c r="Q342" i="194"/>
  <c r="Q343" i="194"/>
  <c r="Q344" i="194"/>
  <c r="Q345" i="194"/>
  <c r="Q346" i="194"/>
  <c r="Q347" i="194"/>
  <c r="Q348" i="194"/>
  <c r="Q349" i="194"/>
  <c r="Q350" i="194"/>
  <c r="Q351" i="194"/>
  <c r="Q352" i="194"/>
  <c r="Q353" i="194"/>
  <c r="Q595" i="194" l="1"/>
  <c r="Q163" i="194"/>
  <c r="Q114" i="194"/>
  <c r="Q383" i="194" l="1"/>
  <c r="O66" i="193" l="1"/>
  <c r="O67" i="193"/>
  <c r="Q475" i="194" l="1"/>
  <c r="Q466" i="194"/>
  <c r="Q522" i="194" l="1"/>
  <c r="F155" i="193"/>
  <c r="G155" i="193"/>
  <c r="H155" i="193"/>
  <c r="I155" i="193"/>
  <c r="J155" i="193"/>
  <c r="K155" i="193"/>
  <c r="L155" i="193"/>
  <c r="M155" i="193"/>
  <c r="N155" i="193"/>
  <c r="E155" i="193"/>
  <c r="O154" i="193"/>
  <c r="Q613" i="194" l="1"/>
  <c r="Q362" i="194"/>
  <c r="Q289" i="194" l="1"/>
  <c r="K14" i="62" l="1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612" i="194"/>
  <c r="Q610" i="194"/>
  <c r="Q609" i="194"/>
  <c r="Q608" i="194"/>
  <c r="Q605" i="194"/>
  <c r="Q604" i="194"/>
  <c r="Q603" i="194"/>
  <c r="Q602" i="194"/>
  <c r="Q600" i="194"/>
  <c r="M13" i="63"/>
  <c r="L13" i="63"/>
  <c r="K13" i="63"/>
  <c r="J13" i="63"/>
  <c r="I13" i="63"/>
  <c r="H13" i="63"/>
  <c r="G13" i="63"/>
  <c r="F13" i="63"/>
  <c r="E13" i="63"/>
  <c r="D13" i="63"/>
  <c r="Q589" i="194"/>
  <c r="Q588" i="194"/>
  <c r="Q586" i="194"/>
  <c r="Q584" i="194"/>
  <c r="Q583" i="194"/>
  <c r="Q582" i="194"/>
  <c r="Q581" i="194"/>
  <c r="Q579" i="194"/>
  <c r="Q578" i="194"/>
  <c r="Q162" i="194"/>
  <c r="Q576" i="194"/>
  <c r="Q575" i="194"/>
  <c r="Q574" i="194"/>
  <c r="Q572" i="194"/>
  <c r="Q571" i="194"/>
  <c r="Q569" i="194"/>
  <c r="Q568" i="194"/>
  <c r="Q567" i="194"/>
  <c r="Q566" i="194"/>
  <c r="Q565" i="194"/>
  <c r="Q564" i="194"/>
  <c r="Q563" i="194"/>
  <c r="Q562" i="194"/>
  <c r="Q561" i="194"/>
  <c r="Q560" i="194"/>
  <c r="Q559" i="194"/>
  <c r="Q558" i="194"/>
  <c r="P552" i="194"/>
  <c r="P555" i="194" s="1"/>
  <c r="O552" i="194"/>
  <c r="O555" i="194" s="1"/>
  <c r="N552" i="194"/>
  <c r="M552" i="194"/>
  <c r="L552" i="194"/>
  <c r="K552" i="194"/>
  <c r="J552" i="194"/>
  <c r="I552" i="194"/>
  <c r="H552" i="194"/>
  <c r="G552" i="194"/>
  <c r="Q551" i="194"/>
  <c r="Q545" i="194"/>
  <c r="Q544" i="194"/>
  <c r="Q542" i="194"/>
  <c r="Q540" i="194"/>
  <c r="Q538" i="194"/>
  <c r="Q536" i="194"/>
  <c r="Q534" i="194"/>
  <c r="Q533" i="194"/>
  <c r="Q532" i="194"/>
  <c r="Q531" i="194"/>
  <c r="Q529" i="194"/>
  <c r="Q528" i="194"/>
  <c r="Q527" i="194"/>
  <c r="P519" i="194"/>
  <c r="P524" i="194" s="1"/>
  <c r="M11" i="63" s="1"/>
  <c r="O519" i="194"/>
  <c r="O524" i="194" s="1"/>
  <c r="L11" i="63" s="1"/>
  <c r="N519" i="194"/>
  <c r="N524" i="194" s="1"/>
  <c r="K11" i="63" s="1"/>
  <c r="M519" i="194"/>
  <c r="M524" i="194" s="1"/>
  <c r="J11" i="63" s="1"/>
  <c r="L519" i="194"/>
  <c r="L524" i="194" s="1"/>
  <c r="I11" i="63" s="1"/>
  <c r="K519" i="194"/>
  <c r="K524" i="194" s="1"/>
  <c r="H11" i="63" s="1"/>
  <c r="J519" i="194"/>
  <c r="J524" i="194" s="1"/>
  <c r="G11" i="63" s="1"/>
  <c r="I519" i="194"/>
  <c r="I524" i="194" s="1"/>
  <c r="F11" i="63" s="1"/>
  <c r="H519" i="194"/>
  <c r="H524" i="194" s="1"/>
  <c r="E11" i="63" s="1"/>
  <c r="G519" i="194"/>
  <c r="G524" i="194" s="1"/>
  <c r="D11" i="63" s="1"/>
  <c r="Q518" i="194"/>
  <c r="Q517" i="194"/>
  <c r="Q516" i="194"/>
  <c r="Q512" i="194"/>
  <c r="Q511" i="194"/>
  <c r="Q510" i="194"/>
  <c r="Q508" i="194"/>
  <c r="Q507" i="194"/>
  <c r="Q505" i="194"/>
  <c r="Q504" i="194"/>
  <c r="Q503" i="194"/>
  <c r="Q502" i="194"/>
  <c r="Q498" i="194"/>
  <c r="Q496" i="194"/>
  <c r="P499" i="194"/>
  <c r="M10" i="63" s="1"/>
  <c r="O499" i="194"/>
  <c r="L10" i="63" s="1"/>
  <c r="N499" i="194"/>
  <c r="K10" i="63" s="1"/>
  <c r="M499" i="194"/>
  <c r="J10" i="63" s="1"/>
  <c r="L499" i="194"/>
  <c r="I10" i="63" s="1"/>
  <c r="K499" i="194"/>
  <c r="H10" i="63" s="1"/>
  <c r="J499" i="194"/>
  <c r="G10" i="63" s="1"/>
  <c r="I499" i="194"/>
  <c r="F10" i="63" s="1"/>
  <c r="H499" i="194"/>
  <c r="E10" i="63" s="1"/>
  <c r="G499" i="194"/>
  <c r="D10" i="63" s="1"/>
  <c r="Q492" i="194"/>
  <c r="Q490" i="194"/>
  <c r="Q489" i="194"/>
  <c r="Q488" i="194"/>
  <c r="Q487" i="194"/>
  <c r="Q486" i="194"/>
  <c r="Q484" i="194"/>
  <c r="Q483" i="194"/>
  <c r="Q482" i="194"/>
  <c r="Q478" i="194"/>
  <c r="Q477" i="194"/>
  <c r="Q476" i="194"/>
  <c r="Q473" i="194"/>
  <c r="Q471" i="194"/>
  <c r="Q470" i="194"/>
  <c r="Q469" i="194"/>
  <c r="Q468" i="194"/>
  <c r="Q467" i="194"/>
  <c r="Q465" i="194"/>
  <c r="Q464" i="194"/>
  <c r="Q458" i="194"/>
  <c r="Q451" i="194"/>
  <c r="Q450" i="194"/>
  <c r="Q449" i="194"/>
  <c r="Q448" i="194"/>
  <c r="Q447" i="194"/>
  <c r="Q446" i="194"/>
  <c r="Q445" i="194"/>
  <c r="Q444" i="194"/>
  <c r="Q443" i="194"/>
  <c r="Q442" i="194"/>
  <c r="Q436" i="194"/>
  <c r="Q435" i="194"/>
  <c r="Q434" i="194"/>
  <c r="Q433" i="194"/>
  <c r="Q432" i="194"/>
  <c r="Q426" i="194"/>
  <c r="Q425" i="194"/>
  <c r="Q424" i="194"/>
  <c r="Q423" i="194"/>
  <c r="Q421" i="194"/>
  <c r="Q419" i="194"/>
  <c r="Q411" i="194"/>
  <c r="Q407" i="194"/>
  <c r="Q406" i="194"/>
  <c r="Q405" i="194"/>
  <c r="Q401" i="194"/>
  <c r="Q399" i="194"/>
  <c r="Q396" i="194"/>
  <c r="Q394" i="194"/>
  <c r="Q390" i="194"/>
  <c r="Q387" i="194"/>
  <c r="Q382" i="194"/>
  <c r="Q381" i="194"/>
  <c r="P378" i="194"/>
  <c r="P479" i="194" s="1"/>
  <c r="M9" i="63" s="1"/>
  <c r="O378" i="194"/>
  <c r="O479" i="194" s="1"/>
  <c r="L9" i="63" s="1"/>
  <c r="N378" i="194"/>
  <c r="N479" i="194" s="1"/>
  <c r="K9" i="63" s="1"/>
  <c r="M378" i="194"/>
  <c r="M479" i="194" s="1"/>
  <c r="J9" i="63" s="1"/>
  <c r="L378" i="194"/>
  <c r="L479" i="194" s="1"/>
  <c r="I9" i="63" s="1"/>
  <c r="K378" i="194"/>
  <c r="K479" i="194" s="1"/>
  <c r="H9" i="63" s="1"/>
  <c r="J378" i="194"/>
  <c r="J479" i="194" s="1"/>
  <c r="G9" i="63" s="1"/>
  <c r="I378" i="194"/>
  <c r="I479" i="194" s="1"/>
  <c r="F9" i="63" s="1"/>
  <c r="H378" i="194"/>
  <c r="H479" i="194" s="1"/>
  <c r="E9" i="63" s="1"/>
  <c r="G378" i="194"/>
  <c r="G479" i="194" s="1"/>
  <c r="D9" i="63" s="1"/>
  <c r="Q377" i="194"/>
  <c r="Q375" i="194"/>
  <c r="Q373" i="194"/>
  <c r="Q372" i="194"/>
  <c r="Q371" i="194"/>
  <c r="Q370" i="194"/>
  <c r="Q357" i="194"/>
  <c r="Q338" i="194"/>
  <c r="Q337" i="194"/>
  <c r="Q320" i="194"/>
  <c r="Q319" i="194"/>
  <c r="Q318" i="194"/>
  <c r="Q316" i="194"/>
  <c r="Q314" i="194"/>
  <c r="Q313" i="194"/>
  <c r="Q308" i="194"/>
  <c r="Q307" i="194"/>
  <c r="Q306" i="194"/>
  <c r="Q302" i="194"/>
  <c r="P299" i="194"/>
  <c r="P367" i="194" s="1"/>
  <c r="M8" i="63" s="1"/>
  <c r="O299" i="194"/>
  <c r="O367" i="194" s="1"/>
  <c r="L8" i="63" s="1"/>
  <c r="N299" i="194"/>
  <c r="N367" i="194" s="1"/>
  <c r="K8" i="63" s="1"/>
  <c r="M299" i="194"/>
  <c r="M367" i="194" s="1"/>
  <c r="J8" i="63" s="1"/>
  <c r="L299" i="194"/>
  <c r="L367" i="194" s="1"/>
  <c r="I8" i="63" s="1"/>
  <c r="K299" i="194"/>
  <c r="K367" i="194" s="1"/>
  <c r="H8" i="63" s="1"/>
  <c r="J299" i="194"/>
  <c r="J367" i="194" s="1"/>
  <c r="G8" i="63" s="1"/>
  <c r="I299" i="194"/>
  <c r="I367" i="194" s="1"/>
  <c r="F8" i="63" s="1"/>
  <c r="H299" i="194"/>
  <c r="H367" i="194" s="1"/>
  <c r="E8" i="63" s="1"/>
  <c r="G299" i="194"/>
  <c r="G367" i="194" s="1"/>
  <c r="D8" i="63" s="1"/>
  <c r="Q298" i="194"/>
  <c r="Q296" i="194"/>
  <c r="Q294" i="194"/>
  <c r="Q292" i="194"/>
  <c r="Q291" i="194"/>
  <c r="Q290" i="194"/>
  <c r="Q288" i="194"/>
  <c r="Q287" i="194"/>
  <c r="Q286" i="194"/>
  <c r="Q284" i="194"/>
  <c r="Q282" i="194"/>
  <c r="Q281" i="194"/>
  <c r="Q280" i="194"/>
  <c r="Q279" i="194"/>
  <c r="Q277" i="194"/>
  <c r="Q275" i="194"/>
  <c r="Q274" i="194"/>
  <c r="Q273" i="194"/>
  <c r="Q272" i="194"/>
  <c r="Q271" i="194"/>
  <c r="Q270" i="194"/>
  <c r="Q269" i="194"/>
  <c r="Q268" i="194"/>
  <c r="Q267" i="194"/>
  <c r="Q266" i="194"/>
  <c r="Q265" i="194"/>
  <c r="Q264" i="194"/>
  <c r="Q263" i="194"/>
  <c r="Q262" i="194"/>
  <c r="Q261" i="194"/>
  <c r="Q260" i="194"/>
  <c r="Q258" i="194"/>
  <c r="Q255" i="194"/>
  <c r="Q254" i="194"/>
  <c r="Q253" i="194"/>
  <c r="Q252" i="194"/>
  <c r="Q251" i="194"/>
  <c r="Q250" i="194"/>
  <c r="Q249" i="194"/>
  <c r="Q248" i="194"/>
  <c r="Q247" i="194"/>
  <c r="Q246" i="194"/>
  <c r="Q245" i="194"/>
  <c r="Q244" i="194"/>
  <c r="Q242" i="194"/>
  <c r="Q241" i="194"/>
  <c r="Q240" i="194"/>
  <c r="Q238" i="194"/>
  <c r="Q236" i="194"/>
  <c r="Q235" i="194"/>
  <c r="Q234" i="194"/>
  <c r="Q233" i="194"/>
  <c r="Q232" i="194"/>
  <c r="Q231" i="194"/>
  <c r="Q230" i="194"/>
  <c r="Q229" i="194"/>
  <c r="Q228" i="194"/>
  <c r="Q225" i="194"/>
  <c r="Q223" i="194"/>
  <c r="Q222" i="194"/>
  <c r="Q221" i="194"/>
  <c r="Q220" i="194"/>
  <c r="Q219" i="194"/>
  <c r="Q218" i="194"/>
  <c r="Q217" i="194"/>
  <c r="Q216" i="194"/>
  <c r="Q215" i="194"/>
  <c r="Q214" i="194"/>
  <c r="Q213" i="194"/>
  <c r="Q212" i="194"/>
  <c r="Q211" i="194"/>
  <c r="Q210" i="194"/>
  <c r="Q209" i="194"/>
  <c r="Q205" i="194"/>
  <c r="Q204" i="194"/>
  <c r="P201" i="194"/>
  <c r="P206" i="194" s="1"/>
  <c r="M7" i="63" s="1"/>
  <c r="O201" i="194"/>
  <c r="O206" i="194" s="1"/>
  <c r="L7" i="63" s="1"/>
  <c r="N201" i="194"/>
  <c r="N206" i="194" s="1"/>
  <c r="K7" i="63" s="1"/>
  <c r="M201" i="194"/>
  <c r="M206" i="194" s="1"/>
  <c r="J7" i="63" s="1"/>
  <c r="L201" i="194"/>
  <c r="L206" i="194" s="1"/>
  <c r="I7" i="63" s="1"/>
  <c r="K201" i="194"/>
  <c r="K206" i="194" s="1"/>
  <c r="H7" i="63" s="1"/>
  <c r="J201" i="194"/>
  <c r="J206" i="194" s="1"/>
  <c r="G7" i="63" s="1"/>
  <c r="I201" i="194"/>
  <c r="I206" i="194" s="1"/>
  <c r="F7" i="63" s="1"/>
  <c r="H201" i="194"/>
  <c r="H206" i="194" s="1"/>
  <c r="E7" i="63" s="1"/>
  <c r="G201" i="194"/>
  <c r="G206" i="194" s="1"/>
  <c r="D7" i="63" s="1"/>
  <c r="Q200" i="194"/>
  <c r="Q199" i="194"/>
  <c r="Q198" i="194"/>
  <c r="Q197" i="194"/>
  <c r="Q191" i="194"/>
  <c r="Q189" i="194"/>
  <c r="Q185" i="194"/>
  <c r="Q184" i="194"/>
  <c r="Q183" i="194"/>
  <c r="Q182" i="194"/>
  <c r="P194" i="194"/>
  <c r="M6" i="63" s="1"/>
  <c r="O194" i="194"/>
  <c r="L6" i="63" s="1"/>
  <c r="N194" i="194"/>
  <c r="M194" i="194"/>
  <c r="L194" i="194"/>
  <c r="K194" i="194"/>
  <c r="J194" i="194"/>
  <c r="G6" i="63" s="1"/>
  <c r="I194" i="194"/>
  <c r="F6" i="63" s="1"/>
  <c r="H194" i="194"/>
  <c r="G194" i="194"/>
  <c r="Q161" i="194"/>
  <c r="Q160" i="194"/>
  <c r="Q159" i="194"/>
  <c r="Q157" i="194"/>
  <c r="Q155" i="194"/>
  <c r="Q154" i="194"/>
  <c r="Q153" i="194"/>
  <c r="Q152" i="194"/>
  <c r="Q151" i="194"/>
  <c r="Q150" i="194"/>
  <c r="Q149" i="194"/>
  <c r="Q148" i="194"/>
  <c r="Q147" i="194"/>
  <c r="Q146" i="194"/>
  <c r="Q145" i="194"/>
  <c r="Q144" i="194"/>
  <c r="Q143" i="194"/>
  <c r="Q142" i="194"/>
  <c r="Q141" i="194"/>
  <c r="Q140" i="194"/>
  <c r="Q139" i="194"/>
  <c r="Q138" i="194"/>
  <c r="Q137" i="194"/>
  <c r="Q136" i="194"/>
  <c r="Q134" i="194"/>
  <c r="Q133" i="194"/>
  <c r="Q132" i="194"/>
  <c r="Q131" i="194"/>
  <c r="Q130" i="194"/>
  <c r="Q129" i="194"/>
  <c r="Q128" i="194"/>
  <c r="Q127" i="194"/>
  <c r="Q125" i="194"/>
  <c r="Q124" i="194"/>
  <c r="Q123" i="194"/>
  <c r="Q122" i="194"/>
  <c r="Q120" i="194"/>
  <c r="Q118" i="194"/>
  <c r="Q117" i="194"/>
  <c r="Q112" i="194"/>
  <c r="Q110" i="194"/>
  <c r="Q109" i="194"/>
  <c r="Q108" i="194"/>
  <c r="Q105" i="194"/>
  <c r="Q104" i="194"/>
  <c r="Q102" i="194"/>
  <c r="Q100" i="194"/>
  <c r="Q99" i="194"/>
  <c r="Q96" i="194"/>
  <c r="Q95" i="194"/>
  <c r="Q93" i="194"/>
  <c r="Q92" i="194"/>
  <c r="Q90" i="194"/>
  <c r="Q89" i="194"/>
  <c r="Q88" i="194"/>
  <c r="Q87" i="194"/>
  <c r="Q86" i="194"/>
  <c r="Q85" i="194"/>
  <c r="Q84" i="194"/>
  <c r="Q82" i="194"/>
  <c r="Q81" i="194"/>
  <c r="Q80" i="194"/>
  <c r="Q79" i="194"/>
  <c r="Q78" i="194"/>
  <c r="Q77" i="194"/>
  <c r="Q75" i="194"/>
  <c r="Q74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78" i="193"/>
  <c r="O176" i="193"/>
  <c r="O175" i="193"/>
  <c r="O174" i="193"/>
  <c r="O173" i="193"/>
  <c r="O172" i="193"/>
  <c r="O168" i="193"/>
  <c r="O167" i="193"/>
  <c r="O166" i="193"/>
  <c r="O165" i="193"/>
  <c r="O163" i="193"/>
  <c r="O161" i="193"/>
  <c r="O160" i="193"/>
  <c r="O158" i="193"/>
  <c r="M10" i="62"/>
  <c r="L10" i="62"/>
  <c r="K10" i="62"/>
  <c r="J10" i="62"/>
  <c r="I10" i="62"/>
  <c r="H10" i="62"/>
  <c r="G10" i="62"/>
  <c r="F10" i="62"/>
  <c r="E10" i="62"/>
  <c r="D10" i="62"/>
  <c r="O153" i="193"/>
  <c r="O152" i="193"/>
  <c r="O151" i="193"/>
  <c r="O150" i="193"/>
  <c r="O149" i="193"/>
  <c r="N146" i="193"/>
  <c r="M9" i="62" s="1"/>
  <c r="M146" i="193"/>
  <c r="L9" i="62" s="1"/>
  <c r="L146" i="193"/>
  <c r="K9" i="62" s="1"/>
  <c r="K146" i="193"/>
  <c r="J9" i="62" s="1"/>
  <c r="J146" i="193"/>
  <c r="I9" i="62" s="1"/>
  <c r="I146" i="193"/>
  <c r="H9" i="62" s="1"/>
  <c r="H146" i="193"/>
  <c r="G9" i="62" s="1"/>
  <c r="G146" i="193"/>
  <c r="F9" i="62" s="1"/>
  <c r="F146" i="193"/>
  <c r="E9" i="62" s="1"/>
  <c r="E146" i="193"/>
  <c r="D9" i="62" s="1"/>
  <c r="O145" i="193"/>
  <c r="O140" i="193"/>
  <c r="O137" i="193"/>
  <c r="O135" i="193"/>
  <c r="O133" i="193"/>
  <c r="O132" i="193"/>
  <c r="O131" i="193"/>
  <c r="O130" i="193"/>
  <c r="O129" i="193"/>
  <c r="O128" i="193"/>
  <c r="O127" i="193"/>
  <c r="O126" i="193"/>
  <c r="O125" i="193"/>
  <c r="O124" i="193"/>
  <c r="O121" i="193"/>
  <c r="O119" i="193"/>
  <c r="O116" i="193"/>
  <c r="O115" i="193"/>
  <c r="M8" i="62"/>
  <c r="L8" i="62"/>
  <c r="K8" i="62"/>
  <c r="J8" i="62"/>
  <c r="I8" i="62"/>
  <c r="H8" i="62"/>
  <c r="G8" i="62"/>
  <c r="F8" i="62"/>
  <c r="E8" i="62"/>
  <c r="D8" i="62"/>
  <c r="O103" i="193"/>
  <c r="O102" i="193"/>
  <c r="O99" i="193"/>
  <c r="O98" i="193"/>
  <c r="O97" i="193"/>
  <c r="O96" i="193"/>
  <c r="O95" i="193"/>
  <c r="O94" i="193"/>
  <c r="O93" i="193"/>
  <c r="O92" i="193"/>
  <c r="O90" i="193"/>
  <c r="O89" i="193"/>
  <c r="O88" i="193"/>
  <c r="O87" i="193"/>
  <c r="O86" i="193"/>
  <c r="O85" i="193"/>
  <c r="O84" i="193"/>
  <c r="O83" i="193"/>
  <c r="O82" i="193"/>
  <c r="O81" i="193"/>
  <c r="O80" i="193"/>
  <c r="O79" i="193"/>
  <c r="O77" i="193"/>
  <c r="O76" i="193"/>
  <c r="O74" i="193"/>
  <c r="O73" i="193"/>
  <c r="O72" i="193"/>
  <c r="O71" i="193"/>
  <c r="O70" i="193"/>
  <c r="O69" i="193"/>
  <c r="O65" i="193"/>
  <c r="O64" i="193"/>
  <c r="O63" i="193"/>
  <c r="O62" i="193"/>
  <c r="O61" i="193"/>
  <c r="O49" i="193"/>
  <c r="O45" i="193"/>
  <c r="O44" i="193"/>
  <c r="O43" i="193"/>
  <c r="O40" i="193"/>
  <c r="O39" i="193"/>
  <c r="O38" i="193"/>
  <c r="N35" i="193"/>
  <c r="M6" i="62" s="1"/>
  <c r="M35" i="193"/>
  <c r="L6" i="62" s="1"/>
  <c r="L35" i="193"/>
  <c r="K6" i="62" s="1"/>
  <c r="K35" i="193"/>
  <c r="J6" i="62" s="1"/>
  <c r="J35" i="193"/>
  <c r="I6" i="62" s="1"/>
  <c r="I35" i="193"/>
  <c r="H6" i="62" s="1"/>
  <c r="H35" i="193"/>
  <c r="G6" i="62" s="1"/>
  <c r="O34" i="193"/>
  <c r="O33" i="193"/>
  <c r="M5" i="62"/>
  <c r="J5" i="62"/>
  <c r="I5" i="62"/>
  <c r="H5" i="62"/>
  <c r="F5" i="62"/>
  <c r="E5" i="62"/>
  <c r="D5" i="62"/>
  <c r="O21" i="193"/>
  <c r="O20" i="193"/>
  <c r="O15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O187" i="193" l="1"/>
  <c r="O112" i="193"/>
  <c r="O58" i="193"/>
  <c r="M555" i="194"/>
  <c r="J12" i="63" s="1"/>
  <c r="J555" i="194"/>
  <c r="G12" i="63" s="1"/>
  <c r="G555" i="194"/>
  <c r="D12" i="63" s="1"/>
  <c r="H555" i="194"/>
  <c r="E12" i="63" s="1"/>
  <c r="L555" i="194"/>
  <c r="I12" i="63" s="1"/>
  <c r="I555" i="194"/>
  <c r="F12" i="63" s="1"/>
  <c r="N555" i="194"/>
  <c r="K12" i="63" s="1"/>
  <c r="K555" i="194"/>
  <c r="H12" i="63" s="1"/>
  <c r="O30" i="193"/>
  <c r="Q494" i="194"/>
  <c r="Q499" i="194" s="1"/>
  <c r="Q593" i="194"/>
  <c r="Q598" i="194" s="1"/>
  <c r="Q616" i="194"/>
  <c r="L12" i="63"/>
  <c r="O617" i="194"/>
  <c r="O619" i="194" s="1"/>
  <c r="M12" i="63"/>
  <c r="P617" i="194"/>
  <c r="I6" i="63"/>
  <c r="J6" i="63"/>
  <c r="M617" i="194"/>
  <c r="K6" i="63"/>
  <c r="D6" i="63"/>
  <c r="E6" i="63"/>
  <c r="H6" i="63"/>
  <c r="F5" i="63"/>
  <c r="G5" i="63"/>
  <c r="J617" i="194"/>
  <c r="Q164" i="194"/>
  <c r="Q194" i="194" s="1"/>
  <c r="O35" i="193"/>
  <c r="O155" i="193"/>
  <c r="O146" i="193"/>
  <c r="H4" i="62"/>
  <c r="G5" i="62"/>
  <c r="K5" i="62"/>
  <c r="I4" i="62"/>
  <c r="L5" i="62"/>
  <c r="M4" i="62"/>
  <c r="D4" i="62"/>
  <c r="E4" i="62"/>
  <c r="F4" i="62"/>
  <c r="J4" i="62"/>
  <c r="Q201" i="194"/>
  <c r="Q206" i="194" s="1"/>
  <c r="Q378" i="194"/>
  <c r="Q479" i="194" s="1"/>
  <c r="I5" i="63"/>
  <c r="D5" i="63"/>
  <c r="H5" i="63"/>
  <c r="L5" i="63"/>
  <c r="E5" i="63"/>
  <c r="M5" i="63"/>
  <c r="Q519" i="194"/>
  <c r="Q524" i="194" s="1"/>
  <c r="Q552" i="194"/>
  <c r="Q555" i="194" s="1"/>
  <c r="Q42" i="194"/>
  <c r="Q299" i="194"/>
  <c r="Q367" i="194" s="1"/>
  <c r="H617" i="194" l="1"/>
  <c r="L617" i="194"/>
  <c r="G617" i="194"/>
  <c r="I617" i="194"/>
  <c r="K617" i="194"/>
  <c r="G618" i="194" l="1"/>
  <c r="H618" i="194"/>
  <c r="H619" i="194" s="1"/>
  <c r="I618" i="194"/>
  <c r="I619" i="194" s="1"/>
  <c r="J618" i="194"/>
  <c r="J619" i="194" s="1"/>
  <c r="K618" i="194"/>
  <c r="K619" i="194" s="1"/>
  <c r="L618" i="194"/>
  <c r="L619" i="194" s="1"/>
  <c r="M618" i="194"/>
  <c r="M619" i="194" s="1"/>
  <c r="N618" i="194"/>
  <c r="P618" i="194"/>
  <c r="O4" i="139"/>
  <c r="O23" i="139" s="1"/>
  <c r="P4" i="138"/>
  <c r="P23" i="138" s="1"/>
  <c r="N200" i="193"/>
  <c r="M14" i="62" l="1"/>
  <c r="M16" i="63"/>
  <c r="P619" i="194"/>
  <c r="J14" i="62"/>
  <c r="K200" i="193"/>
  <c r="I14" i="62"/>
  <c r="J200" i="193"/>
  <c r="E14" i="62"/>
  <c r="F200" i="193"/>
  <c r="Q618" i="194"/>
  <c r="G619" i="194"/>
  <c r="F14" i="62"/>
  <c r="G200" i="193"/>
  <c r="H14" i="62"/>
  <c r="I200" i="193"/>
  <c r="D14" i="62"/>
  <c r="E200" i="193"/>
  <c r="L14" i="62"/>
  <c r="M200" i="193"/>
  <c r="G14" i="62"/>
  <c r="H200" i="193"/>
  <c r="J16" i="63"/>
  <c r="H16" i="63"/>
  <c r="F16" i="63"/>
  <c r="D16" i="63"/>
  <c r="K16" i="63"/>
  <c r="I16" i="63"/>
  <c r="G16" i="63"/>
  <c r="E16" i="63"/>
  <c r="N7" i="63"/>
  <c r="N11" i="62"/>
  <c r="G15" i="63"/>
  <c r="N9" i="63"/>
  <c r="N10" i="63"/>
  <c r="N14" i="63"/>
  <c r="N6" i="62"/>
  <c r="L15" i="63"/>
  <c r="L17" i="63" s="1"/>
  <c r="N9" i="62"/>
  <c r="N12" i="62"/>
  <c r="E15" i="63"/>
  <c r="H15" i="63"/>
  <c r="M15" i="63"/>
  <c r="N11" i="63"/>
  <c r="N13" i="63"/>
  <c r="I15" i="63"/>
  <c r="N10" i="62"/>
  <c r="N12" i="63"/>
  <c r="N8" i="62"/>
  <c r="D15" i="63"/>
  <c r="F15" i="63"/>
  <c r="N4" i="62"/>
  <c r="J15" i="63"/>
  <c r="M17" i="63" l="1"/>
  <c r="O200" i="193"/>
  <c r="E17" i="63"/>
  <c r="N16" i="63"/>
  <c r="J17" i="63"/>
  <c r="F17" i="63"/>
  <c r="D17" i="63"/>
  <c r="I17" i="63"/>
  <c r="H17" i="63"/>
  <c r="G17" i="63"/>
  <c r="N14" i="62"/>
  <c r="N6" i="63"/>
  <c r="N5" i="62"/>
  <c r="N8" i="63"/>
  <c r="E8" i="107" l="1"/>
  <c r="Q44" i="194"/>
  <c r="Q48" i="194" s="1"/>
  <c r="N48" i="194"/>
  <c r="K5" i="63" l="1"/>
  <c r="N5" i="63" s="1"/>
  <c r="N15" i="63" s="1"/>
  <c r="N17" i="63" s="1"/>
  <c r="N617" i="194"/>
  <c r="N619" i="194" s="1"/>
  <c r="Q617" i="194"/>
  <c r="Q619" i="194" s="1"/>
  <c r="K15" i="63" l="1"/>
  <c r="K17" i="63" s="1"/>
  <c r="E12" i="107" s="1"/>
  <c r="E13" i="107" s="1"/>
  <c r="E15" i="107" s="1"/>
  <c r="E199" i="193" l="1"/>
  <c r="E201" i="193" s="1"/>
  <c r="D7" i="62"/>
  <c r="D13" i="62" l="1"/>
  <c r="D15" i="62" l="1"/>
  <c r="F199" i="193"/>
  <c r="F201" i="193" s="1"/>
  <c r="N199" i="193"/>
  <c r="N201" i="193" s="1"/>
  <c r="J7" i="62"/>
  <c r="J13" i="62" s="1"/>
  <c r="J15" i="62" s="1"/>
  <c r="H199" i="193"/>
  <c r="H201" i="193" s="1"/>
  <c r="M199" i="193"/>
  <c r="M201" i="193" s="1"/>
  <c r="G7" i="62"/>
  <c r="G13" i="62" s="1"/>
  <c r="G15" i="62" s="1"/>
  <c r="K199" i="193"/>
  <c r="K201" i="193" s="1"/>
  <c r="F7" i="62"/>
  <c r="F13" i="62" s="1"/>
  <c r="F15" i="62" s="1"/>
  <c r="G199" i="193"/>
  <c r="G201" i="193" s="1"/>
  <c r="J199" i="193"/>
  <c r="J201" i="193" s="1"/>
  <c r="E7" i="62"/>
  <c r="E13" i="62" s="1"/>
  <c r="M7" i="62"/>
  <c r="M13" i="62" s="1"/>
  <c r="M15" i="62" s="1"/>
  <c r="I7" i="62"/>
  <c r="I13" i="62" s="1"/>
  <c r="I15" i="62" s="1"/>
  <c r="H7" i="62"/>
  <c r="H13" i="62" s="1"/>
  <c r="H15" i="62" s="1"/>
  <c r="L199" i="193"/>
  <c r="L201" i="193" s="1"/>
  <c r="I199" i="193"/>
  <c r="I201" i="193" s="1"/>
  <c r="L7" i="62"/>
  <c r="L13" i="62" s="1"/>
  <c r="L15" i="62" s="1"/>
  <c r="K7" i="62"/>
  <c r="K13" i="62" s="1"/>
  <c r="K15" i="62" s="1"/>
  <c r="O199" i="193"/>
  <c r="O201" i="193" s="1"/>
  <c r="N7" i="62" l="1"/>
  <c r="N13" i="62"/>
  <c r="E15" i="62"/>
  <c r="N15" i="62" s="1"/>
</calcChain>
</file>

<file path=xl/sharedStrings.xml><?xml version="1.0" encoding="utf-8"?>
<sst xmlns="http://schemas.openxmlformats.org/spreadsheetml/2006/main" count="2736" uniqueCount="1170">
  <si>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</si>
  <si>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</si>
  <si>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</si>
  <si>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</si>
  <si>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</si>
  <si>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</si>
  <si>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</si>
  <si>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</si>
  <si>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</si>
  <si>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</si>
  <si>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</si>
  <si>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</si>
  <si>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</si>
  <si>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</si>
  <si>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</si>
  <si>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</si>
  <si>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</si>
  <si>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</si>
  <si>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</si>
  <si>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</si>
  <si>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</si>
  <si>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</si>
  <si>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</si>
  <si>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</si>
  <si>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</si>
  <si>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</si>
  <si>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</si>
  <si>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B115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</si>
  <si>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</si>
  <si>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</si>
  <si>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</si>
  <si>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</si>
  <si>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</si>
  <si>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</si>
  <si>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</si>
  <si>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</si>
  <si>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</si>
  <si>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</si>
  <si>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</si>
  <si>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</si>
  <si>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</si>
  <si>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</si>
  <si>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</si>
  <si>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</si>
  <si>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</si>
  <si>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</si>
  <si>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</si>
  <si>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</si>
  <si>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</si>
  <si>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</si>
  <si>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</si>
  <si>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</si>
  <si>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</si>
  <si>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</si>
  <si>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</si>
  <si>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</si>
  <si>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</si>
  <si>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</si>
  <si>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</si>
  <si>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</si>
  <si>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</si>
  <si>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</si>
  <si>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</si>
  <si>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</si>
  <si>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</si>
  <si>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</si>
  <si>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</si>
  <si>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</si>
  <si>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</si>
  <si>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</si>
  <si>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</si>
  <si>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</si>
  <si>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</si>
  <si>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</si>
  <si>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</si>
  <si>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</si>
  <si>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</si>
  <si>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</si>
  <si>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</si>
  <si>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</si>
  <si>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</si>
  <si>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</si>
  <si>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</si>
  <si>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</si>
  <si>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</si>
  <si>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</si>
  <si>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</si>
  <si>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</si>
  <si>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</si>
  <si>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</si>
  <si>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</si>
  <si>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</si>
  <si>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</si>
  <si>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</si>
  <si>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Működési célú költségvetési támogatások és kiegészítő támogatások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</si>
  <si>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</si>
  <si>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</si>
  <si>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</si>
  <si>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</si>
  <si>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</si>
  <si>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</si>
  <si>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</si>
  <si>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</si>
  <si>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</si>
  <si>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</si>
  <si>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</si>
  <si>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</si>
  <si>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</si>
  <si>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</si>
  <si>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</si>
  <si>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</si>
  <si>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</si>
  <si>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</si>
  <si>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</si>
  <si>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</si>
  <si>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</si>
  <si>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</si>
  <si>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</si>
  <si>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</si>
  <si>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</si>
  <si>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</si>
  <si>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</si>
  <si>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</si>
  <si>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</si>
  <si>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</si>
  <si>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</si>
  <si>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</si>
  <si>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</si>
  <si>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</si>
  <si>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</si>
  <si>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</si>
  <si>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</si>
  <si>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</si>
  <si>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</si>
  <si>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</si>
  <si>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</si>
  <si>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</si>
  <si>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</si>
  <si>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</si>
  <si>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</si>
  <si>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</si>
  <si>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</si>
  <si>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</si>
  <si>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</si>
  <si>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</si>
  <si>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</si>
  <si>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</si>
  <si>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</si>
  <si>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</si>
  <si>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</si>
  <si>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</si>
  <si>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</si>
  <si>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</si>
  <si>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</si>
  <si>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</si>
  <si>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</si>
  <si>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</si>
  <si>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</si>
  <si>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</si>
  <si>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</si>
  <si>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</si>
  <si>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</si>
  <si>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</si>
  <si>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</si>
  <si>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</si>
  <si>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</si>
  <si>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</si>
  <si>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</si>
  <si>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</si>
  <si>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</si>
  <si>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</si>
  <si>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</si>
  <si>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</si>
  <si>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</si>
  <si>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</si>
  <si>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</si>
  <si>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</si>
  <si>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</si>
  <si>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</si>
  <si>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</si>
  <si>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</si>
  <si>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</si>
  <si>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</si>
  <si>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</si>
  <si>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</si>
  <si>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</si>
  <si>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</si>
  <si>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</si>
  <si>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</si>
  <si>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</si>
  <si>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</si>
  <si>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</si>
  <si>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</si>
  <si>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</si>
  <si>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</si>
  <si>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</si>
  <si>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</si>
  <si>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</si>
  <si>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</si>
  <si>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</si>
  <si>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</si>
  <si>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</si>
  <si>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</si>
  <si>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</si>
  <si>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</si>
  <si>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</si>
  <si>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</si>
  <si>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</si>
  <si>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</si>
  <si>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</si>
  <si>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</si>
  <si>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</si>
  <si>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</si>
  <si>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</si>
  <si>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</si>
  <si>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</si>
  <si>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</si>
  <si>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</si>
  <si>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</si>
  <si>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</si>
  <si>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</si>
  <si>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</si>
  <si>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</si>
  <si>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</si>
  <si>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</si>
  <si>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</si>
  <si>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</si>
  <si>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</si>
  <si>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</si>
  <si>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</si>
  <si>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</si>
  <si>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</si>
  <si>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</si>
  <si>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</si>
  <si>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</si>
  <si>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</si>
  <si>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</si>
  <si>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</si>
  <si>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EcoSmartCities Interreg HU-HR projekt</t>
  </si>
  <si>
    <t xml:space="preserve"> -  Hotelfejlesztés engedélyes és kiviteli terveinek elkészítéséhez támogatás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</si>
  <si>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</si>
  <si>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</si>
  <si>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</si>
  <si>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</si>
  <si>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</si>
  <si>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</si>
  <si>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</si>
  <si>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TOP 6.1.4-16-ZL1-2017-00001 Alsóerdő komplex turisztikai fejlesztése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</si>
  <si>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</si>
  <si>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</si>
  <si>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</si>
  <si>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</si>
  <si>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</si>
  <si>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</si>
  <si>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</si>
  <si>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</si>
  <si>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</si>
  <si>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KEHOP-1.2.1-18-2018-00024 ZMJV helyi klímastratégiájának kidolgozása, helyi klímatudatosságot erősítő szemléletformálás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</si>
  <si>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</si>
  <si>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</si>
  <si>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</si>
  <si>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</si>
  <si>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</si>
  <si>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</si>
  <si>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</si>
  <si>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</si>
  <si>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</si>
  <si>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</si>
  <si>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</si>
  <si>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</si>
  <si>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</si>
  <si>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</si>
  <si>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</si>
  <si>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</si>
  <si>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</si>
  <si>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</si>
  <si>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</si>
  <si>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</si>
  <si>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</si>
  <si>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</si>
  <si>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</si>
  <si>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</si>
  <si>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</si>
  <si>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</si>
  <si>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</si>
  <si>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</si>
  <si>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</si>
  <si>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</si>
  <si>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</si>
  <si>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</si>
  <si>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</si>
  <si>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</si>
  <si>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</si>
  <si>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</si>
  <si>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</si>
  <si>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</si>
  <si>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</si>
  <si>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</si>
  <si>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</si>
  <si>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</si>
  <si>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</si>
  <si>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</si>
  <si>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</si>
  <si>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</si>
  <si>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</si>
  <si>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</si>
  <si>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</si>
  <si>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</si>
  <si>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</si>
  <si>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</si>
  <si>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</si>
  <si>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</si>
  <si>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</si>
  <si>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</si>
  <si>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</si>
  <si>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</si>
  <si>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</si>
  <si>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</si>
  <si>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</si>
  <si>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</si>
  <si>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</si>
  <si>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</si>
  <si>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</si>
  <si>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</si>
  <si>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</si>
  <si>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</si>
  <si>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</si>
  <si>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</si>
  <si>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</si>
  <si>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</si>
  <si>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</si>
  <si>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</si>
  <si>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</si>
  <si>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</si>
  <si>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</si>
  <si>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</si>
  <si>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</si>
  <si>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</si>
  <si>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</si>
  <si>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</si>
  <si>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</si>
  <si>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</si>
  <si>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</si>
  <si>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</si>
  <si>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</si>
  <si>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</si>
  <si>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</si>
  <si>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</si>
  <si>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</si>
  <si>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</si>
  <si>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</si>
  <si>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</si>
  <si>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</si>
  <si>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</si>
  <si>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</si>
  <si>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</si>
  <si>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</si>
  <si>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</si>
  <si>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</si>
  <si>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</si>
  <si>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</si>
  <si>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</si>
  <si>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</si>
  <si>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</si>
  <si>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</si>
  <si>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</si>
  <si>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</si>
  <si>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</si>
  <si>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</si>
  <si>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</si>
  <si>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</si>
  <si>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</si>
  <si>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</si>
  <si>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</si>
  <si>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</si>
  <si>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</si>
  <si>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</si>
  <si>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</si>
  <si>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</si>
  <si>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</si>
  <si>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</si>
  <si>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</si>
  <si>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</si>
  <si>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</si>
  <si>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</si>
  <si>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</si>
  <si>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</si>
  <si>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</si>
  <si>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</si>
  <si>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</si>
  <si>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</si>
  <si>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</si>
  <si>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</si>
  <si>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</si>
  <si>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</si>
  <si>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</si>
  <si>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</si>
  <si>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</si>
  <si>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</si>
  <si>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</si>
  <si>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</si>
  <si>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</si>
  <si>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</si>
  <si>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</si>
  <si>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</si>
  <si>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</si>
  <si>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</si>
  <si>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</si>
  <si>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</si>
  <si>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</si>
  <si>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</si>
  <si>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</si>
  <si>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</si>
  <si>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</si>
  <si>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</si>
  <si>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</si>
  <si>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</si>
  <si>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</si>
  <si>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</si>
  <si>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</si>
  <si>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</si>
  <si>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</si>
  <si>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</si>
  <si>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</si>
  <si>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</si>
  <si>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</si>
  <si>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</si>
  <si>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</si>
  <si>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</si>
  <si>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</si>
  <si>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</si>
  <si>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</si>
  <si>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</si>
  <si>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</si>
  <si>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</si>
  <si>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</si>
  <si>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</si>
  <si>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>6.a/4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</si>
  <si>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</si>
  <si>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</si>
  <si>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</si>
  <si>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</si>
  <si>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</si>
  <si>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</si>
  <si>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</si>
  <si>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</si>
  <si>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</si>
  <si>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</si>
  <si>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</si>
  <si>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</si>
  <si>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</si>
  <si>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</si>
  <si>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</si>
  <si>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</si>
  <si>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</si>
  <si>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</si>
  <si>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</si>
  <si>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</si>
  <si>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</si>
  <si>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</si>
  <si>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</si>
  <si>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</si>
  <si>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</si>
  <si>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</si>
  <si>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</si>
  <si>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</si>
  <si>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</si>
  <si>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</si>
  <si>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</si>
  <si>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</si>
  <si>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</si>
  <si>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</si>
  <si>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</si>
  <si>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</si>
  <si>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</si>
  <si>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</si>
  <si>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</si>
  <si>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</si>
  <si>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</si>
  <si>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</si>
  <si>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</si>
  <si>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</si>
  <si>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</si>
  <si>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</si>
  <si>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</si>
  <si>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</si>
  <si>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</si>
  <si>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</si>
  <si>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</si>
  <si>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</si>
  <si>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</si>
  <si>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</si>
  <si>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</si>
  <si>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</si>
  <si>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</si>
  <si>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</si>
  <si>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</si>
  <si>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</si>
  <si>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</si>
  <si>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</si>
  <si>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</si>
  <si>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</si>
  <si>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</si>
  <si>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</si>
  <si>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</si>
  <si>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</si>
  <si>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</si>
  <si>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</si>
  <si>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</si>
  <si>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</si>
  <si>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</si>
  <si>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</si>
  <si>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</si>
  <si>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</si>
  <si>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</si>
  <si>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</si>
  <si>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</si>
  <si>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</si>
  <si>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</si>
  <si>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</si>
  <si>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</si>
  <si>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</si>
  <si>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</si>
  <si>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1.a/3</t>
  </si>
  <si>
    <t>Ságodi patak rendezése</t>
  </si>
  <si>
    <t>1.a/4</t>
  </si>
  <si>
    <t>Csapadékvízelvezetéssel, vízrendezésekkel kapcsolatos tervezési díjak</t>
  </si>
  <si>
    <t>1.a/5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</si>
  <si>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</si>
  <si>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</si>
  <si>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</si>
  <si>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</si>
  <si>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</si>
  <si>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</si>
  <si>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</si>
  <si>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</si>
  <si>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</si>
  <si>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</si>
  <si>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Zala utca parkoló építése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</si>
  <si>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</si>
  <si>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</si>
  <si>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</si>
  <si>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</si>
  <si>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</si>
  <si>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</si>
  <si>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</si>
  <si>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</si>
  <si>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</si>
  <si>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</si>
  <si>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</si>
  <si>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</si>
  <si>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</si>
  <si>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</si>
  <si>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</si>
  <si>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</si>
  <si>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</si>
  <si>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</si>
  <si>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</si>
  <si>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</si>
  <si>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</si>
  <si>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</si>
  <si>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</si>
  <si>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</si>
  <si>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</si>
  <si>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</si>
  <si>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</si>
  <si>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</si>
  <si>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</si>
  <si>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</si>
  <si>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</si>
  <si>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</si>
  <si>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</si>
  <si>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</si>
  <si>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</si>
  <si>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</si>
  <si>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</si>
  <si>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</si>
  <si>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</si>
  <si>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</si>
  <si>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</si>
  <si>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</si>
  <si>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</si>
  <si>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</si>
  <si>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</si>
  <si>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</si>
  <si>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</si>
  <si>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</si>
  <si>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</si>
  <si>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</si>
  <si>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</si>
  <si>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</si>
  <si>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Előtervezések magasépítési feladatokhoz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</si>
  <si>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</si>
  <si>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</si>
  <si>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</si>
  <si>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</si>
  <si>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</si>
  <si>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</si>
  <si>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</si>
  <si>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</si>
  <si>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</si>
  <si>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</si>
  <si>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</si>
  <si>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</si>
  <si>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</si>
  <si>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10./1.a./12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</si>
  <si>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</si>
  <si>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</si>
  <si>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</si>
  <si>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</si>
  <si>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</si>
  <si>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</si>
  <si>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</si>
  <si>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</si>
  <si>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</si>
  <si>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</si>
  <si>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</si>
  <si>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</si>
  <si>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</si>
  <si>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</si>
  <si>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</si>
  <si>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</si>
  <si>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</si>
  <si>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</si>
  <si>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</si>
  <si>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</si>
  <si>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</si>
  <si>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</si>
  <si>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</si>
  <si>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</si>
  <si>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</si>
  <si>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</si>
  <si>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</si>
  <si>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Egyéb stratégiai feladat</t>
  </si>
  <si>
    <t xml:space="preserve"> Hotelfejlesztés engedélyes és kiviteli terveinek elkészítéséhez támogatás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</si>
  <si>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</si>
  <si>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</si>
  <si>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</si>
  <si>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</si>
  <si>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</si>
  <si>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</si>
  <si>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</si>
  <si>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</si>
  <si>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</si>
  <si>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</si>
  <si>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</si>
  <si>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</si>
  <si>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</si>
  <si>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</si>
  <si>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</si>
  <si>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</si>
  <si>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</si>
  <si>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</si>
  <si>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</si>
  <si>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</si>
  <si>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</si>
  <si>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</si>
  <si>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</si>
  <si>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</si>
  <si>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</si>
  <si>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</si>
  <si>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</si>
  <si>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</si>
  <si>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</si>
  <si>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</si>
  <si>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</si>
  <si>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</si>
  <si>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</si>
  <si>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</si>
  <si>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</si>
  <si>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</si>
  <si>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</si>
  <si>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</si>
  <si>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</si>
  <si>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</si>
  <si>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</si>
  <si>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</si>
  <si>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</si>
  <si>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</si>
  <si>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</si>
  <si>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</si>
  <si>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</si>
  <si>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</si>
  <si>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</si>
  <si>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</si>
  <si>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</si>
  <si>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</si>
  <si>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</si>
  <si>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</si>
  <si>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</si>
  <si>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</si>
  <si>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</si>
  <si>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</si>
  <si>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</si>
  <si>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</si>
  <si>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</si>
  <si>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</si>
  <si>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</si>
  <si>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</si>
  <si>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</si>
  <si>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</si>
  <si>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</si>
  <si>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</si>
  <si>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</si>
  <si>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</si>
  <si>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</si>
  <si>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</si>
  <si>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</si>
  <si>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</si>
  <si>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</si>
  <si>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</si>
  <si>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</si>
  <si>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</si>
  <si>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</si>
  <si>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</si>
  <si>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</si>
  <si>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</si>
  <si>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</si>
  <si>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</si>
  <si>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</si>
  <si>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</si>
  <si>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</si>
  <si>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</si>
  <si>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</si>
  <si>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</si>
  <si>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</si>
  <si>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</si>
  <si>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</si>
  <si>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</si>
  <si>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</si>
  <si>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</si>
  <si>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</si>
  <si>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</si>
  <si>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</si>
  <si>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</si>
  <si>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</si>
  <si>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</si>
  <si>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</si>
  <si>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>Dózsa Iskola C+ tornaterem elektromos hálózatfejlesztés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</si>
  <si>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</si>
  <si>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</si>
  <si>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</si>
  <si>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</si>
  <si>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</si>
  <si>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</si>
  <si>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</si>
  <si>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</si>
  <si>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 xml:space="preserve"> -TOP-7.1.1-16-H-ESZA-2019-01185 Interaktív történelmi séták Zalaegerszegen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</si>
  <si>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</si>
  <si>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</si>
  <si>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</si>
  <si>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</si>
  <si>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</si>
  <si>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</si>
  <si>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t xml:space="preserve"> - Gébárti tó környezetének rendbetétele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</si>
  <si>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</si>
  <si>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</si>
  <si>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Vízelvezetési problémák megoldása Botfán</t>
  </si>
  <si>
    <t>Városi hidak hídfővizsgálatai</t>
  </si>
  <si>
    <t>Petőfi utca járdafelújítás</t>
  </si>
  <si>
    <t>Pálóczi Horváth Ádám utca járdafelújítás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</si>
  <si>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</si>
  <si>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</si>
  <si>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</si>
  <si>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</si>
  <si>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</si>
  <si>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</si>
  <si>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</si>
  <si>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</si>
  <si>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</si>
  <si>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8./1.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</si>
  <si>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</si>
  <si>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</si>
  <si>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</si>
  <si>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</si>
  <si>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</si>
  <si>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</si>
  <si>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Stratégiai előkészítő feladatok</t>
  </si>
  <si>
    <t>Területvásárlások a TOP 6.1.1-16 Zalaegerszegi logisztikai Központ projekthez és egyéb fejlesztésekhez</t>
  </si>
  <si>
    <t xml:space="preserve"> - ZALAZONE terület értékesítés és művelési ágból történő kivonás</t>
  </si>
  <si>
    <t xml:space="preserve"> - Városfejlesztő Zrt. működési kiadása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</si>
  <si>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</si>
  <si>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</si>
  <si>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</si>
  <si>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</si>
  <si>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</si>
  <si>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</si>
  <si>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</si>
  <si>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</si>
  <si>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</si>
  <si>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</si>
  <si>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</si>
  <si>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</si>
  <si>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</si>
  <si>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</si>
  <si>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</si>
  <si>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</si>
  <si>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</si>
  <si>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</si>
  <si>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</si>
  <si>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</si>
  <si>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</si>
  <si>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</si>
  <si>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</si>
  <si>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</si>
  <si>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</si>
  <si>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</si>
  <si>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</si>
  <si>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</si>
  <si>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</si>
  <si>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</si>
  <si>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</si>
  <si>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</si>
  <si>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</si>
  <si>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</si>
  <si>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</si>
  <si>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</si>
  <si>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</si>
  <si>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</si>
  <si>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</si>
  <si>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</si>
  <si>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</si>
  <si>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</si>
  <si>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</si>
  <si>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</si>
  <si>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</si>
  <si>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Helyi önkormányzatok általános működésének és ágazati feladatainak állami támogatása</t>
  </si>
  <si>
    <t xml:space="preserve"> - kamatmentes hitelek és kölcsön  törlesztéséből  Lakásalap</t>
  </si>
  <si>
    <t>10./4.a/4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</si>
  <si>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</si>
  <si>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</si>
  <si>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</si>
  <si>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</si>
  <si>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</si>
  <si>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</si>
  <si>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</si>
  <si>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</si>
  <si>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</si>
  <si>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</si>
  <si>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</si>
  <si>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</si>
  <si>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</si>
  <si>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</si>
  <si>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</si>
  <si>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 xml:space="preserve"> - Zalaegerszegi amatőr kórusok és gyeremekkórus találkozó támogatása EMT-TE-B-A-21-0516</t>
  </si>
  <si>
    <t xml:space="preserve"> - Zala Megyei  Diáksport Szövetség támogatása</t>
  </si>
  <si>
    <t>6.a/5</t>
  </si>
  <si>
    <t>6.a/6</t>
  </si>
  <si>
    <t>6.a/7</t>
  </si>
  <si>
    <t>6.a/8</t>
  </si>
  <si>
    <t>6.a/9</t>
  </si>
  <si>
    <t>6.a/10</t>
  </si>
  <si>
    <t>6.a/11</t>
  </si>
  <si>
    <t>1.a/6</t>
  </si>
  <si>
    <t>3.a/2</t>
  </si>
  <si>
    <t>3.a/4</t>
  </si>
  <si>
    <t>Kiseredei úti temető locsoló- és tüzivízvezeték felújítása</t>
  </si>
  <si>
    <t>4.a/18</t>
  </si>
  <si>
    <t>Parkolóépítés parkolómegváltás bevételéből</t>
  </si>
  <si>
    <t>Platán sor 16. és Gasparich M.u. 13. előtti járdaszakasz felújítási munkái</t>
  </si>
  <si>
    <t>Rákóczi F.utca félpályás felújítás</t>
  </si>
  <si>
    <t>Arányos városfejlesztés feladatai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</si>
  <si>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</si>
  <si>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</si>
  <si>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</si>
  <si>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</si>
  <si>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</si>
  <si>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</si>
  <si>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</si>
  <si>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</si>
  <si>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</si>
  <si>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</si>
  <si>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</si>
  <si>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</si>
  <si>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</si>
  <si>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</si>
  <si>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 xml:space="preserve">-  éves sajtófotó kiállítás </t>
  </si>
  <si>
    <t>5 db tisztán elektromos gépjármű beszerzése pályázati pénzeszközből</t>
  </si>
  <si>
    <t xml:space="preserve"> - 5 db tisztán elektromos gépjármű beszerzéséhez  pályázati támogatás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</si>
  <si>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</si>
  <si>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</si>
  <si>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</si>
  <si>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</si>
  <si>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</si>
  <si>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</si>
  <si>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10./1.a./11</t>
  </si>
  <si>
    <t>10./1.a./13</t>
  </si>
  <si>
    <t xml:space="preserve"> Új városi honlap</t>
  </si>
  <si>
    <t>E-közmű adatszolgáltatás</t>
  </si>
  <si>
    <t>Cinke park közvilágítás fejlesztés</t>
  </si>
  <si>
    <t>Zúzalékos utak felújítása</t>
  </si>
  <si>
    <t>Kertvárosi járda- és út rekonstrukció</t>
  </si>
  <si>
    <t>Botfy utcai járda aszfaltozása</t>
  </si>
  <si>
    <t>Andráshidai járdák felújítása</t>
  </si>
  <si>
    <t>Ságodi járda felújítás</t>
  </si>
  <si>
    <t>Erdész utca parkolóbővítés</t>
  </si>
  <si>
    <t>Buszvárók telepítése és felújítása</t>
  </si>
  <si>
    <t>Gasparich u. 26. háziorvosi rendelő akadálymentes vizesblokk kialakítása</t>
  </si>
  <si>
    <t>Termál medence felújítása (felnőtt medence)</t>
  </si>
  <si>
    <t>Aquacity hullámmedence hátfal mergerősítése</t>
  </si>
  <si>
    <t>Szenterzsébethegyi közösségi tér bővítése vizesblokkal</t>
  </si>
  <si>
    <t>Kölcsey Gimnázium menekülő kapu</t>
  </si>
  <si>
    <t>Előtervezések út- és közműépítési feladatokhoz (KKVP és ARF)</t>
  </si>
  <si>
    <t>Műszaki ellenőrzések KKVP-hoz kapcsolódóan</t>
  </si>
  <si>
    <t>Kelemen I.-Arany J. u.csapadékvízelvezető rsz. tervezés</t>
  </si>
  <si>
    <t>Öveges u. csapadék rendezés tervezés</t>
  </si>
  <si>
    <t>Ipari park átkötő járda</t>
  </si>
  <si>
    <t xml:space="preserve">  - Pózváért Alapítvány támogatása</t>
  </si>
  <si>
    <t xml:space="preserve">2.3.2.2. Megyei hatáskörű városi könyvtárak feladatainak támogatása  (Deák Ferenc Megyei és Városi  Könyvtár) </t>
  </si>
  <si>
    <t>2.3.2.1. Megyei hatókörű városi múzeumok feladatainak támogatása (Göcseji Múzeum)</t>
  </si>
  <si>
    <t>TOP projektek</t>
  </si>
  <si>
    <t xml:space="preserve"> - ZALA-Müllex Kft.által 2022. évre fizetett haszn. díj </t>
  </si>
  <si>
    <t>Bozsok-völgyi u.bevezető szakaszának aszfaltozása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</si>
  <si>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</si>
  <si>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</si>
  <si>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</si>
  <si>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>Idősotthon rámpa kialakítás tervezés</t>
  </si>
  <si>
    <t xml:space="preserve"> - ünnepi díszkivilágítás szerelés, elromlott sorok javítása, karbantartása</t>
  </si>
  <si>
    <t>Bazitai óvoda felújítás tervezés</t>
  </si>
  <si>
    <t>TOP Plussz-1.3-1-21 Fenntartható városfejlesztési stratégiák támogatása</t>
  </si>
  <si>
    <t xml:space="preserve"> - ZTE FC Zrt.  és  Zeg-i Élménypark Kft.támogatása 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</si>
  <si>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</si>
  <si>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</si>
  <si>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</si>
  <si>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</si>
  <si>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</si>
  <si>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</si>
  <si>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</si>
  <si>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</si>
  <si>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</si>
  <si>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</si>
  <si>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>045160 Közutak, hidak, alagutak üzemeltetése, fenntartása</t>
  </si>
  <si>
    <t>B55</t>
  </si>
  <si>
    <t>Részesedések megszűnéséhez kapcsolódó bevételek</t>
  </si>
  <si>
    <t xml:space="preserve"> - "Zöld busz mintaprojekt"</t>
  </si>
  <si>
    <t>Műfüves sportpályák felújítása</t>
  </si>
  <si>
    <t>2023. évi  eredeti előirányzat</t>
  </si>
  <si>
    <t>2023. évi  módosított előirányzat</t>
  </si>
  <si>
    <t>2023. évi eredeti előirányzat</t>
  </si>
  <si>
    <t>2023. évi módosított előirányzat</t>
  </si>
  <si>
    <t>2023. bevétel eredeti előirányzata</t>
  </si>
  <si>
    <t xml:space="preserve">2023. bevétel módosított előirányzata 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</si>
  <si>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</si>
  <si>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</si>
  <si>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</si>
  <si>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</si>
  <si>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>2.3.3. Települési önkormányzatok kulturális feladatainak bérjellegű támogatása</t>
  </si>
  <si>
    <t>2.1.9. 10.000 lakos feletti önkormányzatok energiaáremelkedés miatti támogatása</t>
  </si>
  <si>
    <t xml:space="preserve"> - Andráshidai mini bölcsőde építése RRF-1.1.2-21-2022-00019</t>
  </si>
  <si>
    <t xml:space="preserve"> - Zalaegerszegi Sport és Tanuszoda műk.  támogatása a Honvédelmi Minisztériumtól</t>
  </si>
  <si>
    <t>TOP-6.8.2-15-ZL1-2016-00001 A vállalkozások igényeire alapuló foglalkoztatás-fejlesztési program Zalaegerszeg Megyei Jogú Városban (Foglalkoztatási paktum)</t>
  </si>
  <si>
    <t xml:space="preserve"> - TOP Plussz-1.3-1-21 Fenntartható városfejlesztési stratégiák támogatása</t>
  </si>
  <si>
    <t xml:space="preserve"> - TOP Plusz --1.3-1-21 FVS TVP projekt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</si>
  <si>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</si>
  <si>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</si>
  <si>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termálhő szolgáltatás megvalósítása érdekében tervezés, előkészítés</t>
  </si>
  <si>
    <t xml:space="preserve"> - Északi Ipari park infrastuktúra fejlesztésével összefüggő közműfejlesztések és közműcsatlakozások - csapadékvíz biztonságos kezelése</t>
  </si>
  <si>
    <t xml:space="preserve"> - ZalaZone Tudományos és Innovációs Park</t>
  </si>
  <si>
    <t xml:space="preserve"> -Reptér hasznosítása Drónmotive projekthez kapcsolódóan</t>
  </si>
  <si>
    <t xml:space="preserve"> - ZALA-Müllex Kft.által fizetett díj </t>
  </si>
  <si>
    <t xml:space="preserve"> - bérlakásértékesítés</t>
  </si>
  <si>
    <t xml:space="preserve"> - 2022. évi maradvány igénybevétele áthúzódó és új feladatokhoz</t>
  </si>
  <si>
    <t xml:space="preserve">  - energiaár emelkedés kompenzációjára</t>
  </si>
  <si>
    <t xml:space="preserve">    - minimálbér és pedagógus ágazati pótlék  emelkedés várható kopmenzációja</t>
  </si>
  <si>
    <t xml:space="preserve">   - kulturális ágazatban foglalkoztatottak 2020. évi bérfejlesztésének hatása</t>
  </si>
  <si>
    <t xml:space="preserve"> - várható további állami kompenzáció </t>
  </si>
  <si>
    <t xml:space="preserve">    - gázártámogatás</t>
  </si>
  <si>
    <t xml:space="preserve"> - villamosenergia támogatás</t>
  </si>
  <si>
    <t>2022. évről áthúzódó feladat</t>
  </si>
  <si>
    <t xml:space="preserve">-  Éves sajtófotó kiállítás </t>
  </si>
  <si>
    <t xml:space="preserve"> - Városi farsang</t>
  </si>
  <si>
    <t>Iskolai, óvodai sportpályák felújítása</t>
  </si>
  <si>
    <t>Petőfi Sándor Általános Iskola tetőfelújítása</t>
  </si>
  <si>
    <t>Csány L. SZKI eszközbeszerzés támogatása</t>
  </si>
  <si>
    <t>Andráshidai mini bölcsőde építése RRF-1.1.2-21-2022-00019</t>
  </si>
  <si>
    <t>6.a/12</t>
  </si>
  <si>
    <t xml:space="preserve"> - Falumúzeum Malom tó és holtágak helyreálítása VÜCS</t>
  </si>
  <si>
    <t xml:space="preserve"> - fedett fürdő jegyár kompenzáció</t>
  </si>
  <si>
    <t>Erdész u. új buszmegállóhoz csapadékvízelvezető rendszer átépítése</t>
  </si>
  <si>
    <t>Kosztolányi út közműépítés műszaki ellenőrzése</t>
  </si>
  <si>
    <t>Zöld Busz mintaprojekthez kapcsolódóan autóbuszmegállóhelyek létesítése</t>
  </si>
  <si>
    <t>Szennyvíztelep fejlesztésének tervezése</t>
  </si>
  <si>
    <t>Geotermikus rendszer tervezése</t>
  </si>
  <si>
    <t>Munkácsy u. 1. felújítás</t>
  </si>
  <si>
    <t>Lakossági LED-csere program</t>
  </si>
  <si>
    <t>Energiaválság csökkentő beruházások</t>
  </si>
  <si>
    <t>TOP Plusz --1.3-1-21 FVS TVP projekt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</si>
  <si>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</si>
  <si>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</si>
  <si>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</si>
  <si>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</si>
  <si>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</si>
  <si>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</si>
  <si>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10./2.a/5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</si>
  <si>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</si>
  <si>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</si>
  <si>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termálhő szolgáltatás megvalósítása érdekében tervezés, előkészítés</t>
  </si>
  <si>
    <t xml:space="preserve"> Északi Ipari park infrastuktúra fejlesztésével összefüggő közműfejlesztések és közműcsatlakozások - csapadékvíz biztonságos kezelése</t>
  </si>
  <si>
    <t>10./3.a/7</t>
  </si>
  <si>
    <t>10./3.a/8</t>
  </si>
  <si>
    <t>10./4./1.</t>
  </si>
  <si>
    <t>Ipari Park bővítés Városfejlesztő  Zrt. lebonyolításában</t>
  </si>
  <si>
    <t xml:space="preserve"> - Kertvárosi posta hivatal újranyitásának költségei</t>
  </si>
  <si>
    <t xml:space="preserve"> - 2022. évi állami hozzájárulás elszámolása </t>
  </si>
  <si>
    <t xml:space="preserve"> - 2023. évi állami hozzájárulás 0. havi előleg visszafizetése </t>
  </si>
  <si>
    <t xml:space="preserve"> - Hevesi S. Színház részére visszatérítendő támogatás</t>
  </si>
  <si>
    <t xml:space="preserve"> - Kárpátaljai humanitárius segítségnyújtás (MJVSZ)</t>
  </si>
  <si>
    <t xml:space="preserve"> -Zalaegerszegi  Adományközpont Alapítvány támogatása</t>
  </si>
  <si>
    <t>Energiaáremelkedés többletkiadásaira céltartalék</t>
  </si>
  <si>
    <t>Szociális céltartalék</t>
  </si>
  <si>
    <t xml:space="preserve"> Metrans területértékesítés bevételének elkülönítése</t>
  </si>
  <si>
    <t>Barényi u. értékesítéséből származó bevétel elkülönítése</t>
  </si>
  <si>
    <t xml:space="preserve"> - Zalavolán Női Kosárlabda Klub Kft.támogatása</t>
  </si>
  <si>
    <t xml:space="preserve">1.2.1.1. Óvodaműködtetési támogatás  kiegészítőtámogatás a  68/2023. (III.10.) Korm.rendelet alapján </t>
  </si>
  <si>
    <t xml:space="preserve">1.2.2.1. Az óvodában foglalkoztatott pedagógusok átlagbéralapú támogatása kiegészítő támogatás a  68/2023. (III.10.) Korm.rendelet alapján </t>
  </si>
  <si>
    <t xml:space="preserve">     1.2.3.1.1.1.1. Pedagógus II. kategóriába sorolt pedagógusok kiegészítő támogatása 68/2023. (III.10.) Korm.rendelet alapján </t>
  </si>
  <si>
    <t xml:space="preserve">     1.2.3.1.1.1.2. Mesterpedagógus, kutatótanár kategóriába sorolt pedagógusok kiegészítő támogatása 68/2023. (III.10.) Korm.rendelet alapján </t>
  </si>
  <si>
    <t xml:space="preserve">    1.2.3.1.1.2.1. Mesterfokozatú végzettségű pedagógus II.kategóriába sorolt pedagógusok kiegészítő támogatása 68/2023. (III.10.) Korm.rendelet alapján </t>
  </si>
  <si>
    <t xml:space="preserve">1.2.5.1.1. Az óvodában foglalkoztatott pedagógusok nevelőmunkáját közvetlenük segítők átlagbéralapú támogatása 68/2023. (III.10.) Korm.rendelet alapján </t>
  </si>
  <si>
    <t xml:space="preserve">1.3.2.1. Család és gyermekjóléti szolgálat 68/2023. (III.10.) Korm.rendelet alapján </t>
  </si>
  <si>
    <t xml:space="preserve">1.3.2.2. Család- és gyermekjóléti központ ( járáshoz tartozó összes településre) 68/2023. (III.10.) Korm.rendelet alapján </t>
  </si>
  <si>
    <t xml:space="preserve">                1.3.2.4.3. Személyi gondozás - társulás által történő feladatellátás a 68/2023. (III.10.) Korm.rendelet alapján </t>
  </si>
  <si>
    <t xml:space="preserve">1.3.2.6. Időskorúak nappali intézményi  ellátása társulás által történő feladatellátás a 68/2023. (III.10.) Korm.rendelet alapján </t>
  </si>
  <si>
    <t xml:space="preserve">1.3.2.8.2. Demens személyek nappali intézményi ellátása - társulás által történő feladatellátás a 68/2023. (III.10.) Korm.rendelet alapján </t>
  </si>
  <si>
    <t xml:space="preserve">1.3.2.9.2.  Pszichiátriai betegek nappali intézményi ellátása - társulás által történő feladatellátás a 68/2023. (III.10.) Korm.rendelet alapján </t>
  </si>
  <si>
    <t xml:space="preserve">1.3.2.10.2.  Szenvedélybetegek nappali intézményi ellátása - társulás által történő feladatellátás a 68/2023. (III.10.) Korm.rendelet alapján </t>
  </si>
  <si>
    <t xml:space="preserve">        1.3.3.1.1. Felsőfokú végzettségű kisgyermeknevelők, szaktanácsadók bértámogatása a 68/2023. (III.10.) Korm.rendelet alapján </t>
  </si>
  <si>
    <t xml:space="preserve">        1.3.3.1.2. Bölcsődei dajkák,középfokú végzettségű kisgyermeknevelők, szaktanácsadók bértámogatása a 68/2023. (III.10.) Korm.rendelet alapján </t>
  </si>
  <si>
    <t xml:space="preserve">1.3.4.1 Bértámogatása a 68/2023. (III.10.) Korm.rendelet alapján </t>
  </si>
  <si>
    <t xml:space="preserve">1.4.1.1. Intézményi gyermekétkeztetés bértámogatás a 68/2023. (III.10.) Korm.rendelet alapján </t>
  </si>
  <si>
    <t xml:space="preserve">2.2.3. Óvodai és iskolai szociális segítő tevékenység támogatása a 68/2023. (III.10.) Korm.rendelet alapján </t>
  </si>
  <si>
    <t xml:space="preserve">Kulturális területen biztosítandó kiegészítő támogatás a 68/2023. (III.10.) Korm.rendelet alapján </t>
  </si>
  <si>
    <t>2. 2.22 Szociális ágazati összevont pótlék és egészségügyi kiegészítő pótlék</t>
  </si>
  <si>
    <t xml:space="preserve">1.1.1.1. önkormányzati hivatal működésének támogatása - elismert hivatali létszám alapján   kiegészítő támogatás a  68/2023. (III.10.)Korm.rendelet alapján                 </t>
  </si>
  <si>
    <t xml:space="preserve">1.3.2.3.2. Szociális étkeztetés - társulás által történő feladatellátás kiegészítő támogatás a  68/2023. (III.10.)Korm.rendelet alapján </t>
  </si>
  <si>
    <t xml:space="preserve"> - Gébárti kemping földhasználat, fedett fürdő földhasználat</t>
  </si>
  <si>
    <t>151909</t>
  </si>
  <si>
    <t xml:space="preserve">    - villamosenergia támogatás</t>
  </si>
  <si>
    <t>1./1.</t>
  </si>
  <si>
    <t xml:space="preserve">              Óvodák </t>
  </si>
  <si>
    <t>1./1.1.</t>
  </si>
  <si>
    <t>Radnóti utcai óvoda kerítés felújítása</t>
  </si>
  <si>
    <t>3./1.</t>
  </si>
  <si>
    <t>10./3./1.</t>
  </si>
  <si>
    <t>1./2.</t>
  </si>
  <si>
    <t xml:space="preserve">             Általános iskolák</t>
  </si>
  <si>
    <t>1./2/1</t>
  </si>
  <si>
    <t>Ady Iskola fűtéskorszerűsítés</t>
  </si>
  <si>
    <t>2./1.</t>
  </si>
  <si>
    <t>Órakiállítás a Göcseji Múzeumban</t>
  </si>
  <si>
    <t>4./6</t>
  </si>
  <si>
    <t>Vizslaparki út 36-44. házszámok előtti útfelújítás</t>
  </si>
  <si>
    <t>Aquacity és egyéb gébárti létesítmények felújítása</t>
  </si>
  <si>
    <t xml:space="preserve"> - Pénzeszköz átadás a Besenyő a 2000-es Években Alapítvány részére a zalabesenyői közösségi ház fenntartására</t>
  </si>
  <si>
    <t xml:space="preserve"> - Zalaegerszegi Kétkerék SE támogatása</t>
  </si>
  <si>
    <t xml:space="preserve"> - Zalaegerszegi Rendezvényszervező Kft. működési támogatásból visszafizetés</t>
  </si>
  <si>
    <t xml:space="preserve"> - Vízelvezetési problémák megoldása Botfán</t>
  </si>
  <si>
    <t>154103</t>
  </si>
  <si>
    <t xml:space="preserve"> - EIT Urban Mobility projekt</t>
  </si>
  <si>
    <t xml:space="preserve"> - Önkormányzat tulajdonában lévő mintegy 20 db bérlakás   teljes vagy részleges  felújítása, korszerűsítése  (Lakásalap)</t>
  </si>
  <si>
    <t xml:space="preserve"> - intézményi elvonás maradvány terhére</t>
  </si>
  <si>
    <t>2./2.</t>
  </si>
  <si>
    <t>KEHOP nem támogatott munkarészek</t>
  </si>
  <si>
    <t>9./4.</t>
  </si>
  <si>
    <t>Vízelőkészítő gépház és kutak felújítása</t>
  </si>
  <si>
    <t>9./5.</t>
  </si>
  <si>
    <t>Andráshidai közösségi ház felújítása</t>
  </si>
  <si>
    <t>10./3./2.</t>
  </si>
  <si>
    <t>EIT Urban Mobility projekt</t>
  </si>
  <si>
    <t xml:space="preserve"> - ingatlanok bontása (Lakásalap)</t>
  </si>
  <si>
    <t xml:space="preserve"> - 2022. évi mutatószámok elszámolásából eredő  intézményi póttámogatás</t>
  </si>
  <si>
    <t>4./7.</t>
  </si>
  <si>
    <t>Lépcsősor utcára felvezető járda felújítása</t>
  </si>
  <si>
    <t xml:space="preserve"> - II. számú vegyes fogorvosi körzet finanszírozása</t>
  </si>
  <si>
    <t>9./6.</t>
  </si>
  <si>
    <t>Vásárcsarnok szellőzés</t>
  </si>
  <si>
    <t xml:space="preserve">Társasházi LED csere program </t>
  </si>
  <si>
    <t>4./2.</t>
  </si>
  <si>
    <t>Sportcsarnok parketta csere tervezés</t>
  </si>
  <si>
    <t>4./8.</t>
  </si>
  <si>
    <t>Vizslaparki u. 31. sz. társasháznál gépjárműmegállók számának növelése</t>
  </si>
  <si>
    <t xml:space="preserve"> - Tűzkárosultak támogatása</t>
  </si>
  <si>
    <t xml:space="preserve">2. </t>
  </si>
  <si>
    <t>Tűzkárosultak támogatása</t>
  </si>
  <si>
    <t xml:space="preserve"> - ZTE KK Kft. pótbefizetés</t>
  </si>
  <si>
    <t>018030 Támogatási célú finanszírozási műveletek</t>
  </si>
  <si>
    <t>1.2.3.2.1.1.1. Minősítést 2023. január 1-jéig történő átsorolással megszerző pedagógus II. kategóriába sorolt pedagógus</t>
  </si>
  <si>
    <t>1.2.3.2.1.1.2. Minősítést 2023. január 1-jéig történő átsorolással megszerző pedagógus II. kategóriába sorolt pedagógus  kiegészítő támogatása a 68/2023. (III.10.) Korm.rendelet alapján</t>
  </si>
  <si>
    <t>B12</t>
  </si>
  <si>
    <t>Elvonások és befizetések bevételei</t>
  </si>
  <si>
    <t>7.) Forgatási célú értékpapír vásárlás hazai forrásból átmenetileg szabad pénzeszközökből</t>
  </si>
  <si>
    <t xml:space="preserve"> - Idősek Otthona emelt szintű ellátáshoz egyszeri hozzájárulás</t>
  </si>
  <si>
    <t xml:space="preserve"> - Egerszegi adventhez befizetés</t>
  </si>
  <si>
    <t xml:space="preserve"> - közművesítési hozzájárulás</t>
  </si>
  <si>
    <t>151611</t>
  </si>
  <si>
    <t xml:space="preserve"> - cserével vegyes ingatlanszerződések</t>
  </si>
  <si>
    <t xml:space="preserve"> -felhalmozási célú pénzeszköz átvétel a MOL Nyrt-től </t>
  </si>
  <si>
    <t xml:space="preserve"> - Aquapark jótékonysági nap bevétele</t>
  </si>
  <si>
    <t xml:space="preserve"> -   egyéb szociális és egészségügyi szolgáltatás</t>
  </si>
  <si>
    <t>4./9.</t>
  </si>
  <si>
    <t>Tulipán utca járdafelújítások</t>
  </si>
  <si>
    <t>4./10.</t>
  </si>
  <si>
    <t>Csertán S.u.autóbusz megállóhely átépítése</t>
  </si>
  <si>
    <t>4./11.</t>
  </si>
  <si>
    <t>Budai völgy szegélyezési és delta aszfaltozási munkái</t>
  </si>
  <si>
    <t>4./12.</t>
  </si>
  <si>
    <t>Tölgyfa u. 23. szám előtti csapadékvíz elvezetésének kivitelezési munkái</t>
  </si>
  <si>
    <t>Zalaegerszegi Múzeumok Igazgatósága</t>
  </si>
  <si>
    <t>Felhalmozási célú pénzeszköz átadás a Z.M. Katasztrófavéd. Igazgatóság részére</t>
  </si>
  <si>
    <t xml:space="preserve"> - jótékonysági nap bevételéből Ispita Alapítvány támogatása</t>
  </si>
  <si>
    <t xml:space="preserve"> - Szenterzsébethegyi közösségi tér bővítése vizesblokkal</t>
  </si>
  <si>
    <t xml:space="preserve"> - Aquacity és egyéb gébárti létesítmények felújítása</t>
  </si>
  <si>
    <t xml:space="preserve"> - stratégiai fejlesztési feldatokhoz kapcsolódó működési kiadások</t>
  </si>
  <si>
    <t xml:space="preserve">Tankerülettel közösen megvalósítandó felújítások  </t>
  </si>
  <si>
    <t xml:space="preserve"> - Csónakázó tó magasabb szintű fenntartása, körbejárhatóság kialakítása</t>
  </si>
  <si>
    <t>4./13.</t>
  </si>
  <si>
    <t>4./14.</t>
  </si>
  <si>
    <t>Mart aszfaltos útfelújítások</t>
  </si>
  <si>
    <t>4./15.</t>
  </si>
  <si>
    <t>Járdafelújítások</t>
  </si>
  <si>
    <t>5./1.</t>
  </si>
  <si>
    <t>9./7.</t>
  </si>
  <si>
    <t>KSH épület átalakítása Hadkieg. Parancsnokság számára</t>
  </si>
  <si>
    <t xml:space="preserve">TOP és TOP Plusz projektekhez kapcsolódó többletfeladatok, nem támogatott munkarészek önk-i forrásból </t>
  </si>
  <si>
    <t xml:space="preserve"> - Deák F. Megyei és Városi Könyvtár részére ált.forgalmi adó megelőlegezés </t>
  </si>
  <si>
    <t xml:space="preserve"> - Gébárti tó hidjainak üzemeltetése</t>
  </si>
  <si>
    <t>Göcseji úti szegélycserék és járdafelújítások a Közúttal összhangban</t>
  </si>
  <si>
    <t>Egyéb áruhasználati és szolgáltatási adók ( idegenforgalmi adó)</t>
  </si>
  <si>
    <t>Egyéb közhatalmi bevételek (különféle bírságok,talajterhelési díj)</t>
  </si>
  <si>
    <t>Dr. Németh József emléktábla</t>
  </si>
  <si>
    <t>2./3.</t>
  </si>
  <si>
    <t>Tüttőssy László emléktábla</t>
  </si>
  <si>
    <t>2.3.2.4 Települési önkormányzatok könyvtári célú érdekeltségnövelő támogatása</t>
  </si>
  <si>
    <t>Göcseji Tudásközpont - Zalaegerszegi Helyi Termék Piac</t>
  </si>
  <si>
    <t xml:space="preserve"> - Kapiller Imre emléktábla</t>
  </si>
  <si>
    <t xml:space="preserve"> - Nyugdíjas Otthonházi  adományok</t>
  </si>
  <si>
    <t xml:space="preserve"> - Országos Vadpörkölt és Borfesztivál megrendezése</t>
  </si>
  <si>
    <t xml:space="preserve"> - Zegasztár</t>
  </si>
  <si>
    <t>2./4.</t>
  </si>
  <si>
    <t xml:space="preserve"> Kapiller Imre emléktábla</t>
  </si>
  <si>
    <t>Székely kapu felújítása</t>
  </si>
  <si>
    <t xml:space="preserve"> - Országos Judo verseny támogatása</t>
  </si>
  <si>
    <t>051030 Nem veszélyes (települési)hulladék vegyes (ömlesztett) begyűjtése, szállítása,átrakása</t>
  </si>
  <si>
    <t xml:space="preserve"> - Zalai Közszolgáltató Nonprafit Kft. bérleti díj</t>
  </si>
  <si>
    <t>151701</t>
  </si>
  <si>
    <t>151201</t>
  </si>
  <si>
    <t xml:space="preserve"> - állategészségügyi feladatok</t>
  </si>
  <si>
    <t>151902</t>
  </si>
  <si>
    <t xml:space="preserve"> - TOP-6.1.4-16-ZL1-2017-00003 Helyi termelői és kézműves piac kialakítása Zalaegerszegen - Göcsej Tudásközpont (nettó finansz.)</t>
  </si>
  <si>
    <t xml:space="preserve"> - Vízelőkészítő gépház és kutak felújítása</t>
  </si>
  <si>
    <t xml:space="preserve"> - Aquacity hullámmedence hátfal megerősítése</t>
  </si>
  <si>
    <t xml:space="preserve">  - MOL adomány</t>
  </si>
  <si>
    <t>kgy</t>
  </si>
  <si>
    <t xml:space="preserve"> - egyszeri nevelési juttatás</t>
  </si>
  <si>
    <t>pm</t>
  </si>
  <si>
    <t>kgy,pm</t>
  </si>
  <si>
    <t>Idősek Otthona főzőkonyha szennyvíz csövek cseréje, fürdőszoba felújítás</t>
  </si>
  <si>
    <t>Városi Hangversenyterem fűtési rendszer rekonstrukciója, tetőjavítás</t>
  </si>
  <si>
    <t>4./16.</t>
  </si>
  <si>
    <t>4./17.</t>
  </si>
  <si>
    <t>4./18.</t>
  </si>
  <si>
    <t>Batsányi János utca 15-17. szám előtt járdafelújítási és csapadékví elvezetési munkák</t>
  </si>
  <si>
    <t>Szívhegyi út útburkolat felújítása</t>
  </si>
  <si>
    <t>Domb utca járdaépítési munkái</t>
  </si>
  <si>
    <t xml:space="preserve"> Vadpörkölt Fesztivál jótékonysági bevételéből a Zeg-i Gondozási Központ támogatása</t>
  </si>
  <si>
    <t xml:space="preserve"> - Északi ipari park bővítése,vízi közművek és feltáró út építése, közvilágítása</t>
  </si>
  <si>
    <t>4./19.</t>
  </si>
  <si>
    <t>76-os főút vasúti hídjának felújítási tervezése</t>
  </si>
  <si>
    <t>10./3./3.</t>
  </si>
  <si>
    <t>Északi ipari park bővítése,vízi közművek és feltáró út építése, közvilágítása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</si>
</sst>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  <numFmt numFmtId="168" formatCode="_-* #,##0.00\ _F_t_-;\-* #,##0.00\ _F_t_-;_-* \-??\ _F_t_-;_-@_-"/>
  </numFmts>
  <fonts count="98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8"/>
      <name val="Times New Roman"/>
      <family val="1"/>
      <charset val="238"/>
    </font>
    <font>
      <sz val="9"/>
      <name val="Times New Roman"/>
      <family val="1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10"/>
      <color rgb="FFFF0000"/>
      <name val="MS Sans Serif"/>
      <family val="2"/>
      <charset val="238"/>
    </font>
  </fonts>
  <fills count="5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27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80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23" fillId="4" borderId="0" applyNumberFormat="0" applyBorder="0" applyAlignment="0" applyProtection="0"/>
    <xf numFmtId="0" fontId="61" fillId="5" borderId="0" applyNumberFormat="0" applyBorder="0" applyAlignment="0" applyProtection="0"/>
    <xf numFmtId="0" fontId="23" fillId="6" borderId="0" applyNumberFormat="0" applyBorder="0" applyAlignment="0" applyProtection="0"/>
    <xf numFmtId="0" fontId="61" fillId="7" borderId="0" applyNumberFormat="0" applyBorder="0" applyAlignment="0" applyProtection="0"/>
    <xf numFmtId="0" fontId="23" fillId="8" borderId="0" applyNumberFormat="0" applyBorder="0" applyAlignment="0" applyProtection="0"/>
    <xf numFmtId="0" fontId="61" fillId="9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2" borderId="0" applyNumberFormat="0" applyBorder="0" applyAlignment="0" applyProtection="0"/>
    <xf numFmtId="0" fontId="61" fillId="13" borderId="0" applyNumberFormat="0" applyBorder="0" applyAlignment="0" applyProtection="0"/>
    <xf numFmtId="0" fontId="23" fillId="14" borderId="0" applyNumberFormat="0" applyBorder="0" applyAlignment="0" applyProtection="0"/>
    <xf numFmtId="0" fontId="61" fillId="15" borderId="0" applyNumberFormat="0" applyBorder="0" applyAlignment="0" applyProtection="0"/>
    <xf numFmtId="0" fontId="42" fillId="4" borderId="0" applyNumberFormat="0" applyBorder="0" applyAlignment="0" applyProtection="0"/>
    <xf numFmtId="0" fontId="42" fillId="6" borderId="0" applyNumberFormat="0" applyBorder="0" applyAlignment="0" applyProtection="0"/>
    <xf numFmtId="0" fontId="42" fillId="8" borderId="0" applyNumberFormat="0" applyBorder="0" applyAlignment="0" applyProtection="0"/>
    <xf numFmtId="0" fontId="42" fillId="10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17" borderId="0" applyNumberFormat="0" applyBorder="0" applyAlignment="0" applyProtection="0"/>
    <xf numFmtId="0" fontId="61" fillId="24" borderId="0" applyNumberFormat="0" applyBorder="0" applyAlignment="0" applyProtection="0"/>
    <xf numFmtId="0" fontId="42" fillId="18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10" borderId="0" applyNumberFormat="0" applyBorder="0" applyAlignment="0" applyProtection="0"/>
    <xf numFmtId="0" fontId="42" fillId="18" borderId="0" applyNumberFormat="0" applyBorder="0" applyAlignment="0" applyProtection="0"/>
    <xf numFmtId="0" fontId="42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24" fillId="27" borderId="0" applyNumberFormat="0" applyBorder="0" applyAlignment="0" applyProtection="0"/>
    <xf numFmtId="0" fontId="62" fillId="28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2" borderId="0" applyNumberFormat="0" applyBorder="0" applyAlignment="0" applyProtection="0"/>
    <xf numFmtId="0" fontId="62" fillId="33" borderId="0" applyNumberFormat="0" applyBorder="0" applyAlignment="0" applyProtection="0"/>
    <xf numFmtId="0" fontId="43" fillId="27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2" borderId="0" applyNumberFormat="0" applyBorder="0" applyAlignment="0" applyProtection="0"/>
    <xf numFmtId="0" fontId="43" fillId="25" borderId="0" applyNumberFormat="0" applyBorder="0" applyAlignment="0" applyProtection="0"/>
    <xf numFmtId="0" fontId="43" fillId="34" borderId="0" applyNumberFormat="0" applyBorder="0" applyAlignment="0" applyProtection="0"/>
    <xf numFmtId="0" fontId="43" fillId="26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4" fillId="6" borderId="0" applyNumberFormat="0" applyBorder="0" applyAlignment="0" applyProtection="0"/>
    <xf numFmtId="0" fontId="25" fillId="14" borderId="1" applyNumberFormat="0" applyAlignment="0" applyProtection="0"/>
    <xf numFmtId="0" fontId="63" fillId="15" borderId="1" applyNumberFormat="0" applyAlignment="0" applyProtection="0"/>
    <xf numFmtId="0" fontId="45" fillId="35" borderId="1" applyNumberFormat="0" applyAlignment="0" applyProtection="0"/>
    <xf numFmtId="0" fontId="46" fillId="16" borderId="2" applyNumberFormat="0" applyAlignment="0" applyProtection="0"/>
    <xf numFmtId="0" fontId="26" fillId="0" borderId="0" applyNumberFormat="0" applyFill="0" applyBorder="0" applyAlignment="0" applyProtection="0"/>
    <xf numFmtId="0" fontId="27" fillId="0" borderId="3" applyNumberFormat="0" applyFill="0" applyAlignment="0" applyProtection="0"/>
    <xf numFmtId="0" fontId="64" fillId="0" borderId="4" applyNumberFormat="0" applyFill="0" applyAlignment="0" applyProtection="0"/>
    <xf numFmtId="0" fontId="28" fillId="0" borderId="5" applyNumberFormat="0" applyFill="0" applyAlignment="0" applyProtection="0"/>
    <xf numFmtId="0" fontId="65" fillId="0" borderId="6" applyNumberFormat="0" applyFill="0" applyAlignment="0" applyProtection="0"/>
    <xf numFmtId="0" fontId="29" fillId="0" borderId="7" applyNumberFormat="0" applyFill="0" applyAlignment="0" applyProtection="0"/>
    <xf numFmtId="0" fontId="66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16" borderId="2" applyNumberFormat="0" applyAlignment="0" applyProtection="0"/>
    <xf numFmtId="0" fontId="67" fillId="36" borderId="2" applyNumberFormat="0" applyAlignment="0" applyProtection="0"/>
    <xf numFmtId="0" fontId="4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8" fillId="8" borderId="0" applyNumberFormat="0" applyBorder="0" applyAlignment="0" applyProtection="0"/>
    <xf numFmtId="0" fontId="49" fillId="0" borderId="3" applyNumberFormat="0" applyFill="0" applyAlignment="0" applyProtection="0"/>
    <xf numFmtId="0" fontId="50" fillId="0" borderId="5" applyNumberFormat="0" applyFill="0" applyAlignment="0" applyProtection="0"/>
    <xf numFmtId="0" fontId="51" fillId="0" borderId="7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69" fillId="0" borderId="9" applyNumberFormat="0" applyFill="0" applyAlignment="0" applyProtection="0"/>
    <xf numFmtId="0" fontId="52" fillId="14" borderId="1" applyNumberFormat="0" applyAlignment="0" applyProtection="0"/>
    <xf numFmtId="0" fontId="33" fillId="37" borderId="10" applyNumberFormat="0" applyFont="0" applyAlignment="0" applyProtection="0"/>
    <xf numFmtId="0" fontId="60" fillId="38" borderId="10" applyNumberFormat="0" applyAlignment="0" applyProtection="0"/>
    <xf numFmtId="0" fontId="24" fillId="25" borderId="0" applyNumberFormat="0" applyBorder="0" applyAlignment="0" applyProtection="0"/>
    <xf numFmtId="0" fontId="62" fillId="39" borderId="0" applyNumberFormat="0" applyBorder="0" applyAlignment="0" applyProtection="0"/>
    <xf numFmtId="0" fontId="24" fillId="34" borderId="0" applyNumberFormat="0" applyBorder="0" applyAlignment="0" applyProtection="0"/>
    <xf numFmtId="0" fontId="62" fillId="40" borderId="0" applyNumberFormat="0" applyBorder="0" applyAlignment="0" applyProtection="0"/>
    <xf numFmtId="0" fontId="24" fillId="26" borderId="0" applyNumberFormat="0" applyBorder="0" applyAlignment="0" applyProtection="0"/>
    <xf numFmtId="0" fontId="62" fillId="41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" borderId="0" applyNumberFormat="0" applyBorder="0" applyAlignment="0" applyProtection="0"/>
    <xf numFmtId="0" fontId="62" fillId="42" borderId="0" applyNumberFormat="0" applyBorder="0" applyAlignment="0" applyProtection="0"/>
    <xf numFmtId="0" fontId="62" fillId="25" borderId="0" applyNumberFormat="0" applyBorder="0" applyAlignment="0" applyProtection="0"/>
    <xf numFmtId="0" fontId="62" fillId="3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2" borderId="0" applyNumberFormat="0" applyBorder="0" applyAlignment="0" applyProtection="0"/>
    <xf numFmtId="0" fontId="62" fillId="26" borderId="0" applyNumberFormat="0" applyBorder="0" applyAlignment="0" applyProtection="0"/>
    <xf numFmtId="0" fontId="34" fillId="8" borderId="0" applyNumberFormat="0" applyBorder="0" applyAlignment="0" applyProtection="0"/>
    <xf numFmtId="0" fontId="70" fillId="9" borderId="0" applyNumberFormat="0" applyBorder="0" applyAlignment="0" applyProtection="0"/>
    <xf numFmtId="0" fontId="35" fillId="35" borderId="11" applyNumberFormat="0" applyAlignment="0" applyProtection="0"/>
    <xf numFmtId="0" fontId="71" fillId="43" borderId="11" applyNumberFormat="0" applyAlignment="0" applyProtection="0"/>
    <xf numFmtId="0" fontId="53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4" fillId="44" borderId="0" applyNumberFormat="0" applyBorder="0" applyAlignment="0" applyProtection="0"/>
    <xf numFmtId="0" fontId="33" fillId="0" borderId="0"/>
    <xf numFmtId="0" fontId="60" fillId="0" borderId="0"/>
    <xf numFmtId="0" fontId="19" fillId="0" borderId="0"/>
    <xf numFmtId="0" fontId="8" fillId="0" borderId="0"/>
    <xf numFmtId="0" fontId="77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7" fillId="0" borderId="0"/>
    <xf numFmtId="0" fontId="8" fillId="0" borderId="0"/>
    <xf numFmtId="0" fontId="77" fillId="0" borderId="0"/>
    <xf numFmtId="0" fontId="7" fillId="0" borderId="0"/>
    <xf numFmtId="0" fontId="8" fillId="0" borderId="0"/>
    <xf numFmtId="0" fontId="42" fillId="37" borderId="10" applyNumberFormat="0" applyFont="0" applyAlignment="0" applyProtection="0"/>
    <xf numFmtId="0" fontId="55" fillId="35" borderId="11" applyNumberFormat="0" applyAlignment="0" applyProtection="0"/>
    <xf numFmtId="0" fontId="37" fillId="0" borderId="12" applyNumberFormat="0" applyFill="0" applyAlignment="0" applyProtection="0"/>
    <xf numFmtId="0" fontId="73" fillId="0" borderId="12" applyNumberFormat="0" applyFill="0" applyAlignment="0" applyProtection="0"/>
    <xf numFmtId="0" fontId="38" fillId="6" borderId="0" applyNumberFormat="0" applyBorder="0" applyAlignment="0" applyProtection="0"/>
    <xf numFmtId="0" fontId="74" fillId="7" borderId="0" applyNumberFormat="0" applyBorder="0" applyAlignment="0" applyProtection="0"/>
    <xf numFmtId="0" fontId="39" fillId="44" borderId="0" applyNumberFormat="0" applyBorder="0" applyAlignment="0" applyProtection="0"/>
    <xf numFmtId="0" fontId="75" fillId="45" borderId="0" applyNumberFormat="0" applyBorder="0" applyAlignment="0" applyProtection="0"/>
    <xf numFmtId="0" fontId="40" fillId="35" borderId="1" applyNumberFormat="0" applyAlignment="0" applyProtection="0"/>
    <xf numFmtId="0" fontId="76" fillId="43" borderId="1" applyNumberFormat="0" applyAlignment="0" applyProtection="0"/>
    <xf numFmtId="0" fontId="56" fillId="0" borderId="0" applyNumberFormat="0" applyFill="0" applyBorder="0" applyAlignment="0" applyProtection="0"/>
    <xf numFmtId="0" fontId="57" fillId="0" borderId="12" applyNumberFormat="0" applyFill="0" applyAlignment="0" applyProtection="0"/>
    <xf numFmtId="0" fontId="58" fillId="0" borderId="0" applyNumberFormat="0" applyFill="0" applyBorder="0" applyAlignment="0" applyProtection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4" fillId="0" borderId="0"/>
    <xf numFmtId="0" fontId="41" fillId="0" borderId="0"/>
    <xf numFmtId="0" fontId="8" fillId="0" borderId="0"/>
    <xf numFmtId="0" fontId="60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8" fontId="6" fillId="0" borderId="0" applyBorder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19" fillId="0" borderId="0"/>
    <xf numFmtId="0" fontId="77" fillId="0" borderId="0"/>
    <xf numFmtId="43" fontId="6" fillId="0" borderId="0" applyFont="0" applyFill="0" applyBorder="0" applyAlignment="0" applyProtection="0"/>
  </cellStyleXfs>
  <cellXfs count="880">
    <xf numFmtId="0" fontId="0" fillId="0" borderId="0" xfId="0"/>
    <xf numFmtId="3" fontId="9" fillId="0" borderId="0" xfId="0" applyNumberFormat="1" applyFont="1" applyAlignment="1">
      <alignment vertical="center"/>
    </xf>
    <xf numFmtId="3" fontId="14" fillId="0" borderId="13" xfId="136" applyNumberFormat="1" applyFont="1" applyBorder="1" applyAlignment="1">
      <alignment horizontal="center" vertical="center" wrapText="1"/>
    </xf>
    <xf numFmtId="3" fontId="13" fillId="0" borderId="13" xfId="136" applyNumberFormat="1" applyFont="1" applyBorder="1" applyAlignment="1">
      <alignment horizontal="center" vertical="center" wrapText="1"/>
    </xf>
    <xf numFmtId="3" fontId="14" fillId="0" borderId="13" xfId="136" applyNumberFormat="1" applyFont="1" applyBorder="1" applyAlignment="1">
      <alignment horizontal="center" vertical="center"/>
    </xf>
    <xf numFmtId="3" fontId="14" fillId="0" borderId="13" xfId="136" applyNumberFormat="1" applyFont="1" applyBorder="1" applyAlignment="1">
      <alignment horizontal="right" vertical="center"/>
    </xf>
    <xf numFmtId="3" fontId="14" fillId="0" borderId="13" xfId="136" applyNumberFormat="1" applyFont="1" applyBorder="1" applyAlignment="1">
      <alignment vertical="center"/>
    </xf>
    <xf numFmtId="3" fontId="13" fillId="46" borderId="13" xfId="136" applyNumberFormat="1" applyFont="1" applyFill="1" applyBorder="1" applyAlignment="1">
      <alignment horizontal="right" vertical="center"/>
    </xf>
    <xf numFmtId="3" fontId="13" fillId="46" borderId="13" xfId="136" applyNumberFormat="1" applyFont="1" applyFill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0" fontId="8" fillId="0" borderId="0" xfId="127" applyAlignment="1">
      <alignment vertical="center"/>
    </xf>
    <xf numFmtId="0" fontId="8" fillId="0" borderId="0" xfId="127" applyAlignment="1">
      <alignment vertical="top"/>
    </xf>
    <xf numFmtId="0" fontId="17" fillId="0" borderId="0" xfId="127" applyFont="1" applyAlignment="1">
      <alignment vertical="center"/>
    </xf>
    <xf numFmtId="3" fontId="8" fillId="0" borderId="0" xfId="127" applyNumberFormat="1" applyAlignment="1">
      <alignment vertical="center"/>
    </xf>
    <xf numFmtId="3" fontId="18" fillId="0" borderId="0" xfId="136" applyNumberFormat="1" applyFont="1" applyAlignment="1">
      <alignment vertical="center"/>
    </xf>
    <xf numFmtId="3" fontId="9" fillId="0" borderId="0" xfId="136" applyNumberFormat="1" applyFont="1" applyAlignment="1">
      <alignment vertical="center"/>
    </xf>
    <xf numFmtId="3" fontId="13" fillId="46" borderId="15" xfId="0" applyNumberFormat="1" applyFont="1" applyFill="1" applyBorder="1" applyAlignment="1">
      <alignment horizontal="center" vertical="center" wrapText="1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17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3" fillId="46" borderId="18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/>
    </xf>
    <xf numFmtId="3" fontId="13" fillId="46" borderId="20" xfId="0" applyNumberFormat="1" applyFont="1" applyFill="1" applyBorder="1" applyAlignment="1">
      <alignment vertical="center"/>
    </xf>
    <xf numFmtId="3" fontId="13" fillId="46" borderId="21" xfId="0" applyNumberFormat="1" applyFont="1" applyFill="1" applyBorder="1" applyAlignment="1">
      <alignment horizontal="left" vertical="center" wrapText="1"/>
    </xf>
    <xf numFmtId="3" fontId="12" fillId="46" borderId="15" xfId="0" applyNumberFormat="1" applyFont="1" applyFill="1" applyBorder="1" applyAlignment="1">
      <alignment horizontal="center" vertical="center" wrapText="1"/>
    </xf>
    <xf numFmtId="0" fontId="14" fillId="0" borderId="13" xfId="127" applyFont="1" applyBorder="1" applyAlignment="1">
      <alignment vertical="center"/>
    </xf>
    <xf numFmtId="0" fontId="14" fillId="0" borderId="13" xfId="127" applyFont="1" applyBorder="1" applyAlignment="1">
      <alignment horizontal="center" vertical="center"/>
    </xf>
    <xf numFmtId="3" fontId="14" fillId="0" borderId="13" xfId="127" applyNumberFormat="1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vertical="center"/>
    </xf>
    <xf numFmtId="0" fontId="11" fillId="0" borderId="13" xfId="127" applyFont="1" applyBorder="1" applyAlignment="1">
      <alignment horizontal="center" vertical="center"/>
    </xf>
    <xf numFmtId="3" fontId="14" fillId="0" borderId="13" xfId="136" applyNumberFormat="1" applyFont="1" applyBorder="1" applyAlignment="1">
      <alignment horizontal="left" vertical="center" wrapText="1"/>
    </xf>
    <xf numFmtId="3" fontId="14" fillId="0" borderId="13" xfId="136" applyNumberFormat="1" applyFont="1" applyBorder="1" applyAlignment="1">
      <alignment horizontal="left" vertical="center"/>
    </xf>
    <xf numFmtId="3" fontId="14" fillId="46" borderId="13" xfId="136" applyNumberFormat="1" applyFont="1" applyFill="1" applyBorder="1" applyAlignment="1">
      <alignment horizontal="center" vertical="center"/>
    </xf>
    <xf numFmtId="3" fontId="12" fillId="47" borderId="22" xfId="136" applyNumberFormat="1" applyFont="1" applyFill="1" applyBorder="1" applyAlignment="1">
      <alignment horizontal="center" vertical="center" wrapText="1"/>
    </xf>
    <xf numFmtId="3" fontId="12" fillId="0" borderId="13" xfId="136" applyNumberFormat="1" applyFont="1" applyBorder="1" applyAlignment="1">
      <alignment horizontal="left" vertical="center" wrapText="1"/>
    </xf>
    <xf numFmtId="3" fontId="11" fillId="0" borderId="13" xfId="136" applyNumberFormat="1" applyFont="1" applyBorder="1" applyAlignment="1">
      <alignment horizontal="center" vertical="center" wrapText="1"/>
    </xf>
    <xf numFmtId="3" fontId="11" fillId="0" borderId="13" xfId="136" applyNumberFormat="1" applyFont="1" applyBorder="1" applyAlignment="1">
      <alignment horizontal="left" vertical="center" wrapText="1"/>
    </xf>
    <xf numFmtId="3" fontId="11" fillId="0" borderId="13" xfId="136" applyNumberFormat="1" applyFont="1" applyBorder="1" applyAlignment="1">
      <alignment horizontal="center" vertical="center"/>
    </xf>
    <xf numFmtId="3" fontId="11" fillId="0" borderId="13" xfId="136" applyNumberFormat="1" applyFont="1" applyBorder="1" applyAlignment="1">
      <alignment vertical="center"/>
    </xf>
    <xf numFmtId="3" fontId="11" fillId="0" borderId="13" xfId="136" applyNumberFormat="1" applyFont="1" applyBorder="1" applyAlignment="1">
      <alignment horizontal="left" vertical="center"/>
    </xf>
    <xf numFmtId="3" fontId="11" fillId="46" borderId="13" xfId="136" applyNumberFormat="1" applyFont="1" applyFill="1" applyBorder="1" applyAlignment="1">
      <alignment horizontal="center" vertical="center"/>
    </xf>
    <xf numFmtId="3" fontId="12" fillId="46" borderId="13" xfId="136" applyNumberFormat="1" applyFont="1" applyFill="1" applyBorder="1" applyAlignment="1">
      <alignment horizontal="left" vertical="center" wrapText="1"/>
    </xf>
    <xf numFmtId="3" fontId="12" fillId="46" borderId="13" xfId="136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3" fontId="13" fillId="46" borderId="13" xfId="127" applyNumberFormat="1" applyFont="1" applyFill="1" applyBorder="1" applyAlignment="1">
      <alignment vertical="center"/>
    </xf>
    <xf numFmtId="3" fontId="11" fillId="0" borderId="13" xfId="136" applyNumberFormat="1" applyFont="1" applyBorder="1" applyAlignment="1">
      <alignment vertical="center" wrapText="1"/>
    </xf>
    <xf numFmtId="3" fontId="12" fillId="0" borderId="13" xfId="136" applyNumberFormat="1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3" fontId="13" fillId="46" borderId="13" xfId="0" applyNumberFormat="1" applyFont="1" applyFill="1" applyBorder="1" applyAlignment="1">
      <alignment vertical="center"/>
    </xf>
    <xf numFmtId="3" fontId="13" fillId="46" borderId="24" xfId="0" applyNumberFormat="1" applyFont="1" applyFill="1" applyBorder="1" applyAlignment="1">
      <alignment vertical="center" wrapText="1"/>
    </xf>
    <xf numFmtId="3" fontId="13" fillId="46" borderId="25" xfId="0" applyNumberFormat="1" applyFont="1" applyFill="1" applyBorder="1" applyAlignment="1">
      <alignment vertical="center"/>
    </xf>
    <xf numFmtId="3" fontId="13" fillId="46" borderId="25" xfId="0" applyNumberFormat="1" applyFont="1" applyFill="1" applyBorder="1" applyAlignment="1">
      <alignment vertical="center" wrapText="1"/>
    </xf>
    <xf numFmtId="0" fontId="13" fillId="46" borderId="13" xfId="127" applyFont="1" applyFill="1" applyBorder="1" applyAlignment="1">
      <alignment vertical="center" wrapText="1"/>
    </xf>
    <xf numFmtId="3" fontId="13" fillId="0" borderId="13" xfId="136" applyNumberFormat="1" applyFont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 wrapText="1"/>
    </xf>
    <xf numFmtId="3" fontId="13" fillId="46" borderId="13" xfId="136" applyNumberFormat="1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 wrapText="1"/>
    </xf>
    <xf numFmtId="0" fontId="13" fillId="46" borderId="13" xfId="127" applyFont="1" applyFill="1" applyBorder="1" applyAlignment="1">
      <alignment horizontal="center" vertical="top" wrapText="1"/>
    </xf>
    <xf numFmtId="3" fontId="12" fillId="0" borderId="21" xfId="136" applyNumberFormat="1" applyFont="1" applyBorder="1" applyAlignment="1">
      <alignment horizontal="center" vertical="center" wrapText="1"/>
    </xf>
    <xf numFmtId="3" fontId="12" fillId="0" borderId="21" xfId="136" applyNumberFormat="1" applyFont="1" applyBorder="1" applyAlignment="1">
      <alignment horizontal="left" vertical="center" wrapText="1"/>
    </xf>
    <xf numFmtId="0" fontId="14" fillId="0" borderId="13" xfId="134" applyFont="1" applyBorder="1" applyAlignment="1">
      <alignment vertical="center" wrapText="1"/>
    </xf>
    <xf numFmtId="0" fontId="14" fillId="0" borderId="13" xfId="127" applyFont="1" applyBorder="1" applyAlignment="1">
      <alignment vertical="center" wrapText="1"/>
    </xf>
    <xf numFmtId="0" fontId="59" fillId="46" borderId="14" xfId="0" applyFont="1" applyFill="1" applyBorder="1" applyAlignment="1">
      <alignment horizontal="center" vertical="center" wrapText="1"/>
    </xf>
    <xf numFmtId="0" fontId="14" fillId="0" borderId="20" xfId="127" applyFont="1" applyBorder="1" applyAlignment="1">
      <alignment vertical="center"/>
    </xf>
    <xf numFmtId="0" fontId="77" fillId="0" borderId="0" xfId="128" applyAlignment="1">
      <alignment vertical="center"/>
    </xf>
    <xf numFmtId="0" fontId="77" fillId="0" borderId="0" xfId="128" applyAlignment="1">
      <alignment vertical="top"/>
    </xf>
    <xf numFmtId="3" fontId="77" fillId="0" borderId="0" xfId="128" applyNumberFormat="1" applyAlignment="1">
      <alignment vertical="center"/>
    </xf>
    <xf numFmtId="3" fontId="9" fillId="0" borderId="0" xfId="0" applyNumberFormat="1" applyFont="1"/>
    <xf numFmtId="0" fontId="13" fillId="46" borderId="13" xfId="128" applyFont="1" applyFill="1" applyBorder="1" applyAlignment="1">
      <alignment horizontal="center" vertical="center" wrapText="1"/>
    </xf>
    <xf numFmtId="0" fontId="20" fillId="0" borderId="13" xfId="132" applyFont="1" applyBorder="1" applyAlignment="1">
      <alignment horizontal="left" vertical="center" wrapText="1"/>
    </xf>
    <xf numFmtId="3" fontId="14" fillId="0" borderId="13" xfId="128" applyNumberFormat="1" applyFont="1" applyBorder="1" applyAlignment="1">
      <alignment vertical="center"/>
    </xf>
    <xf numFmtId="0" fontId="14" fillId="0" borderId="13" xfId="133" applyFont="1" applyBorder="1" applyAlignment="1">
      <alignment vertical="center" wrapText="1"/>
    </xf>
    <xf numFmtId="0" fontId="14" fillId="0" borderId="13" xfId="133" applyFont="1" applyBorder="1" applyAlignment="1">
      <alignment vertical="center"/>
    </xf>
    <xf numFmtId="0" fontId="14" fillId="0" borderId="13" xfId="135" applyFont="1" applyBorder="1" applyAlignment="1">
      <alignment vertical="center"/>
    </xf>
    <xf numFmtId="0" fontId="12" fillId="46" borderId="13" xfId="128" applyFont="1" applyFill="1" applyBorder="1" applyAlignment="1">
      <alignment vertical="center" wrapText="1"/>
    </xf>
    <xf numFmtId="3" fontId="12" fillId="46" borderId="13" xfId="128" applyNumberFormat="1" applyFont="1" applyFill="1" applyBorder="1" applyAlignment="1">
      <alignment vertical="center"/>
    </xf>
    <xf numFmtId="3" fontId="78" fillId="0" borderId="0" xfId="128" applyNumberFormat="1" applyFont="1" applyAlignment="1">
      <alignment vertical="center"/>
    </xf>
    <xf numFmtId="0" fontId="14" fillId="0" borderId="13" xfId="132" applyFont="1" applyBorder="1" applyAlignment="1">
      <alignment horizontal="center" vertical="center" wrapText="1"/>
    </xf>
    <xf numFmtId="0" fontId="14" fillId="0" borderId="13" xfId="132" applyFont="1" applyBorder="1" applyAlignment="1">
      <alignment horizontal="left" vertical="center" wrapText="1"/>
    </xf>
    <xf numFmtId="3" fontId="14" fillId="0" borderId="13" xfId="136" applyNumberFormat="1" applyFont="1" applyBorder="1" applyAlignment="1">
      <alignment horizontal="right" vertical="center" wrapText="1"/>
    </xf>
    <xf numFmtId="0" fontId="13" fillId="46" borderId="13" xfId="128" applyFont="1" applyFill="1" applyBorder="1" applyAlignment="1">
      <alignment horizontal="center" vertical="center"/>
    </xf>
    <xf numFmtId="0" fontId="13" fillId="46" borderId="13" xfId="128" applyFont="1" applyFill="1" applyBorder="1" applyAlignment="1">
      <alignment vertical="center" wrapText="1"/>
    </xf>
    <xf numFmtId="0" fontId="14" fillId="9" borderId="31" xfId="151" applyFont="1" applyFill="1" applyBorder="1" applyAlignment="1">
      <alignment vertical="center"/>
    </xf>
    <xf numFmtId="0" fontId="9" fillId="0" borderId="0" xfId="151" applyFont="1" applyAlignment="1">
      <alignment vertical="center"/>
    </xf>
    <xf numFmtId="0" fontId="13" fillId="50" borderId="34" xfId="151" applyFont="1" applyFill="1" applyBorder="1" applyAlignment="1">
      <alignment horizontal="center" vertical="top"/>
    </xf>
    <xf numFmtId="0" fontId="8" fillId="0" borderId="0" xfId="154"/>
    <xf numFmtId="0" fontId="12" fillId="46" borderId="32" xfId="127" applyFont="1" applyFill="1" applyBorder="1" applyAlignment="1">
      <alignment horizontal="center" vertical="top" wrapText="1"/>
    </xf>
    <xf numFmtId="0" fontId="12" fillId="46" borderId="32" xfId="127" applyFont="1" applyFill="1" applyBorder="1" applyAlignment="1">
      <alignment horizontal="center" vertical="center" wrapText="1"/>
    </xf>
    <xf numFmtId="0" fontId="8" fillId="0" borderId="0" xfId="154" applyAlignment="1">
      <alignment vertical="center"/>
    </xf>
    <xf numFmtId="0" fontId="11" fillId="0" borderId="20" xfId="134" applyFont="1" applyBorder="1" applyAlignment="1">
      <alignment horizontal="center" vertical="center"/>
    </xf>
    <xf numFmtId="0" fontId="11" fillId="0" borderId="32" xfId="134" applyFont="1" applyBorder="1" applyAlignment="1">
      <alignment horizontal="center" vertical="center"/>
    </xf>
    <xf numFmtId="0" fontId="12" fillId="0" borderId="32" xfId="134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2" fillId="46" borderId="32" xfId="134" applyFont="1" applyFill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1" fillId="0" borderId="35" xfId="134" applyFont="1" applyBorder="1" applyAlignment="1">
      <alignment horizontal="center" vertical="center"/>
    </xf>
    <xf numFmtId="0" fontId="11" fillId="0" borderId="36" xfId="129" applyFont="1" applyBorder="1" applyAlignment="1">
      <alignment vertical="center" wrapText="1"/>
    </xf>
    <xf numFmtId="3" fontId="14" fillId="0" borderId="35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horizontal="left" vertical="center" wrapText="1"/>
    </xf>
    <xf numFmtId="3" fontId="14" fillId="0" borderId="35" xfId="0" applyNumberFormat="1" applyFont="1" applyBorder="1" applyAlignment="1">
      <alignment horizontal="left" vertical="center" wrapText="1"/>
    </xf>
    <xf numFmtId="3" fontId="11" fillId="0" borderId="36" xfId="0" applyNumberFormat="1" applyFont="1" applyBorder="1" applyAlignment="1">
      <alignment vertical="center" wrapText="1"/>
    </xf>
    <xf numFmtId="0" fontId="12" fillId="46" borderId="35" xfId="134" applyFont="1" applyFill="1" applyBorder="1" applyAlignment="1">
      <alignment horizontal="center" vertical="center"/>
    </xf>
    <xf numFmtId="0" fontId="12" fillId="0" borderId="35" xfId="134" applyFont="1" applyBorder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1" fillId="0" borderId="36" xfId="134" applyFont="1" applyBorder="1" applyAlignment="1">
      <alignment vertical="center"/>
    </xf>
    <xf numFmtId="0" fontId="11" fillId="0" borderId="38" xfId="134" applyFont="1" applyBorder="1" applyAlignment="1">
      <alignment horizontal="center" vertical="center"/>
    </xf>
    <xf numFmtId="0" fontId="11" fillId="46" borderId="35" xfId="134" applyFont="1" applyFill="1" applyBorder="1" applyAlignment="1">
      <alignment horizontal="center" vertical="center"/>
    </xf>
    <xf numFmtId="0" fontId="12" fillId="46" borderId="36" xfId="127" applyFont="1" applyFill="1" applyBorder="1" applyAlignment="1">
      <alignment vertical="center" wrapText="1"/>
    </xf>
    <xf numFmtId="3" fontId="13" fillId="46" borderId="40" xfId="136" applyNumberFormat="1" applyFont="1" applyFill="1" applyBorder="1" applyAlignment="1">
      <alignment horizontal="center" vertical="center" wrapText="1"/>
    </xf>
    <xf numFmtId="3" fontId="13" fillId="46" borderId="20" xfId="136" applyNumberFormat="1" applyFont="1" applyFill="1" applyBorder="1" applyAlignment="1">
      <alignment horizontal="center" vertical="center" wrapText="1"/>
    </xf>
    <xf numFmtId="3" fontId="13" fillId="46" borderId="26" xfId="136" applyNumberFormat="1" applyFont="1" applyFill="1" applyBorder="1" applyAlignment="1">
      <alignment horizontal="center" vertical="center" wrapText="1"/>
    </xf>
    <xf numFmtId="3" fontId="14" fillId="0" borderId="20" xfId="136" applyNumberFormat="1" applyFont="1" applyBorder="1" applyAlignment="1">
      <alignment horizontal="center" vertical="center" wrapText="1"/>
    </xf>
    <xf numFmtId="3" fontId="14" fillId="0" borderId="35" xfId="136" applyNumberFormat="1" applyFont="1" applyBorder="1" applyAlignment="1">
      <alignment horizontal="center" vertical="center" wrapText="1"/>
    </xf>
    <xf numFmtId="3" fontId="14" fillId="0" borderId="41" xfId="136" applyNumberFormat="1" applyFont="1" applyBorder="1" applyAlignment="1">
      <alignment horizontal="center" vertical="center" wrapText="1"/>
    </xf>
    <xf numFmtId="3" fontId="14" fillId="0" borderId="20" xfId="0" applyNumberFormat="1" applyFont="1" applyBorder="1" applyAlignment="1">
      <alignment vertical="center"/>
    </xf>
    <xf numFmtId="3" fontId="14" fillId="0" borderId="20" xfId="0" applyNumberFormat="1" applyFont="1" applyBorder="1" applyAlignment="1">
      <alignment horizontal="center" vertical="center"/>
    </xf>
    <xf numFmtId="3" fontId="13" fillId="0" borderId="35" xfId="136" applyNumberFormat="1" applyFont="1" applyBorder="1" applyAlignment="1">
      <alignment horizontal="center" vertical="center" wrapText="1"/>
    </xf>
    <xf numFmtId="3" fontId="13" fillId="0" borderId="20" xfId="136" applyNumberFormat="1" applyFont="1" applyBorder="1" applyAlignment="1">
      <alignment horizontal="center" vertical="center" wrapText="1"/>
    </xf>
    <xf numFmtId="3" fontId="14" fillId="0" borderId="35" xfId="0" applyNumberFormat="1" applyFont="1" applyBorder="1" applyAlignment="1">
      <alignment horizontal="center" vertical="center"/>
    </xf>
    <xf numFmtId="3" fontId="14" fillId="0" borderId="35" xfId="136" applyNumberFormat="1" applyFont="1" applyBorder="1" applyAlignment="1">
      <alignment horizontal="center" vertical="center"/>
    </xf>
    <xf numFmtId="0" fontId="14" fillId="0" borderId="36" xfId="127" applyFont="1" applyBorder="1" applyAlignment="1">
      <alignment vertical="center"/>
    </xf>
    <xf numFmtId="3" fontId="13" fillId="0" borderId="35" xfId="136" applyNumberFormat="1" applyFont="1" applyBorder="1" applyAlignment="1">
      <alignment horizontal="left" vertical="center"/>
    </xf>
    <xf numFmtId="3" fontId="13" fillId="0" borderId="35" xfId="136" applyNumberFormat="1" applyFont="1" applyBorder="1" applyAlignment="1">
      <alignment horizontal="center" vertical="center"/>
    </xf>
    <xf numFmtId="3" fontId="14" fillId="0" borderId="35" xfId="136" applyNumberFormat="1" applyFont="1" applyBorder="1" applyAlignment="1">
      <alignment horizontal="right" vertical="center"/>
    </xf>
    <xf numFmtId="3" fontId="14" fillId="0" borderId="36" xfId="136" applyNumberFormat="1" applyFont="1" applyBorder="1" applyAlignment="1">
      <alignment horizontal="center" vertical="center"/>
    </xf>
    <xf numFmtId="3" fontId="14" fillId="0" borderId="36" xfId="136" applyNumberFormat="1" applyFont="1" applyBorder="1" applyAlignment="1">
      <alignment horizontal="left" vertical="center"/>
    </xf>
    <xf numFmtId="0" fontId="14" fillId="0" borderId="35" xfId="0" applyFont="1" applyBorder="1" applyAlignment="1">
      <alignment horizontal="right" vertical="center"/>
    </xf>
    <xf numFmtId="0" fontId="14" fillId="0" borderId="35" xfId="0" applyFont="1" applyBorder="1" applyAlignment="1">
      <alignment horizontal="center" vertical="center"/>
    </xf>
    <xf numFmtId="3" fontId="14" fillId="0" borderId="36" xfId="136" applyNumberFormat="1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3" fontId="14" fillId="0" borderId="35" xfId="136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/>
    </xf>
    <xf numFmtId="3" fontId="14" fillId="0" borderId="36" xfId="0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vertical="center"/>
    </xf>
    <xf numFmtId="0" fontId="14" fillId="0" borderId="36" xfId="134" applyFont="1" applyBorder="1" applyAlignment="1">
      <alignment vertical="center"/>
    </xf>
    <xf numFmtId="3" fontId="14" fillId="51" borderId="36" xfId="0" applyNumberFormat="1" applyFont="1" applyFill="1" applyBorder="1" applyAlignment="1">
      <alignment vertical="center"/>
    </xf>
    <xf numFmtId="3" fontId="14" fillId="51" borderId="36" xfId="0" applyNumberFormat="1" applyFont="1" applyFill="1" applyBorder="1" applyAlignment="1">
      <alignment horizontal="left" vertical="center"/>
    </xf>
    <xf numFmtId="3" fontId="14" fillId="0" borderId="35" xfId="0" applyNumberFormat="1" applyFont="1" applyBorder="1" applyAlignment="1">
      <alignment horizontal="right" vertical="center"/>
    </xf>
    <xf numFmtId="3" fontId="14" fillId="0" borderId="36" xfId="0" applyNumberFormat="1" applyFont="1" applyBorder="1" applyAlignment="1">
      <alignment vertical="center" wrapText="1"/>
    </xf>
    <xf numFmtId="3" fontId="13" fillId="46" borderId="35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9" xfId="0" applyNumberFormat="1" applyFont="1" applyFill="1" applyBorder="1" applyAlignment="1">
      <alignment vertical="center"/>
    </xf>
    <xf numFmtId="3" fontId="13" fillId="46" borderId="35" xfId="0" applyNumberFormat="1" applyFont="1" applyFill="1" applyBorder="1" applyAlignment="1">
      <alignment vertical="center"/>
    </xf>
    <xf numFmtId="3" fontId="13" fillId="0" borderId="35" xfId="0" applyNumberFormat="1" applyFont="1" applyBorder="1" applyAlignment="1">
      <alignment horizontal="center" vertical="center"/>
    </xf>
    <xf numFmtId="3" fontId="14" fillId="0" borderId="39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vertical="center"/>
    </xf>
    <xf numFmtId="3" fontId="13" fillId="0" borderId="35" xfId="0" applyNumberFormat="1" applyFont="1" applyBorder="1" applyAlignment="1">
      <alignment vertical="center"/>
    </xf>
    <xf numFmtId="0" fontId="15" fillId="0" borderId="36" xfId="127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 wrapText="1"/>
    </xf>
    <xf numFmtId="3" fontId="15" fillId="0" borderId="36" xfId="0" applyNumberFormat="1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3" fontId="14" fillId="0" borderId="35" xfId="0" applyNumberFormat="1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vertical="center" wrapText="1"/>
    </xf>
    <xf numFmtId="0" fontId="14" fillId="0" borderId="35" xfId="0" applyFont="1" applyBorder="1" applyAlignment="1">
      <alignment horizontal="right" wrapText="1"/>
    </xf>
    <xf numFmtId="3" fontId="14" fillId="0" borderId="35" xfId="0" applyNumberFormat="1" applyFont="1" applyBorder="1" applyAlignment="1">
      <alignment wrapText="1"/>
    </xf>
    <xf numFmtId="49" fontId="14" fillId="0" borderId="35" xfId="0" applyNumberFormat="1" applyFont="1" applyBorder="1" applyAlignment="1">
      <alignment horizontal="left" vertical="center" wrapText="1"/>
    </xf>
    <xf numFmtId="0" fontId="14" fillId="0" borderId="35" xfId="0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horizontal="left" wrapText="1"/>
    </xf>
    <xf numFmtId="3" fontId="13" fillId="46" borderId="39" xfId="0" applyNumberFormat="1" applyFont="1" applyFill="1" applyBorder="1" applyAlignment="1">
      <alignment horizontal="right" vertical="center"/>
    </xf>
    <xf numFmtId="3" fontId="13" fillId="0" borderId="36" xfId="0" applyNumberFormat="1" applyFont="1" applyBorder="1" applyAlignment="1">
      <alignment horizontal="center" vertical="center"/>
    </xf>
    <xf numFmtId="3" fontId="15" fillId="0" borderId="36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horizontal="right" vertical="center"/>
    </xf>
    <xf numFmtId="3" fontId="13" fillId="0" borderId="35" xfId="0" applyNumberFormat="1" applyFont="1" applyBorder="1" applyAlignment="1">
      <alignment horizontal="right" vertical="center"/>
    </xf>
    <xf numFmtId="3" fontId="13" fillId="0" borderId="36" xfId="0" applyNumberFormat="1" applyFont="1" applyBorder="1" applyAlignment="1">
      <alignment vertical="center"/>
    </xf>
    <xf numFmtId="3" fontId="14" fillId="0" borderId="39" xfId="0" applyNumberFormat="1" applyFont="1" applyBorder="1" applyAlignment="1">
      <alignment horizontal="right" vertical="center"/>
    </xf>
    <xf numFmtId="3" fontId="14" fillId="46" borderId="39" xfId="0" applyNumberFormat="1" applyFont="1" applyFill="1" applyBorder="1" applyAlignment="1">
      <alignment vertical="center"/>
    </xf>
    <xf numFmtId="3" fontId="14" fillId="46" borderId="35" xfId="0" applyNumberFormat="1" applyFont="1" applyFill="1" applyBorder="1" applyAlignment="1">
      <alignment vertical="center"/>
    </xf>
    <xf numFmtId="3" fontId="14" fillId="46" borderId="35" xfId="136" applyNumberFormat="1" applyFont="1" applyFill="1" applyBorder="1" applyAlignment="1">
      <alignment horizontal="right" vertical="center"/>
    </xf>
    <xf numFmtId="3" fontId="13" fillId="0" borderId="3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13" fillId="46" borderId="27" xfId="0" applyNumberFormat="1" applyFont="1" applyFill="1" applyBorder="1" applyAlignment="1">
      <alignment vertical="center"/>
    </xf>
    <xf numFmtId="3" fontId="14" fillId="0" borderId="28" xfId="0" applyNumberFormat="1" applyFont="1" applyBorder="1" applyAlignment="1">
      <alignment vertical="center"/>
    </xf>
    <xf numFmtId="3" fontId="14" fillId="46" borderId="35" xfId="0" applyNumberFormat="1" applyFont="1" applyFill="1" applyBorder="1" applyAlignment="1">
      <alignment horizontal="center" vertical="center"/>
    </xf>
    <xf numFmtId="3" fontId="14" fillId="46" borderId="36" xfId="0" applyNumberFormat="1" applyFont="1" applyFill="1" applyBorder="1" applyAlignment="1">
      <alignment horizontal="center" vertical="center"/>
    </xf>
    <xf numFmtId="3" fontId="14" fillId="0" borderId="38" xfId="0" applyNumberFormat="1" applyFont="1" applyBorder="1" applyAlignment="1">
      <alignment horizontal="center" vertical="center"/>
    </xf>
    <xf numFmtId="0" fontId="14" fillId="0" borderId="39" xfId="167" applyFont="1" applyBorder="1" applyAlignment="1">
      <alignment vertical="center" wrapText="1"/>
    </xf>
    <xf numFmtId="3" fontId="14" fillId="0" borderId="35" xfId="167" applyNumberFormat="1" applyFont="1" applyBorder="1" applyAlignment="1">
      <alignment vertical="center" wrapText="1"/>
    </xf>
    <xf numFmtId="3" fontId="14" fillId="51" borderId="35" xfId="0" applyNumberFormat="1" applyFont="1" applyFill="1" applyBorder="1" applyAlignment="1">
      <alignment vertical="center"/>
    </xf>
    <xf numFmtId="3" fontId="14" fillId="0" borderId="20" xfId="136" applyNumberFormat="1" applyFont="1" applyBorder="1" applyAlignment="1">
      <alignment horizontal="right" vertical="center"/>
    </xf>
    <xf numFmtId="3" fontId="14" fillId="0" borderId="44" xfId="0" applyNumberFormat="1" applyFont="1" applyBorder="1" applyAlignment="1">
      <alignment vertical="center"/>
    </xf>
    <xf numFmtId="1" fontId="15" fillId="0" borderId="35" xfId="0" applyNumberFormat="1" applyFont="1" applyBorder="1" applyAlignment="1">
      <alignment vertical="center"/>
    </xf>
    <xf numFmtId="49" fontId="14" fillId="0" borderId="35" xfId="0" applyNumberFormat="1" applyFont="1" applyBorder="1" applyAlignment="1">
      <alignment horizontal="right" vertical="center"/>
    </xf>
    <xf numFmtId="3" fontId="13" fillId="51" borderId="35" xfId="0" applyNumberFormat="1" applyFont="1" applyFill="1" applyBorder="1" applyAlignment="1">
      <alignment horizontal="center" vertical="center"/>
    </xf>
    <xf numFmtId="3" fontId="13" fillId="51" borderId="36" xfId="0" applyNumberFormat="1" applyFont="1" applyFill="1" applyBorder="1" applyAlignment="1">
      <alignment horizontal="center" vertical="center"/>
    </xf>
    <xf numFmtId="3" fontId="13" fillId="51" borderId="39" xfId="0" applyNumberFormat="1" applyFont="1" applyFill="1" applyBorder="1" applyAlignment="1">
      <alignment vertical="center"/>
    </xf>
    <xf numFmtId="3" fontId="13" fillId="51" borderId="35" xfId="0" applyNumberFormat="1" applyFont="1" applyFill="1" applyBorder="1" applyAlignment="1">
      <alignment vertical="center"/>
    </xf>
    <xf numFmtId="3" fontId="14" fillId="51" borderId="35" xfId="0" applyNumberFormat="1" applyFont="1" applyFill="1" applyBorder="1" applyAlignment="1">
      <alignment horizontal="right" vertical="center"/>
    </xf>
    <xf numFmtId="3" fontId="13" fillId="51" borderId="39" xfId="0" applyNumberFormat="1" applyFont="1" applyFill="1" applyBorder="1" applyAlignment="1">
      <alignment horizontal="center" vertical="center"/>
    </xf>
    <xf numFmtId="3" fontId="13" fillId="46" borderId="35" xfId="0" applyNumberFormat="1" applyFont="1" applyFill="1" applyBorder="1" applyAlignment="1">
      <alignment horizontal="right" vertical="center"/>
    </xf>
    <xf numFmtId="3" fontId="14" fillId="51" borderId="35" xfId="136" applyNumberFormat="1" applyFont="1" applyFill="1" applyBorder="1" applyAlignment="1">
      <alignment horizontal="right" vertical="top" wrapText="1"/>
    </xf>
    <xf numFmtId="3" fontId="14" fillId="51" borderId="35" xfId="136" applyNumberFormat="1" applyFont="1" applyFill="1" applyBorder="1" applyAlignment="1">
      <alignment vertical="top" wrapText="1"/>
    </xf>
    <xf numFmtId="3" fontId="13" fillId="46" borderId="39" xfId="0" applyNumberFormat="1" applyFont="1" applyFill="1" applyBorder="1" applyAlignment="1">
      <alignment horizontal="center" vertical="center"/>
    </xf>
    <xf numFmtId="3" fontId="13" fillId="46" borderId="35" xfId="136" applyNumberFormat="1" applyFont="1" applyFill="1" applyBorder="1" applyAlignment="1">
      <alignment horizontal="right" vertical="center"/>
    </xf>
    <xf numFmtId="3" fontId="13" fillId="46" borderId="38" xfId="0" applyNumberFormat="1" applyFont="1" applyFill="1" applyBorder="1" applyAlignment="1">
      <alignment vertical="center"/>
    </xf>
    <xf numFmtId="3" fontId="14" fillId="0" borderId="39" xfId="0" applyNumberFormat="1" applyFont="1" applyBorder="1" applyAlignment="1">
      <alignment horizontal="center" vertical="center"/>
    </xf>
    <xf numFmtId="3" fontId="14" fillId="0" borderId="35" xfId="133" applyNumberFormat="1" applyFont="1" applyBorder="1" applyAlignment="1">
      <alignment horizontal="right" vertical="center"/>
    </xf>
    <xf numFmtId="3" fontId="13" fillId="46" borderId="27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50" borderId="35" xfId="151" applyNumberFormat="1" applyFont="1" applyFill="1" applyBorder="1" applyAlignment="1">
      <alignment horizontal="center" vertical="center" wrapText="1"/>
    </xf>
    <xf numFmtId="3" fontId="11" fillId="0" borderId="35" xfId="151" applyNumberFormat="1" applyFont="1" applyBorder="1" applyAlignment="1">
      <alignment horizontal="right" vertical="center"/>
    </xf>
    <xf numFmtId="3" fontId="12" fillId="50" borderId="35" xfId="151" applyNumberFormat="1" applyFont="1" applyFill="1" applyBorder="1" applyAlignment="1">
      <alignment horizontal="right" vertical="center"/>
    </xf>
    <xf numFmtId="3" fontId="11" fillId="0" borderId="35" xfId="134" applyNumberFormat="1" applyFont="1" applyBorder="1" applyAlignment="1">
      <alignment vertical="center"/>
    </xf>
    <xf numFmtId="3" fontId="15" fillId="0" borderId="35" xfId="0" applyNumberFormat="1" applyFont="1" applyBorder="1" applyAlignment="1">
      <alignment vertical="center"/>
    </xf>
    <xf numFmtId="3" fontId="14" fillId="0" borderId="50" xfId="0" applyNumberFormat="1" applyFont="1" applyBorder="1" applyAlignment="1">
      <alignment horizontal="center" vertical="center"/>
    </xf>
    <xf numFmtId="3" fontId="13" fillId="46" borderId="55" xfId="136" applyNumberFormat="1" applyFont="1" applyFill="1" applyBorder="1" applyAlignment="1">
      <alignment horizontal="center" vertical="center" wrapText="1"/>
    </xf>
    <xf numFmtId="0" fontId="8" fillId="0" borderId="0" xfId="154" applyAlignment="1">
      <alignment horizontal="center"/>
    </xf>
    <xf numFmtId="0" fontId="12" fillId="0" borderId="26" xfId="134" applyFont="1" applyBorder="1" applyAlignment="1">
      <alignment vertical="center"/>
    </xf>
    <xf numFmtId="0" fontId="12" fillId="0" borderId="20" xfId="134" applyFont="1" applyBorder="1" applyAlignment="1">
      <alignment horizontal="center" vertical="center"/>
    </xf>
    <xf numFmtId="0" fontId="11" fillId="0" borderId="20" xfId="134" applyFont="1" applyBorder="1" applyAlignment="1">
      <alignment vertical="center"/>
    </xf>
    <xf numFmtId="0" fontId="12" fillId="0" borderId="33" xfId="134" applyFont="1" applyBorder="1" applyAlignment="1">
      <alignment vertical="center"/>
    </xf>
    <xf numFmtId="0" fontId="11" fillId="0" borderId="32" xfId="134" applyFont="1" applyBorder="1" applyAlignment="1">
      <alignment vertical="center"/>
    </xf>
    <xf numFmtId="0" fontId="11" fillId="0" borderId="33" xfId="127" applyFont="1" applyBorder="1" applyAlignment="1">
      <alignment vertical="center"/>
    </xf>
    <xf numFmtId="0" fontId="11" fillId="0" borderId="32" xfId="127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/>
    </xf>
    <xf numFmtId="3" fontId="11" fillId="0" borderId="32" xfId="134" applyNumberFormat="1" applyFont="1" applyBorder="1" applyAlignment="1">
      <alignment vertical="center"/>
    </xf>
    <xf numFmtId="0" fontId="11" fillId="0" borderId="33" xfId="134" applyFont="1" applyBorder="1" applyAlignment="1">
      <alignment vertical="center" wrapText="1"/>
    </xf>
    <xf numFmtId="0" fontId="11" fillId="0" borderId="32" xfId="134" applyFont="1" applyBorder="1" applyAlignment="1">
      <alignment horizontal="center" vertical="center" wrapText="1"/>
    </xf>
    <xf numFmtId="0" fontId="11" fillId="0" borderId="33" xfId="134" applyFont="1" applyBorder="1" applyAlignment="1">
      <alignment vertical="center"/>
    </xf>
    <xf numFmtId="166" fontId="11" fillId="0" borderId="32" xfId="84" applyNumberFormat="1" applyFont="1" applyBorder="1" applyAlignment="1">
      <alignment horizontal="center" vertical="center"/>
    </xf>
    <xf numFmtId="3" fontId="12" fillId="46" borderId="33" xfId="0" applyNumberFormat="1" applyFont="1" applyFill="1" applyBorder="1" applyAlignment="1">
      <alignment vertical="center"/>
    </xf>
    <xf numFmtId="3" fontId="12" fillId="46" borderId="32" xfId="134" applyNumberFormat="1" applyFont="1" applyFill="1" applyBorder="1" applyAlignment="1">
      <alignment vertical="center"/>
    </xf>
    <xf numFmtId="3" fontId="12" fillId="0" borderId="32" xfId="134" applyNumberFormat="1" applyFont="1" applyBorder="1" applyAlignment="1">
      <alignment vertical="center"/>
    </xf>
    <xf numFmtId="0" fontId="11" fillId="0" borderId="32" xfId="84" applyNumberFormat="1" applyFont="1" applyBorder="1" applyAlignment="1">
      <alignment horizontal="center" vertical="center"/>
    </xf>
    <xf numFmtId="0" fontId="11" fillId="0" borderId="33" xfId="156" applyFont="1" applyBorder="1" applyAlignment="1">
      <alignment vertical="center" wrapText="1"/>
    </xf>
    <xf numFmtId="0" fontId="11" fillId="0" borderId="33" xfId="155" applyFont="1" applyBorder="1" applyAlignment="1">
      <alignment vertical="center" wrapText="1"/>
    </xf>
    <xf numFmtId="0" fontId="89" fillId="0" borderId="32" xfId="134" applyFont="1" applyBorder="1" applyAlignment="1">
      <alignment vertical="center" wrapText="1"/>
    </xf>
    <xf numFmtId="3" fontId="11" fillId="0" borderId="33" xfId="0" applyNumberFormat="1" applyFont="1" applyBorder="1" applyAlignment="1">
      <alignment horizontal="left" vertical="center" wrapText="1"/>
    </xf>
    <xf numFmtId="3" fontId="12" fillId="46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3" xfId="0" applyNumberFormat="1" applyFont="1" applyBorder="1" applyAlignment="1">
      <alignment vertical="center"/>
    </xf>
    <xf numFmtId="3" fontId="11" fillId="0" borderId="33" xfId="0" applyNumberFormat="1" applyFont="1" applyBorder="1" applyAlignment="1">
      <alignment vertical="center" wrapText="1"/>
    </xf>
    <xf numFmtId="0" fontId="11" fillId="0" borderId="50" xfId="158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0" fontId="11" fillId="0" borderId="33" xfId="129" applyFont="1" applyBorder="1" applyAlignment="1">
      <alignment vertical="center" wrapText="1"/>
    </xf>
    <xf numFmtId="0" fontId="11" fillId="0" borderId="33" xfId="0" applyFont="1" applyBorder="1" applyAlignment="1">
      <alignment horizontal="left" vertical="center" wrapText="1"/>
    </xf>
    <xf numFmtId="3" fontId="11" fillId="0" borderId="35" xfId="129" applyNumberFormat="1" applyFont="1" applyBorder="1" applyAlignment="1">
      <alignment horizontal="center" vertical="center" wrapText="1"/>
    </xf>
    <xf numFmtId="3" fontId="11" fillId="0" borderId="35" xfId="134" applyNumberFormat="1" applyFont="1" applyBorder="1" applyAlignment="1">
      <alignment vertical="center" wrapText="1"/>
    </xf>
    <xf numFmtId="0" fontId="11" fillId="0" borderId="20" xfId="129" applyFont="1" applyBorder="1" applyAlignment="1">
      <alignment horizontal="center" vertical="center" wrapText="1"/>
    </xf>
    <xf numFmtId="0" fontId="11" fillId="0" borderId="35" xfId="129" applyFont="1" applyBorder="1" applyAlignment="1">
      <alignment horizontal="center" vertical="center" wrapText="1"/>
    </xf>
    <xf numFmtId="0" fontId="12" fillId="46" borderId="36" xfId="134" applyFont="1" applyFill="1" applyBorder="1" applyAlignment="1">
      <alignment vertical="center"/>
    </xf>
    <xf numFmtId="3" fontId="12" fillId="46" borderId="35" xfId="134" applyNumberFormat="1" applyFont="1" applyFill="1" applyBorder="1" applyAlignment="1">
      <alignment vertical="center"/>
    </xf>
    <xf numFmtId="0" fontId="12" fillId="0" borderId="36" xfId="134" applyFont="1" applyBorder="1" applyAlignment="1">
      <alignment vertical="center"/>
    </xf>
    <xf numFmtId="3" fontId="11" fillId="0" borderId="35" xfId="0" applyNumberFormat="1" applyFont="1" applyBorder="1" applyAlignment="1">
      <alignment horizontal="center" vertical="center" wrapText="1"/>
    </xf>
    <xf numFmtId="3" fontId="11" fillId="0" borderId="35" xfId="134" applyNumberFormat="1" applyFont="1" applyBorder="1" applyAlignment="1">
      <alignment horizontal="center" vertical="center"/>
    </xf>
    <xf numFmtId="0" fontId="11" fillId="0" borderId="36" xfId="134" applyFont="1" applyBorder="1" applyAlignment="1">
      <alignment vertical="center" wrapText="1"/>
    </xf>
    <xf numFmtId="0" fontId="11" fillId="0" borderId="35" xfId="134" applyFont="1" applyBorder="1" applyAlignment="1">
      <alignment horizontal="center" vertical="center" wrapText="1"/>
    </xf>
    <xf numFmtId="0" fontId="11" fillId="0" borderId="36" xfId="154" applyFont="1" applyBorder="1" applyAlignment="1">
      <alignment vertical="center"/>
    </xf>
    <xf numFmtId="3" fontId="11" fillId="0" borderId="35" xfId="154" applyNumberFormat="1" applyFont="1" applyBorder="1" applyAlignment="1">
      <alignment horizontal="center" vertical="center"/>
    </xf>
    <xf numFmtId="0" fontId="11" fillId="0" borderId="35" xfId="134" applyFont="1" applyBorder="1" applyAlignment="1">
      <alignment vertical="center" wrapText="1"/>
    </xf>
    <xf numFmtId="0" fontId="11" fillId="0" borderId="26" xfId="134" applyFont="1" applyBorder="1" applyAlignment="1">
      <alignment vertical="center"/>
    </xf>
    <xf numFmtId="0" fontId="11" fillId="0" borderId="26" xfId="134" applyFont="1" applyBorder="1" applyAlignment="1">
      <alignment vertical="center" wrapText="1"/>
    </xf>
    <xf numFmtId="0" fontId="11" fillId="0" borderId="36" xfId="154" applyFont="1" applyBorder="1" applyAlignment="1">
      <alignment vertical="center" wrapText="1"/>
    </xf>
    <xf numFmtId="0" fontId="11" fillId="0" borderId="35" xfId="154" applyFont="1" applyBorder="1" applyAlignment="1">
      <alignment horizontal="center" vertical="center" wrapText="1"/>
    </xf>
    <xf numFmtId="3" fontId="11" fillId="0" borderId="35" xfId="134" applyNumberFormat="1" applyFont="1" applyBorder="1" applyAlignment="1">
      <alignment horizontal="center" vertical="center" wrapText="1"/>
    </xf>
    <xf numFmtId="3" fontId="12" fillId="0" borderId="35" xfId="134" applyNumberFormat="1" applyFont="1" applyBorder="1" applyAlignment="1">
      <alignment vertical="center"/>
    </xf>
    <xf numFmtId="3" fontId="12" fillId="46" borderId="35" xfId="134" applyNumberFormat="1" applyFont="1" applyFill="1" applyBorder="1" applyAlignment="1">
      <alignment vertical="center" wrapText="1"/>
    </xf>
    <xf numFmtId="0" fontId="12" fillId="46" borderId="35" xfId="127" applyFont="1" applyFill="1" applyBorder="1" applyAlignment="1">
      <alignment horizontal="center" vertical="center" wrapText="1"/>
    </xf>
    <xf numFmtId="0" fontId="12" fillId="46" borderId="35" xfId="134" applyFont="1" applyFill="1" applyBorder="1" applyAlignment="1">
      <alignment vertical="center"/>
    </xf>
    <xf numFmtId="3" fontId="13" fillId="0" borderId="49" xfId="136" applyNumberFormat="1" applyFont="1" applyBorder="1" applyAlignment="1">
      <alignment vertical="center"/>
    </xf>
    <xf numFmtId="3" fontId="14" fillId="0" borderId="50" xfId="136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3" fontId="15" fillId="0" borderId="49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horizontal="left" vertical="center" wrapText="1"/>
    </xf>
    <xf numFmtId="49" fontId="14" fillId="0" borderId="50" xfId="0" applyNumberFormat="1" applyFont="1" applyBorder="1" applyAlignment="1">
      <alignment horizontal="left" vertical="center" wrapText="1"/>
    </xf>
    <xf numFmtId="3" fontId="14" fillId="0" borderId="53" xfId="0" applyNumberFormat="1" applyFont="1" applyBorder="1" applyAlignment="1">
      <alignment horizontal="left" vertical="center" wrapText="1"/>
    </xf>
    <xf numFmtId="3" fontId="14" fillId="0" borderId="51" xfId="0" applyNumberFormat="1" applyFont="1" applyBorder="1" applyAlignment="1">
      <alignment horizontal="center" vertical="center"/>
    </xf>
    <xf numFmtId="3" fontId="14" fillId="0" borderId="51" xfId="0" applyNumberFormat="1" applyFont="1" applyBorder="1" applyAlignment="1">
      <alignment vertical="center"/>
    </xf>
    <xf numFmtId="3" fontId="14" fillId="0" borderId="53" xfId="0" applyNumberFormat="1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3" fontId="14" fillId="0" borderId="36" xfId="129" applyNumberFormat="1" applyFont="1" applyBorder="1" applyAlignment="1">
      <alignment vertical="center" wrapText="1"/>
    </xf>
    <xf numFmtId="0" fontId="14" fillId="0" borderId="36" xfId="0" applyFont="1" applyBorder="1" applyAlignment="1">
      <alignment horizontal="left" wrapText="1"/>
    </xf>
    <xf numFmtId="0" fontId="14" fillId="0" borderId="35" xfId="0" applyFont="1" applyBorder="1" applyAlignment="1">
      <alignment wrapText="1"/>
    </xf>
    <xf numFmtId="3" fontId="14" fillId="0" borderId="50" xfId="0" applyNumberFormat="1" applyFont="1" applyBorder="1" applyAlignment="1">
      <alignment vertical="center"/>
    </xf>
    <xf numFmtId="49" fontId="14" fillId="0" borderId="50" xfId="0" applyNumberFormat="1" applyFont="1" applyBorder="1" applyAlignment="1">
      <alignment vertical="center"/>
    </xf>
    <xf numFmtId="0" fontId="14" fillId="0" borderId="26" xfId="0" applyFont="1" applyBorder="1" applyAlignment="1">
      <alignment vertical="center" wrapText="1"/>
    </xf>
    <xf numFmtId="3" fontId="13" fillId="0" borderId="50" xfId="0" applyNumberFormat="1" applyFont="1" applyBorder="1" applyAlignment="1">
      <alignment horizontal="center" vertical="center"/>
    </xf>
    <xf numFmtId="0" fontId="14" fillId="0" borderId="50" xfId="158" applyFont="1" applyBorder="1" applyAlignment="1">
      <alignment vertical="center" wrapText="1"/>
    </xf>
    <xf numFmtId="49" fontId="14" fillId="0" borderId="36" xfId="0" applyNumberFormat="1" applyFont="1" applyBorder="1" applyAlignment="1">
      <alignment vertical="center"/>
    </xf>
    <xf numFmtId="3" fontId="14" fillId="0" borderId="29" xfId="0" applyNumberFormat="1" applyFont="1" applyBorder="1" applyAlignment="1">
      <alignment horizontal="left" vertical="center"/>
    </xf>
    <xf numFmtId="3" fontId="14" fillId="0" borderId="50" xfId="0" applyNumberFormat="1" applyFont="1" applyBorder="1" applyAlignment="1">
      <alignment horizontal="left" vertical="center"/>
    </xf>
    <xf numFmtId="3" fontId="14" fillId="0" borderId="52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3" fontId="14" fillId="0" borderId="35" xfId="0" applyNumberFormat="1" applyFont="1" applyBorder="1" applyAlignment="1">
      <alignment horizontal="left" vertical="center"/>
    </xf>
    <xf numFmtId="3" fontId="13" fillId="46" borderId="36" xfId="0" applyNumberFormat="1" applyFont="1" applyFill="1" applyBorder="1" applyAlignment="1">
      <alignment horizontal="left" vertical="center"/>
    </xf>
    <xf numFmtId="0" fontId="13" fillId="0" borderId="53" xfId="163" applyFont="1" applyBorder="1" applyAlignment="1">
      <alignment horizontal="center" vertical="center"/>
    </xf>
    <xf numFmtId="3" fontId="13" fillId="48" borderId="20" xfId="0" applyNumberFormat="1" applyFont="1" applyFill="1" applyBorder="1" applyAlignment="1">
      <alignment horizontal="center" vertical="center"/>
    </xf>
    <xf numFmtId="3" fontId="13" fillId="48" borderId="45" xfId="0" applyNumberFormat="1" applyFont="1" applyFill="1" applyBorder="1" applyAlignment="1">
      <alignment horizontal="center" vertical="center"/>
    </xf>
    <xf numFmtId="3" fontId="13" fillId="0" borderId="29" xfId="0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14" fillId="0" borderId="46" xfId="0" applyNumberFormat="1" applyFont="1" applyBorder="1" applyAlignment="1">
      <alignment horizontal="left" vertical="center" wrapText="1"/>
    </xf>
    <xf numFmtId="0" fontId="13" fillId="0" borderId="35" xfId="160" applyFont="1" applyBorder="1" applyAlignment="1">
      <alignment horizontal="center" vertical="center"/>
    </xf>
    <xf numFmtId="0" fontId="13" fillId="0" borderId="36" xfId="163" applyFont="1" applyBorder="1" applyAlignment="1">
      <alignment horizontal="center" vertical="center"/>
    </xf>
    <xf numFmtId="3" fontId="14" fillId="49" borderId="35" xfId="0" applyNumberFormat="1" applyFont="1" applyFill="1" applyBorder="1" applyAlignment="1">
      <alignment horizontal="center" vertical="center"/>
    </xf>
    <xf numFmtId="3" fontId="14" fillId="49" borderId="36" xfId="0" applyNumberFormat="1" applyFont="1" applyFill="1" applyBorder="1" applyAlignment="1">
      <alignment horizontal="center" vertical="center"/>
    </xf>
    <xf numFmtId="3" fontId="13" fillId="49" borderId="26" xfId="0" applyNumberFormat="1" applyFont="1" applyFill="1" applyBorder="1" applyAlignment="1">
      <alignment vertical="center"/>
    </xf>
    <xf numFmtId="3" fontId="14" fillId="49" borderId="27" xfId="0" applyNumberFormat="1" applyFont="1" applyFill="1" applyBorder="1" applyAlignment="1">
      <alignment vertical="center"/>
    </xf>
    <xf numFmtId="3" fontId="14" fillId="49" borderId="35" xfId="0" applyNumberFormat="1" applyFont="1" applyFill="1" applyBorder="1" applyAlignment="1">
      <alignment vertical="center"/>
    </xf>
    <xf numFmtId="3" fontId="13" fillId="49" borderId="35" xfId="136" applyNumberFormat="1" applyFont="1" applyFill="1" applyBorder="1" applyAlignment="1">
      <alignment horizontal="right" vertical="center"/>
    </xf>
    <xf numFmtId="0" fontId="14" fillId="0" borderId="36" xfId="134" applyFont="1" applyBorder="1" applyAlignment="1">
      <alignment vertical="center" wrapText="1"/>
    </xf>
    <xf numFmtId="3" fontId="14" fillId="0" borderId="35" xfId="134" applyNumberFormat="1" applyFont="1" applyBorder="1" applyAlignment="1">
      <alignment horizontal="center" vertical="center"/>
    </xf>
    <xf numFmtId="3" fontId="13" fillId="49" borderId="36" xfId="0" applyNumberFormat="1" applyFont="1" applyFill="1" applyBorder="1" applyAlignment="1">
      <alignment horizontal="center" vertical="center"/>
    </xf>
    <xf numFmtId="0" fontId="14" fillId="0" borderId="57" xfId="167" applyFont="1" applyBorder="1" applyAlignment="1">
      <alignment vertical="center" wrapText="1"/>
    </xf>
    <xf numFmtId="3" fontId="13" fillId="0" borderId="47" xfId="0" applyNumberFormat="1" applyFont="1" applyBorder="1" applyAlignment="1">
      <alignment vertical="center"/>
    </xf>
    <xf numFmtId="3" fontId="13" fillId="0" borderId="35" xfId="136" applyNumberFormat="1" applyFont="1" applyBorder="1" applyAlignment="1">
      <alignment horizontal="center" vertical="top" wrapText="1"/>
    </xf>
    <xf numFmtId="3" fontId="13" fillId="51" borderId="36" xfId="0" applyNumberFormat="1" applyFont="1" applyFill="1" applyBorder="1" applyAlignment="1">
      <alignment vertical="center"/>
    </xf>
    <xf numFmtId="3" fontId="14" fillId="0" borderId="50" xfId="0" applyNumberFormat="1" applyFont="1" applyBorder="1" applyAlignment="1">
      <alignment vertical="center" wrapText="1"/>
    </xf>
    <xf numFmtId="3" fontId="14" fillId="0" borderId="26" xfId="0" applyNumberFormat="1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3" fontId="13" fillId="51" borderId="49" xfId="0" applyNumberFormat="1" applyFont="1" applyFill="1" applyBorder="1" applyAlignment="1">
      <alignment horizontal="center" vertical="center"/>
    </xf>
    <xf numFmtId="3" fontId="13" fillId="51" borderId="35" xfId="136" applyNumberFormat="1" applyFont="1" applyFill="1" applyBorder="1" applyAlignment="1">
      <alignment horizontal="center" vertical="top" wrapText="1"/>
    </xf>
    <xf numFmtId="3" fontId="14" fillId="0" borderId="48" xfId="0" applyNumberFormat="1" applyFont="1" applyBorder="1" applyAlignment="1">
      <alignment vertical="center" wrapText="1"/>
    </xf>
    <xf numFmtId="0" fontId="14" fillId="0" borderId="50" xfId="168" applyFont="1" applyBorder="1" applyAlignment="1">
      <alignment vertical="center"/>
    </xf>
    <xf numFmtId="0" fontId="14" fillId="0" borderId="35" xfId="168" applyFont="1" applyBorder="1" applyAlignment="1">
      <alignment vertical="center" wrapText="1"/>
    </xf>
    <xf numFmtId="0" fontId="13" fillId="46" borderId="36" xfId="127" applyFont="1" applyFill="1" applyBorder="1" applyAlignment="1">
      <alignment vertical="center" wrapText="1"/>
    </xf>
    <xf numFmtId="0" fontId="14" fillId="46" borderId="43" xfId="0" applyFont="1" applyFill="1" applyBorder="1" applyAlignment="1">
      <alignment vertical="center"/>
    </xf>
    <xf numFmtId="0" fontId="14" fillId="46" borderId="43" xfId="0" applyFont="1" applyFill="1" applyBorder="1" applyAlignment="1">
      <alignment horizontal="center" vertical="center"/>
    </xf>
    <xf numFmtId="3" fontId="22" fillId="0" borderId="0" xfId="0" applyNumberFormat="1" applyFont="1" applyAlignment="1">
      <alignment vertical="center"/>
    </xf>
    <xf numFmtId="0" fontId="14" fillId="49" borderId="0" xfId="151" applyFont="1" applyFill="1" applyAlignment="1">
      <alignment vertical="center"/>
    </xf>
    <xf numFmtId="0" fontId="13" fillId="49" borderId="35" xfId="151" applyFont="1" applyFill="1" applyBorder="1" applyAlignment="1">
      <alignment horizontal="center" vertical="center"/>
    </xf>
    <xf numFmtId="3" fontId="14" fillId="0" borderId="35" xfId="151" applyNumberFormat="1" applyFont="1" applyBorder="1" applyAlignment="1">
      <alignment vertical="center"/>
    </xf>
    <xf numFmtId="0" fontId="14" fillId="0" borderId="35" xfId="151" applyFont="1" applyBorder="1" applyAlignment="1">
      <alignment vertical="center"/>
    </xf>
    <xf numFmtId="0" fontId="9" fillId="0" borderId="35" xfId="151" applyFont="1" applyBorder="1" applyAlignment="1">
      <alignment vertical="center"/>
    </xf>
    <xf numFmtId="3" fontId="11" fillId="0" borderId="35" xfId="151" applyNumberFormat="1" applyFont="1" applyBorder="1" applyAlignment="1">
      <alignment vertical="center"/>
    </xf>
    <xf numFmtId="0" fontId="13" fillId="9" borderId="35" xfId="151" applyFont="1" applyFill="1" applyBorder="1" applyAlignment="1">
      <alignment vertical="center"/>
    </xf>
    <xf numFmtId="3" fontId="9" fillId="0" borderId="0" xfId="151" applyNumberFormat="1" applyFont="1" applyAlignment="1">
      <alignment vertical="center"/>
    </xf>
    <xf numFmtId="0" fontId="5" fillId="46" borderId="32" xfId="0" applyFont="1" applyFill="1" applyBorder="1" applyAlignment="1">
      <alignment horizontal="center" vertical="center" wrapText="1"/>
    </xf>
    <xf numFmtId="3" fontId="80" fillId="0" borderId="32" xfId="134" applyNumberFormat="1" applyFont="1" applyBorder="1" applyAlignment="1">
      <alignment vertical="center"/>
    </xf>
    <xf numFmtId="3" fontId="12" fillId="46" borderId="35" xfId="0" applyNumberFormat="1" applyFont="1" applyFill="1" applyBorder="1" applyAlignment="1">
      <alignment horizontal="center" vertical="center"/>
    </xf>
    <xf numFmtId="3" fontId="80" fillId="0" borderId="35" xfId="134" applyNumberFormat="1" applyFont="1" applyBorder="1" applyAlignment="1">
      <alignment vertical="center"/>
    </xf>
    <xf numFmtId="49" fontId="11" fillId="0" borderId="35" xfId="134" applyNumberFormat="1" applyFont="1" applyBorder="1" applyAlignment="1">
      <alignment horizontal="center" vertical="center"/>
    </xf>
    <xf numFmtId="49" fontId="11" fillId="0" borderId="35" xfId="129" applyNumberFormat="1" applyFont="1" applyBorder="1" applyAlignment="1">
      <alignment horizontal="center" vertical="center" wrapText="1"/>
    </xf>
    <xf numFmtId="0" fontId="11" fillId="0" borderId="35" xfId="134" applyFont="1" applyBorder="1" applyAlignment="1">
      <alignment horizontal="left" vertical="center"/>
    </xf>
    <xf numFmtId="49" fontId="11" fillId="0" borderId="35" xfId="0" applyNumberFormat="1" applyFont="1" applyBorder="1" applyAlignment="1">
      <alignment horizontal="center" vertical="center" wrapText="1"/>
    </xf>
    <xf numFmtId="3" fontId="11" fillId="0" borderId="35" xfId="0" applyNumberFormat="1" applyFont="1" applyBorder="1" applyAlignment="1">
      <alignment vertical="center"/>
    </xf>
    <xf numFmtId="3" fontId="11" fillId="0" borderId="35" xfId="129" applyNumberFormat="1" applyFont="1" applyBorder="1" applyAlignment="1">
      <alignment horizontal="center" vertical="top" wrapText="1"/>
    </xf>
    <xf numFmtId="3" fontId="80" fillId="0" borderId="35" xfId="134" applyNumberFormat="1" applyFont="1" applyBorder="1" applyAlignment="1">
      <alignment vertical="center" wrapText="1"/>
    </xf>
    <xf numFmtId="0" fontId="14" fillId="0" borderId="35" xfId="84" applyNumberFormat="1" applyFont="1" applyFill="1" applyBorder="1" applyAlignment="1">
      <alignment horizontal="right" vertical="center"/>
    </xf>
    <xf numFmtId="3" fontId="14" fillId="0" borderId="39" xfId="0" applyNumberFormat="1" applyFont="1" applyBorder="1" applyAlignment="1">
      <alignment horizontal="right" vertical="center" wrapText="1"/>
    </xf>
    <xf numFmtId="3" fontId="13" fillId="46" borderId="33" xfId="0" applyNumberFormat="1" applyFont="1" applyFill="1" applyBorder="1" applyAlignment="1">
      <alignment horizontal="center" vertical="center"/>
    </xf>
    <xf numFmtId="3" fontId="13" fillId="46" borderId="33" xfId="0" applyNumberFormat="1" applyFont="1" applyFill="1" applyBorder="1" applyAlignment="1">
      <alignment horizontal="left" vertical="center"/>
    </xf>
    <xf numFmtId="3" fontId="13" fillId="46" borderId="58" xfId="0" applyNumberFormat="1" applyFont="1" applyFill="1" applyBorder="1" applyAlignment="1">
      <alignment horizontal="left" vertical="center"/>
    </xf>
    <xf numFmtId="3" fontId="13" fillId="46" borderId="58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left" vertical="center"/>
    </xf>
    <xf numFmtId="3" fontId="13" fillId="0" borderId="58" xfId="0" applyNumberFormat="1" applyFont="1" applyBorder="1" applyAlignment="1">
      <alignment horizontal="left" vertical="center"/>
    </xf>
    <xf numFmtId="3" fontId="13" fillId="0" borderId="58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3" fontId="14" fillId="0" borderId="58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vertical="center"/>
    </xf>
    <xf numFmtId="3" fontId="13" fillId="46" borderId="33" xfId="0" applyNumberFormat="1" applyFont="1" applyFill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0" applyNumberFormat="1" applyFont="1" applyBorder="1" applyAlignment="1">
      <alignment vertical="center"/>
    </xf>
    <xf numFmtId="3" fontId="13" fillId="50" borderId="59" xfId="151" applyNumberFormat="1" applyFont="1" applyFill="1" applyBorder="1" applyAlignment="1">
      <alignment horizontal="center" vertical="center" wrapText="1"/>
    </xf>
    <xf numFmtId="0" fontId="14" fillId="0" borderId="0" xfId="151" applyFont="1" applyAlignment="1">
      <alignment vertical="center"/>
    </xf>
    <xf numFmtId="3" fontId="11" fillId="0" borderId="0" xfId="151" applyNumberFormat="1" applyFont="1" applyAlignment="1">
      <alignment horizontal="right" vertical="center"/>
    </xf>
    <xf numFmtId="3" fontId="80" fillId="0" borderId="0" xfId="151" applyNumberFormat="1" applyFont="1" applyAlignment="1">
      <alignment horizontal="right" vertical="center"/>
    </xf>
    <xf numFmtId="3" fontId="14" fillId="0" borderId="60" xfId="0" applyNumberFormat="1" applyFont="1" applyBorder="1" applyAlignment="1">
      <alignment horizontal="center" vertical="center"/>
    </xf>
    <xf numFmtId="3" fontId="14" fillId="0" borderId="62" xfId="0" applyNumberFormat="1" applyFont="1" applyBorder="1" applyAlignment="1">
      <alignment horizontal="center" vertical="center"/>
    </xf>
    <xf numFmtId="3" fontId="14" fillId="0" borderId="60" xfId="0" applyNumberFormat="1" applyFont="1" applyBorder="1" applyAlignment="1">
      <alignment vertical="center"/>
    </xf>
    <xf numFmtId="3" fontId="14" fillId="0" borderId="60" xfId="0" applyNumberFormat="1" applyFont="1" applyBorder="1" applyAlignment="1">
      <alignment horizontal="right" vertical="center"/>
    </xf>
    <xf numFmtId="3" fontId="13" fillId="51" borderId="60" xfId="0" applyNumberFormat="1" applyFont="1" applyFill="1" applyBorder="1" applyAlignment="1">
      <alignment horizontal="center" vertical="center"/>
    </xf>
    <xf numFmtId="3" fontId="14" fillId="51" borderId="60" xfId="0" applyNumberFormat="1" applyFont="1" applyFill="1" applyBorder="1" applyAlignment="1">
      <alignment horizontal="right" vertical="center"/>
    </xf>
    <xf numFmtId="0" fontId="11" fillId="0" borderId="60" xfId="134" applyFont="1" applyBorder="1" applyAlignment="1">
      <alignment horizontal="center" vertical="center"/>
    </xf>
    <xf numFmtId="3" fontId="14" fillId="0" borderId="0" xfId="0" applyNumberFormat="1" applyFont="1" applyAlignment="1">
      <alignment vertical="center" wrapText="1"/>
    </xf>
    <xf numFmtId="3" fontId="11" fillId="0" borderId="60" xfId="134" applyNumberFormat="1" applyFont="1" applyBorder="1" applyAlignment="1">
      <alignment horizontal="center" vertical="center" wrapText="1"/>
    </xf>
    <xf numFmtId="3" fontId="11" fillId="0" borderId="60" xfId="134" applyNumberFormat="1" applyFont="1" applyBorder="1" applyAlignment="1">
      <alignment vertical="center" wrapText="1"/>
    </xf>
    <xf numFmtId="3" fontId="80" fillId="0" borderId="60" xfId="134" applyNumberFormat="1" applyFont="1" applyBorder="1" applyAlignment="1">
      <alignment vertical="center" wrapText="1"/>
    </xf>
    <xf numFmtId="3" fontId="14" fillId="0" borderId="63" xfId="0" applyNumberFormat="1" applyFont="1" applyBorder="1" applyAlignment="1">
      <alignment vertical="center"/>
    </xf>
    <xf numFmtId="0" fontId="11" fillId="0" borderId="51" xfId="154" applyFont="1" applyBorder="1" applyAlignment="1">
      <alignment vertical="center" wrapText="1"/>
    </xf>
    <xf numFmtId="0" fontId="21" fillId="0" borderId="51" xfId="154" applyFont="1" applyBorder="1" applyAlignment="1">
      <alignment vertical="center"/>
    </xf>
    <xf numFmtId="3" fontId="11" fillId="0" borderId="50" xfId="157" applyNumberFormat="1" applyFont="1" applyBorder="1" applyAlignment="1">
      <alignment horizontal="left" vertical="center" wrapText="1"/>
    </xf>
    <xf numFmtId="3" fontId="11" fillId="48" borderId="50" xfId="131" applyNumberFormat="1" applyFont="1" applyFill="1" applyBorder="1" applyAlignment="1">
      <alignment vertical="top" wrapText="1"/>
    </xf>
    <xf numFmtId="3" fontId="11" fillId="0" borderId="50" xfId="159" applyNumberFormat="1" applyFont="1" applyBorder="1" applyAlignment="1">
      <alignment vertical="top" wrapText="1"/>
    </xf>
    <xf numFmtId="3" fontId="11" fillId="0" borderId="35" xfId="0" applyNumberFormat="1" applyFont="1" applyBorder="1" applyAlignment="1">
      <alignment vertical="center" wrapText="1"/>
    </xf>
    <xf numFmtId="3" fontId="11" fillId="0" borderId="35" xfId="130" applyNumberFormat="1" applyFont="1" applyBorder="1" applyAlignment="1">
      <alignment vertical="top" wrapText="1"/>
    </xf>
    <xf numFmtId="0" fontId="11" fillId="0" borderId="50" xfId="129" applyFont="1" applyBorder="1" applyAlignment="1">
      <alignment vertical="center" wrapText="1"/>
    </xf>
    <xf numFmtId="3" fontId="11" fillId="0" borderId="35" xfId="159" applyNumberFormat="1" applyFont="1" applyBorder="1" applyAlignment="1">
      <alignment vertical="top" wrapText="1"/>
    </xf>
    <xf numFmtId="3" fontId="11" fillId="0" borderId="33" xfId="0" applyNumberFormat="1" applyFont="1" applyBorder="1" applyAlignment="1">
      <alignment vertical="center"/>
    </xf>
    <xf numFmtId="0" fontId="12" fillId="46" borderId="33" xfId="134" applyFont="1" applyFill="1" applyBorder="1" applyAlignment="1">
      <alignment vertical="center"/>
    </xf>
    <xf numFmtId="0" fontId="11" fillId="0" borderId="64" xfId="0" applyFont="1" applyBorder="1" applyAlignment="1">
      <alignment horizontal="left" vertical="center" wrapText="1"/>
    </xf>
    <xf numFmtId="3" fontId="14" fillId="0" borderId="60" xfId="136" applyNumberFormat="1" applyFont="1" applyBorder="1" applyAlignment="1">
      <alignment horizontal="right" vertical="center"/>
    </xf>
    <xf numFmtId="3" fontId="13" fillId="0" borderId="60" xfId="0" applyNumberFormat="1" applyFont="1" applyBorder="1" applyAlignment="1">
      <alignment horizontal="center" vertical="center"/>
    </xf>
    <xf numFmtId="3" fontId="13" fillId="0" borderId="60" xfId="0" applyNumberFormat="1" applyFont="1" applyBorder="1" applyAlignment="1">
      <alignment vertical="center"/>
    </xf>
    <xf numFmtId="0" fontId="11" fillId="0" borderId="65" xfId="134" applyFont="1" applyBorder="1" applyAlignment="1">
      <alignment horizontal="center" vertical="center"/>
    </xf>
    <xf numFmtId="3" fontId="11" fillId="0" borderId="65" xfId="134" applyNumberFormat="1" applyFont="1" applyBorder="1" applyAlignment="1">
      <alignment vertical="center"/>
    </xf>
    <xf numFmtId="3" fontId="13" fillId="51" borderId="66" xfId="0" applyNumberFormat="1" applyFont="1" applyFill="1" applyBorder="1" applyAlignment="1">
      <alignment horizontal="center" vertical="center"/>
    </xf>
    <xf numFmtId="0" fontId="11" fillId="0" borderId="0" xfId="154" applyFont="1" applyAlignment="1">
      <alignment vertical="center"/>
    </xf>
    <xf numFmtId="49" fontId="14" fillId="0" borderId="53" xfId="165" applyNumberFormat="1" applyFont="1" applyBorder="1" applyAlignment="1">
      <alignment horizontal="left" vertical="center" wrapText="1"/>
    </xf>
    <xf numFmtId="3" fontId="14" fillId="0" borderId="61" xfId="0" applyNumberFormat="1" applyFont="1" applyBorder="1" applyAlignment="1">
      <alignment horizontal="center" vertical="center"/>
    </xf>
    <xf numFmtId="0" fontId="14" fillId="0" borderId="33" xfId="129" applyFont="1" applyBorder="1" applyAlignment="1">
      <alignment vertical="center" wrapText="1"/>
    </xf>
    <xf numFmtId="0" fontId="11" fillId="0" borderId="64" xfId="134" applyFont="1" applyBorder="1" applyAlignment="1">
      <alignment vertical="center" wrapText="1"/>
    </xf>
    <xf numFmtId="3" fontId="14" fillId="0" borderId="67" xfId="0" applyNumberFormat="1" applyFont="1" applyBorder="1" applyAlignment="1">
      <alignment horizontal="right" vertical="center"/>
    </xf>
    <xf numFmtId="3" fontId="14" fillId="0" borderId="67" xfId="0" applyNumberFormat="1" applyFont="1" applyBorder="1" applyAlignment="1">
      <alignment vertical="center"/>
    </xf>
    <xf numFmtId="3" fontId="14" fillId="0" borderId="67" xfId="0" applyNumberFormat="1" applyFont="1" applyBorder="1" applyAlignment="1">
      <alignment horizontal="center" vertical="center"/>
    </xf>
    <xf numFmtId="3" fontId="14" fillId="0" borderId="68" xfId="0" applyNumberFormat="1" applyFont="1" applyBorder="1" applyAlignment="1">
      <alignment vertical="center"/>
    </xf>
    <xf numFmtId="3" fontId="13" fillId="0" borderId="67" xfId="0" applyNumberFormat="1" applyFont="1" applyBorder="1" applyAlignment="1">
      <alignment horizontal="center" vertical="center"/>
    </xf>
    <xf numFmtId="3" fontId="14" fillId="48" borderId="69" xfId="0" applyNumberFormat="1" applyFont="1" applyFill="1" applyBorder="1" applyAlignment="1">
      <alignment horizontal="center" vertical="center"/>
    </xf>
    <xf numFmtId="3" fontId="14" fillId="0" borderId="67" xfId="136" applyNumberFormat="1" applyFont="1" applyBorder="1" applyAlignment="1">
      <alignment horizontal="right" vertical="center"/>
    </xf>
    <xf numFmtId="3" fontId="11" fillId="0" borderId="65" xfId="134" applyNumberFormat="1" applyFont="1" applyBorder="1" applyAlignment="1">
      <alignment horizontal="center" vertical="center"/>
    </xf>
    <xf numFmtId="3" fontId="14" fillId="0" borderId="36" xfId="136" applyNumberFormat="1" applyFont="1" applyBorder="1" applyAlignment="1">
      <alignment vertical="center" wrapText="1"/>
    </xf>
    <xf numFmtId="3" fontId="14" fillId="0" borderId="56" xfId="136" applyNumberFormat="1" applyFont="1" applyBorder="1" applyAlignment="1">
      <alignment vertical="center"/>
    </xf>
    <xf numFmtId="0" fontId="85" fillId="0" borderId="37" xfId="161" applyFont="1" applyBorder="1" applyAlignment="1">
      <alignment horizontal="left" vertical="center" wrapText="1"/>
    </xf>
    <xf numFmtId="3" fontId="14" fillId="0" borderId="42" xfId="162" applyNumberFormat="1" applyFont="1" applyBorder="1" applyAlignment="1">
      <alignment vertical="center" wrapText="1"/>
    </xf>
    <xf numFmtId="3" fontId="14" fillId="0" borderId="36" xfId="162" applyNumberFormat="1" applyFont="1" applyBorder="1" applyAlignment="1">
      <alignment vertical="center" wrapText="1"/>
    </xf>
    <xf numFmtId="3" fontId="14" fillId="0" borderId="29" xfId="162" applyNumberFormat="1" applyFont="1" applyBorder="1" applyAlignment="1">
      <alignment vertical="center" wrapText="1"/>
    </xf>
    <xf numFmtId="3" fontId="14" fillId="0" borderId="71" xfId="0" applyNumberFormat="1" applyFont="1" applyBorder="1" applyAlignment="1">
      <alignment vertical="center"/>
    </xf>
    <xf numFmtId="3" fontId="14" fillId="51" borderId="33" xfId="136" applyNumberFormat="1" applyFont="1" applyFill="1" applyBorder="1" applyAlignment="1">
      <alignment horizontal="left" vertical="center"/>
    </xf>
    <xf numFmtId="0" fontId="12" fillId="46" borderId="72" xfId="128" applyFont="1" applyFill="1" applyBorder="1" applyAlignment="1">
      <alignment horizontal="center" vertical="center"/>
    </xf>
    <xf numFmtId="0" fontId="11" fillId="0" borderId="72" xfId="128" applyFont="1" applyBorder="1" applyAlignment="1">
      <alignment vertical="center"/>
    </xf>
    <xf numFmtId="0" fontId="14" fillId="0" borderId="72" xfId="132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72" xfId="128" applyFont="1" applyBorder="1" applyAlignment="1">
      <alignment horizontal="center" vertical="center" wrapText="1"/>
    </xf>
    <xf numFmtId="0" fontId="59" fillId="0" borderId="7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11" fillId="49" borderId="72" xfId="128" applyFont="1" applyFill="1" applyBorder="1" applyAlignment="1">
      <alignment vertical="center"/>
    </xf>
    <xf numFmtId="0" fontId="13" fillId="46" borderId="72" xfId="128" applyFont="1" applyFill="1" applyBorder="1" applyAlignment="1">
      <alignment horizontal="center" vertical="center"/>
    </xf>
    <xf numFmtId="3" fontId="13" fillId="0" borderId="72" xfId="136" applyNumberFormat="1" applyFon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11" fillId="0" borderId="72" xfId="0" applyFont="1" applyBorder="1" applyAlignment="1">
      <alignment horizontal="center" wrapText="1"/>
    </xf>
    <xf numFmtId="3" fontId="14" fillId="0" borderId="72" xfId="136" applyNumberFormat="1" applyFont="1" applyBorder="1" applyAlignment="1">
      <alignment horizontal="center" vertical="center" wrapText="1"/>
    </xf>
    <xf numFmtId="0" fontId="92" fillId="0" borderId="72" xfId="0" applyFont="1" applyBorder="1" applyAlignment="1">
      <alignment horizontal="left" vertical="center"/>
    </xf>
    <xf numFmtId="3" fontId="9" fillId="0" borderId="67" xfId="0" applyNumberFormat="1" applyFont="1" applyBorder="1" applyAlignment="1">
      <alignment vertical="center"/>
    </xf>
    <xf numFmtId="3" fontId="9" fillId="49" borderId="67" xfId="0" applyNumberFormat="1" applyFont="1" applyFill="1" applyBorder="1" applyAlignment="1">
      <alignment vertical="center"/>
    </xf>
    <xf numFmtId="0" fontId="92" fillId="0" borderId="67" xfId="0" applyFont="1" applyBorder="1" applyAlignment="1">
      <alignment horizontal="left" vertical="center"/>
    </xf>
    <xf numFmtId="3" fontId="20" fillId="0" borderId="67" xfId="132" applyNumberFormat="1" applyFont="1" applyBorder="1" applyAlignment="1">
      <alignment horizontal="right" vertical="center" wrapText="1"/>
    </xf>
    <xf numFmtId="3" fontId="14" fillId="0" borderId="67" xfId="133" applyNumberFormat="1" applyFont="1" applyBorder="1" applyAlignment="1">
      <alignment horizontal="right" vertical="center" wrapText="1"/>
    </xf>
    <xf numFmtId="3" fontId="14" fillId="0" borderId="67" xfId="133" applyNumberFormat="1" applyFont="1" applyBorder="1" applyAlignment="1">
      <alignment horizontal="right" vertical="center"/>
    </xf>
    <xf numFmtId="3" fontId="14" fillId="0" borderId="67" xfId="135" applyNumberFormat="1" applyFont="1" applyBorder="1" applyAlignment="1">
      <alignment horizontal="right" vertical="center"/>
    </xf>
    <xf numFmtId="3" fontId="14" fillId="0" borderId="67" xfId="132" applyNumberFormat="1" applyFont="1" applyBorder="1" applyAlignment="1">
      <alignment horizontal="right" vertical="center" wrapText="1"/>
    </xf>
    <xf numFmtId="3" fontId="11" fillId="0" borderId="67" xfId="136" applyNumberFormat="1" applyFont="1" applyBorder="1" applyAlignment="1">
      <alignment horizontal="right" vertical="center" wrapText="1"/>
    </xf>
    <xf numFmtId="3" fontId="11" fillId="0" borderId="67" xfId="136" applyNumberFormat="1" applyFont="1" applyBorder="1" applyAlignment="1">
      <alignment horizontal="right" vertical="center"/>
    </xf>
    <xf numFmtId="3" fontId="12" fillId="0" borderId="67" xfId="136" applyNumberFormat="1" applyFont="1" applyBorder="1" applyAlignment="1">
      <alignment horizontal="right" vertical="center" wrapText="1"/>
    </xf>
    <xf numFmtId="3" fontId="12" fillId="46" borderId="67" xfId="136" applyNumberFormat="1" applyFont="1" applyFill="1" applyBorder="1" applyAlignment="1">
      <alignment horizontal="right" vertical="center" wrapText="1"/>
    </xf>
    <xf numFmtId="3" fontId="12" fillId="0" borderId="13" xfId="136" applyNumberFormat="1" applyFont="1" applyBorder="1" applyAlignment="1">
      <alignment horizontal="right" vertical="center"/>
    </xf>
    <xf numFmtId="0" fontId="14" fillId="0" borderId="13" xfId="134" applyFont="1" applyBorder="1" applyAlignment="1">
      <alignment vertical="center"/>
    </xf>
    <xf numFmtId="0" fontId="15" fillId="0" borderId="72" xfId="151" applyFont="1" applyBorder="1" applyAlignment="1">
      <alignment vertical="center"/>
    </xf>
    <xf numFmtId="0" fontId="14" fillId="0" borderId="72" xfId="151" applyFont="1" applyBorder="1" applyAlignment="1">
      <alignment vertical="center" wrapText="1"/>
    </xf>
    <xf numFmtId="3" fontId="11" fillId="0" borderId="72" xfId="151" applyNumberFormat="1" applyFont="1" applyBorder="1" applyAlignment="1">
      <alignment horizontal="right" vertical="center"/>
    </xf>
    <xf numFmtId="3" fontId="80" fillId="0" borderId="72" xfId="151" applyNumberFormat="1" applyFont="1" applyBorder="1" applyAlignment="1">
      <alignment horizontal="right" vertical="center"/>
    </xf>
    <xf numFmtId="165" fontId="11" fillId="0" borderId="72" xfId="151" applyNumberFormat="1" applyFont="1" applyBorder="1" applyAlignment="1">
      <alignment horizontal="right" vertical="center"/>
    </xf>
    <xf numFmtId="0" fontId="9" fillId="0" borderId="72" xfId="151" applyFont="1" applyBorder="1" applyAlignment="1">
      <alignment vertical="center"/>
    </xf>
    <xf numFmtId="4" fontId="11" fillId="0" borderId="72" xfId="151" applyNumberFormat="1" applyFont="1" applyBorder="1" applyAlignment="1">
      <alignment horizontal="right" vertical="center"/>
    </xf>
    <xf numFmtId="167" fontId="9" fillId="0" borderId="70" xfId="172" applyNumberFormat="1" applyFont="1" applyBorder="1" applyAlignment="1">
      <alignment vertical="center"/>
    </xf>
    <xf numFmtId="3" fontId="12" fillId="53" borderId="35" xfId="151" applyNumberFormat="1" applyFont="1" applyFill="1" applyBorder="1" applyAlignment="1">
      <alignment horizontal="right" vertical="center"/>
    </xf>
    <xf numFmtId="0" fontId="11" fillId="0" borderId="72" xfId="134" applyFont="1" applyBorder="1" applyAlignment="1">
      <alignment horizontal="center" vertical="center"/>
    </xf>
    <xf numFmtId="3" fontId="11" fillId="0" borderId="72" xfId="134" applyNumberFormat="1" applyFont="1" applyBorder="1" applyAlignment="1">
      <alignment vertical="center"/>
    </xf>
    <xf numFmtId="3" fontId="80" fillId="0" borderId="72" xfId="134" applyNumberFormat="1" applyFont="1" applyBorder="1" applyAlignment="1">
      <alignment vertical="center"/>
    </xf>
    <xf numFmtId="3" fontId="11" fillId="0" borderId="72" xfId="134" applyNumberFormat="1" applyFont="1" applyBorder="1" applyAlignment="1">
      <alignment vertical="center" wrapText="1"/>
    </xf>
    <xf numFmtId="3" fontId="80" fillId="0" borderId="72" xfId="134" applyNumberFormat="1" applyFont="1" applyBorder="1" applyAlignment="1">
      <alignment vertical="center" wrapText="1"/>
    </xf>
    <xf numFmtId="0" fontId="12" fillId="0" borderId="72" xfId="134" applyFont="1" applyBorder="1" applyAlignment="1">
      <alignment horizontal="center" vertical="center"/>
    </xf>
    <xf numFmtId="3" fontId="13" fillId="0" borderId="72" xfId="0" applyNumberFormat="1" applyFont="1" applyBorder="1" applyAlignment="1">
      <alignment horizontal="center" vertical="center"/>
    </xf>
    <xf numFmtId="0" fontId="14" fillId="0" borderId="71" xfId="0" applyFont="1" applyBorder="1" applyAlignment="1">
      <alignment horizontal="left" vertical="center" wrapText="1"/>
    </xf>
    <xf numFmtId="3" fontId="14" fillId="0" borderId="72" xfId="0" applyNumberFormat="1" applyFont="1" applyBorder="1" applyAlignment="1">
      <alignment vertical="center"/>
    </xf>
    <xf numFmtId="3" fontId="14" fillId="0" borderId="72" xfId="0" applyNumberFormat="1" applyFont="1" applyBorder="1" applyAlignment="1">
      <alignment horizontal="right" vertical="center"/>
    </xf>
    <xf numFmtId="3" fontId="9" fillId="0" borderId="72" xfId="0" applyNumberFormat="1" applyFont="1" applyBorder="1" applyAlignment="1">
      <alignment vertical="center"/>
    </xf>
    <xf numFmtId="3" fontId="14" fillId="0" borderId="71" xfId="0" applyNumberFormat="1" applyFont="1" applyBorder="1" applyAlignment="1">
      <alignment vertical="center" wrapText="1"/>
    </xf>
    <xf numFmtId="0" fontId="14" fillId="0" borderId="68" xfId="0" applyFont="1" applyBorder="1" applyAlignment="1">
      <alignment vertical="center"/>
    </xf>
    <xf numFmtId="0" fontId="14" fillId="0" borderId="71" xfId="129" applyFont="1" applyBorder="1" applyAlignment="1">
      <alignment vertical="center" wrapText="1"/>
    </xf>
    <xf numFmtId="3" fontId="12" fillId="46" borderId="76" xfId="0" applyNumberFormat="1" applyFont="1" applyFill="1" applyBorder="1" applyAlignment="1">
      <alignment horizontal="center" vertical="center" wrapText="1"/>
    </xf>
    <xf numFmtId="3" fontId="12" fillId="0" borderId="73" xfId="0" applyNumberFormat="1" applyFont="1" applyBorder="1" applyAlignment="1">
      <alignment vertical="center" wrapText="1"/>
    </xf>
    <xf numFmtId="3" fontId="12" fillId="46" borderId="19" xfId="0" applyNumberFormat="1" applyFont="1" applyFill="1" applyBorder="1" applyAlignment="1">
      <alignment horizontal="center" vertical="center" wrapText="1"/>
    </xf>
    <xf numFmtId="0" fontId="11" fillId="0" borderId="74" xfId="134" applyFont="1" applyBorder="1" applyAlignment="1">
      <alignment vertical="center" wrapText="1"/>
    </xf>
    <xf numFmtId="49" fontId="11" fillId="0" borderId="75" xfId="134" applyNumberFormat="1" applyFont="1" applyBorder="1" applyAlignment="1">
      <alignment horizontal="center" vertical="center" wrapText="1"/>
    </xf>
    <xf numFmtId="3" fontId="14" fillId="0" borderId="74" xfId="0" applyNumberFormat="1" applyFont="1" applyBorder="1" applyAlignment="1">
      <alignment horizontal="left" vertical="center" wrapText="1"/>
    </xf>
    <xf numFmtId="0" fontId="14" fillId="0" borderId="75" xfId="0" applyFont="1" applyBorder="1" applyAlignment="1">
      <alignment vertical="center"/>
    </xf>
    <xf numFmtId="3" fontId="14" fillId="0" borderId="77" xfId="0" applyNumberFormat="1" applyFont="1" applyBorder="1" applyAlignment="1">
      <alignment vertical="center"/>
    </xf>
    <xf numFmtId="3" fontId="14" fillId="0" borderId="73" xfId="0" applyNumberFormat="1" applyFont="1" applyBorder="1" applyAlignment="1">
      <alignment vertical="center"/>
    </xf>
    <xf numFmtId="3" fontId="11" fillId="0" borderId="50" xfId="159" applyNumberFormat="1" applyFont="1" applyBorder="1" applyAlignment="1">
      <alignment vertical="center" wrapText="1"/>
    </xf>
    <xf numFmtId="3" fontId="11" fillId="0" borderId="35" xfId="130" applyNumberFormat="1" applyFont="1" applyBorder="1" applyAlignment="1">
      <alignment vertical="center" wrapText="1"/>
    </xf>
    <xf numFmtId="3" fontId="13" fillId="0" borderId="68" xfId="0" applyNumberFormat="1" applyFont="1" applyBorder="1" applyAlignment="1">
      <alignment vertical="center"/>
    </xf>
    <xf numFmtId="3" fontId="14" fillId="0" borderId="72" xfId="0" applyNumberFormat="1" applyFont="1" applyBorder="1" applyAlignment="1">
      <alignment horizontal="right" vertical="center" wrapText="1"/>
    </xf>
    <xf numFmtId="0" fontId="14" fillId="0" borderId="72" xfId="0" applyFont="1" applyBorder="1" applyAlignment="1">
      <alignment vertical="center"/>
    </xf>
    <xf numFmtId="0" fontId="11" fillId="0" borderId="71" xfId="156" applyFont="1" applyBorder="1" applyAlignment="1">
      <alignment vertical="center" wrapText="1"/>
    </xf>
    <xf numFmtId="0" fontId="11" fillId="0" borderId="72" xfId="84" applyNumberFormat="1" applyFont="1" applyFill="1" applyBorder="1" applyAlignment="1">
      <alignment horizontal="center" vertical="center"/>
    </xf>
    <xf numFmtId="0" fontId="14" fillId="0" borderId="72" xfId="151" applyFont="1" applyBorder="1" applyAlignment="1">
      <alignment vertical="center"/>
    </xf>
    <xf numFmtId="0" fontId="15" fillId="0" borderId="72" xfId="151" applyFont="1" applyBorder="1" applyAlignment="1">
      <alignment horizontal="left" vertical="top"/>
    </xf>
    <xf numFmtId="0" fontId="14" fillId="0" borderId="68" xfId="151" applyFont="1" applyBorder="1" applyAlignment="1">
      <alignment vertical="center"/>
    </xf>
    <xf numFmtId="3" fontId="14" fillId="0" borderId="72" xfId="151" applyNumberFormat="1" applyFont="1" applyBorder="1" applyAlignment="1">
      <alignment vertical="center"/>
    </xf>
    <xf numFmtId="3" fontId="14" fillId="0" borderId="71" xfId="151" applyNumberFormat="1" applyFont="1" applyBorder="1" applyAlignment="1">
      <alignment vertical="center"/>
    </xf>
    <xf numFmtId="3" fontId="11" fillId="0" borderId="71" xfId="151" applyNumberFormat="1" applyFont="1" applyBorder="1" applyAlignment="1">
      <alignment horizontal="right" vertical="center"/>
    </xf>
    <xf numFmtId="167" fontId="14" fillId="0" borderId="72" xfId="174" applyNumberFormat="1" applyFont="1" applyBorder="1" applyAlignment="1">
      <alignment vertical="center"/>
    </xf>
    <xf numFmtId="3" fontId="11" fillId="0" borderId="72" xfId="151" applyNumberFormat="1" applyFont="1" applyBorder="1" applyAlignment="1">
      <alignment vertical="center"/>
    </xf>
    <xf numFmtId="3" fontId="11" fillId="0" borderId="71" xfId="151" applyNumberFormat="1" applyFont="1" applyBorder="1" applyAlignment="1">
      <alignment vertical="center"/>
    </xf>
    <xf numFmtId="3" fontId="80" fillId="0" borderId="71" xfId="151" applyNumberFormat="1" applyFont="1" applyBorder="1" applyAlignment="1">
      <alignment horizontal="right" vertical="center"/>
    </xf>
    <xf numFmtId="0" fontId="14" fillId="0" borderId="72" xfId="151" applyFont="1" applyBorder="1" applyAlignment="1">
      <alignment horizontal="left" vertical="center" wrapText="1"/>
    </xf>
    <xf numFmtId="0" fontId="15" fillId="0" borderId="72" xfId="151" applyFont="1" applyBorder="1" applyAlignment="1">
      <alignment vertical="center" wrapText="1"/>
    </xf>
    <xf numFmtId="167" fontId="14" fillId="0" borderId="72" xfId="174" applyNumberFormat="1" applyFont="1" applyFill="1" applyBorder="1" applyAlignment="1">
      <alignment vertical="center"/>
    </xf>
    <xf numFmtId="0" fontId="21" fillId="0" borderId="72" xfId="151" applyFont="1" applyBorder="1" applyAlignment="1">
      <alignment vertical="center"/>
    </xf>
    <xf numFmtId="0" fontId="13" fillId="0" borderId="72" xfId="151" applyFont="1" applyBorder="1" applyAlignment="1">
      <alignment vertical="center" wrapText="1"/>
    </xf>
    <xf numFmtId="0" fontId="11" fillId="0" borderId="72" xfId="84" applyNumberFormat="1" applyFont="1" applyBorder="1" applyAlignment="1">
      <alignment horizontal="center" vertical="center"/>
    </xf>
    <xf numFmtId="3" fontId="11" fillId="0" borderId="81" xfId="0" applyNumberFormat="1" applyFont="1" applyBorder="1" applyAlignment="1">
      <alignment horizontal="center" vertical="center"/>
    </xf>
    <xf numFmtId="3" fontId="11" fillId="0" borderId="81" xfId="134" applyNumberFormat="1" applyFont="1" applyBorder="1" applyAlignment="1">
      <alignment vertical="center" wrapText="1"/>
    </xf>
    <xf numFmtId="3" fontId="11" fillId="0" borderId="81" xfId="134" applyNumberFormat="1" applyFont="1" applyBorder="1" applyAlignment="1">
      <alignment vertical="center"/>
    </xf>
    <xf numFmtId="0" fontId="11" fillId="0" borderId="81" xfId="134" applyFont="1" applyBorder="1" applyAlignment="1">
      <alignment horizontal="center" vertical="center"/>
    </xf>
    <xf numFmtId="3" fontId="11" fillId="0" borderId="82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horizontal="center" vertical="center"/>
    </xf>
    <xf numFmtId="3" fontId="14" fillId="0" borderId="83" xfId="159" applyNumberFormat="1" applyFont="1" applyBorder="1" applyAlignment="1">
      <alignment vertical="top" wrapText="1"/>
    </xf>
    <xf numFmtId="3" fontId="14" fillId="0" borderId="84" xfId="0" applyNumberFormat="1" applyFont="1" applyBorder="1" applyAlignment="1">
      <alignment vertical="center" wrapText="1"/>
    </xf>
    <xf numFmtId="0" fontId="11" fillId="0" borderId="81" xfId="129" applyFont="1" applyBorder="1" applyAlignment="1">
      <alignment horizontal="center" vertical="center" wrapText="1"/>
    </xf>
    <xf numFmtId="3" fontId="14" fillId="0" borderId="85" xfId="0" applyNumberFormat="1" applyFont="1" applyBorder="1" applyAlignment="1">
      <alignment horizontal="left" vertical="center" wrapText="1"/>
    </xf>
    <xf numFmtId="0" fontId="11" fillId="0" borderId="0" xfId="129" applyFont="1" applyAlignment="1">
      <alignment horizontal="center" vertical="center" wrapText="1"/>
    </xf>
    <xf numFmtId="3" fontId="14" fillId="0" borderId="80" xfId="0" applyNumberFormat="1" applyFont="1" applyBorder="1" applyAlignment="1">
      <alignment horizontal="left" vertical="center" wrapText="1"/>
    </xf>
    <xf numFmtId="3" fontId="11" fillId="0" borderId="81" xfId="129" applyNumberFormat="1" applyFont="1" applyBorder="1" applyAlignment="1">
      <alignment horizontal="center" vertical="center" wrapText="1"/>
    </xf>
    <xf numFmtId="3" fontId="14" fillId="0" borderId="81" xfId="129" applyNumberFormat="1" applyFont="1" applyBorder="1" applyAlignment="1">
      <alignment horizontal="center" vertical="center" wrapText="1"/>
    </xf>
    <xf numFmtId="0" fontId="11" fillId="0" borderId="71" xfId="134" applyFont="1" applyBorder="1" applyAlignment="1">
      <alignment vertical="center" wrapText="1"/>
    </xf>
    <xf numFmtId="3" fontId="11" fillId="0" borderId="81" xfId="134" applyNumberFormat="1" applyFont="1" applyBorder="1" applyAlignment="1">
      <alignment horizontal="center" vertical="center" wrapText="1"/>
    </xf>
    <xf numFmtId="3" fontId="80" fillId="0" borderId="81" xfId="134" applyNumberFormat="1" applyFont="1" applyBorder="1" applyAlignment="1">
      <alignment vertical="center"/>
    </xf>
    <xf numFmtId="3" fontId="11" fillId="0" borderId="83" xfId="0" applyNumberFormat="1" applyFont="1" applyBorder="1" applyAlignment="1">
      <alignment vertical="center" wrapText="1"/>
    </xf>
    <xf numFmtId="3" fontId="11" fillId="0" borderId="81" xfId="0" applyNumberFormat="1" applyFont="1" applyBorder="1" applyAlignment="1">
      <alignment horizontal="center" vertical="center" wrapText="1"/>
    </xf>
    <xf numFmtId="3" fontId="80" fillId="0" borderId="81" xfId="134" applyNumberFormat="1" applyFont="1" applyBorder="1" applyAlignment="1">
      <alignment vertical="center" wrapText="1"/>
    </xf>
    <xf numFmtId="0" fontId="14" fillId="0" borderId="81" xfId="175" applyFont="1" applyBorder="1" applyAlignment="1">
      <alignment wrapText="1"/>
    </xf>
    <xf numFmtId="0" fontId="11" fillId="0" borderId="83" xfId="134" applyFont="1" applyBorder="1" applyAlignment="1">
      <alignment vertical="center" wrapText="1"/>
    </xf>
    <xf numFmtId="3" fontId="14" fillId="0" borderId="83" xfId="0" applyNumberFormat="1" applyFont="1" applyBorder="1" applyAlignment="1">
      <alignment vertical="center"/>
    </xf>
    <xf numFmtId="3" fontId="14" fillId="0" borderId="81" xfId="136" applyNumberFormat="1" applyFont="1" applyBorder="1" applyAlignment="1">
      <alignment horizontal="center" vertical="center"/>
    </xf>
    <xf numFmtId="3" fontId="14" fillId="0" borderId="83" xfId="136" applyNumberFormat="1" applyFont="1" applyBorder="1" applyAlignment="1">
      <alignment horizontal="center" vertical="center"/>
    </xf>
    <xf numFmtId="3" fontId="14" fillId="0" borderId="83" xfId="136" applyNumberFormat="1" applyFont="1" applyBorder="1" applyAlignment="1">
      <alignment vertical="center" wrapText="1"/>
    </xf>
    <xf numFmtId="0" fontId="14" fillId="0" borderId="81" xfId="0" applyFont="1" applyBorder="1" applyAlignment="1">
      <alignment vertical="center"/>
    </xf>
    <xf numFmtId="3" fontId="14" fillId="0" borderId="81" xfId="136" applyNumberFormat="1" applyFont="1" applyBorder="1" applyAlignment="1">
      <alignment vertical="center"/>
    </xf>
    <xf numFmtId="3" fontId="14" fillId="0" borderId="81" xfId="136" applyNumberFormat="1" applyFont="1" applyBorder="1" applyAlignment="1">
      <alignment horizontal="right" vertical="center"/>
    </xf>
    <xf numFmtId="3" fontId="9" fillId="0" borderId="81" xfId="0" applyNumberFormat="1" applyFont="1" applyBorder="1" applyAlignment="1">
      <alignment vertical="center"/>
    </xf>
    <xf numFmtId="49" fontId="14" fillId="0" borderId="80" xfId="0" applyNumberFormat="1" applyFont="1" applyBorder="1" applyAlignment="1">
      <alignment horizontal="left" vertical="center" wrapText="1"/>
    </xf>
    <xf numFmtId="3" fontId="14" fillId="0" borderId="81" xfId="0" applyNumberFormat="1" applyFont="1" applyBorder="1" applyAlignment="1">
      <alignment vertical="center"/>
    </xf>
    <xf numFmtId="0" fontId="14" fillId="0" borderId="77" xfId="0" applyFont="1" applyBorder="1" applyAlignment="1">
      <alignment horizontal="left" vertical="center" wrapText="1"/>
    </xf>
    <xf numFmtId="3" fontId="13" fillId="0" borderId="81" xfId="0" applyNumberFormat="1" applyFont="1" applyBorder="1" applyAlignment="1">
      <alignment horizontal="center" vertical="center"/>
    </xf>
    <xf numFmtId="49" fontId="13" fillId="0" borderId="83" xfId="157" applyNumberFormat="1" applyFont="1" applyBorder="1" applyAlignment="1">
      <alignment horizontal="center" vertical="center" wrapText="1"/>
    </xf>
    <xf numFmtId="49" fontId="14" fillId="0" borderId="83" xfId="157" applyNumberFormat="1" applyFont="1" applyBorder="1" applyAlignment="1">
      <alignment horizontal="left" vertical="center" wrapText="1"/>
    </xf>
    <xf numFmtId="3" fontId="13" fillId="0" borderId="83" xfId="0" applyNumberFormat="1" applyFont="1" applyBorder="1" applyAlignment="1">
      <alignment horizontal="center" vertical="center"/>
    </xf>
    <xf numFmtId="3" fontId="13" fillId="0" borderId="81" xfId="0" applyNumberFormat="1" applyFont="1" applyBorder="1" applyAlignment="1">
      <alignment vertical="center"/>
    </xf>
    <xf numFmtId="3" fontId="14" fillId="0" borderId="83" xfId="0" applyNumberFormat="1" applyFont="1" applyBorder="1" applyAlignment="1">
      <alignment horizontal="center" vertical="center"/>
    </xf>
    <xf numFmtId="0" fontId="14" fillId="0" borderId="83" xfId="0" applyFont="1" applyBorder="1" applyAlignment="1">
      <alignment horizontal="left" vertical="center" wrapText="1"/>
    </xf>
    <xf numFmtId="3" fontId="14" fillId="0" borderId="83" xfId="0" applyNumberFormat="1" applyFont="1" applyBorder="1" applyAlignment="1">
      <alignment vertical="center" wrapText="1"/>
    </xf>
    <xf numFmtId="3" fontId="14" fillId="0" borderId="81" xfId="157" applyNumberFormat="1" applyFont="1" applyBorder="1" applyAlignment="1">
      <alignment vertical="center" wrapText="1"/>
    </xf>
    <xf numFmtId="3" fontId="14" fillId="0" borderId="83" xfId="157" applyNumberFormat="1" applyFont="1" applyBorder="1" applyAlignment="1">
      <alignment vertical="center" wrapText="1"/>
    </xf>
    <xf numFmtId="0" fontId="14" fillId="0" borderId="81" xfId="0" applyFont="1" applyBorder="1" applyAlignment="1">
      <alignment vertical="center" wrapText="1"/>
    </xf>
    <xf numFmtId="3" fontId="14" fillId="0" borderId="81" xfId="0" applyNumberFormat="1" applyFont="1" applyBorder="1" applyAlignment="1">
      <alignment vertical="center" wrapText="1"/>
    </xf>
    <xf numFmtId="3" fontId="94" fillId="0" borderId="83" xfId="0" applyNumberFormat="1" applyFont="1" applyBorder="1" applyAlignment="1">
      <alignment vertical="center"/>
    </xf>
    <xf numFmtId="3" fontId="94" fillId="0" borderId="81" xfId="0" applyNumberFormat="1" applyFont="1" applyBorder="1" applyAlignment="1">
      <alignment vertical="center"/>
    </xf>
    <xf numFmtId="3" fontId="14" fillId="0" borderId="75" xfId="0" applyNumberFormat="1" applyFont="1" applyBorder="1" applyAlignment="1">
      <alignment horizontal="center" vertical="center"/>
    </xf>
    <xf numFmtId="49" fontId="14" fillId="0" borderId="83" xfId="164" applyNumberFormat="1" applyFont="1" applyBorder="1" applyAlignment="1">
      <alignment horizontal="left" vertical="center" wrapText="1"/>
    </xf>
    <xf numFmtId="3" fontId="14" fillId="48" borderId="81" xfId="0" applyNumberFormat="1" applyFont="1" applyFill="1" applyBorder="1" applyAlignment="1">
      <alignment horizontal="center" vertical="center"/>
    </xf>
    <xf numFmtId="3" fontId="14" fillId="48" borderId="86" xfId="0" applyNumberFormat="1" applyFont="1" applyFill="1" applyBorder="1" applyAlignment="1">
      <alignment horizontal="center" vertical="center"/>
    </xf>
    <xf numFmtId="0" fontId="14" fillId="0" borderId="87" xfId="0" applyFont="1" applyBorder="1" applyAlignment="1">
      <alignment vertical="top" wrapText="1"/>
    </xf>
    <xf numFmtId="0" fontId="14" fillId="0" borderId="88" xfId="0" applyFont="1" applyBorder="1" applyAlignment="1">
      <alignment vertical="center" wrapText="1"/>
    </xf>
    <xf numFmtId="3" fontId="14" fillId="0" borderId="89" xfId="0" applyNumberFormat="1" applyFont="1" applyBorder="1" applyAlignment="1">
      <alignment vertical="center"/>
    </xf>
    <xf numFmtId="49" fontId="14" fillId="0" borderId="87" xfId="0" applyNumberFormat="1" applyFont="1" applyBorder="1" applyAlignment="1">
      <alignment horizontal="left" vertical="center" wrapText="1"/>
    </xf>
    <xf numFmtId="3" fontId="13" fillId="48" borderId="86" xfId="0" applyNumberFormat="1" applyFont="1" applyFill="1" applyBorder="1" applyAlignment="1">
      <alignment horizontal="center" vertical="center"/>
    </xf>
    <xf numFmtId="0" fontId="13" fillId="0" borderId="88" xfId="160" applyFont="1" applyBorder="1" applyAlignment="1">
      <alignment horizontal="center" vertical="center"/>
    </xf>
    <xf numFmtId="3" fontId="13" fillId="0" borderId="89" xfId="0" applyNumberFormat="1" applyFont="1" applyBorder="1" applyAlignment="1">
      <alignment vertical="center"/>
    </xf>
    <xf numFmtId="0" fontId="13" fillId="0" borderId="90" xfId="131" applyFont="1" applyBorder="1" applyAlignment="1">
      <alignment horizontal="center" vertical="top" wrapText="1"/>
    </xf>
    <xf numFmtId="3" fontId="13" fillId="48" borderId="81" xfId="0" applyNumberFormat="1" applyFont="1" applyFill="1" applyBorder="1" applyAlignment="1">
      <alignment horizontal="center" vertical="center"/>
    </xf>
    <xf numFmtId="3" fontId="14" fillId="48" borderId="73" xfId="0" applyNumberFormat="1" applyFont="1" applyFill="1" applyBorder="1" applyAlignment="1">
      <alignment horizontal="center" vertical="center"/>
    </xf>
    <xf numFmtId="0" fontId="14" fillId="0" borderId="83" xfId="131" applyFont="1" applyBorder="1" applyAlignment="1">
      <alignment horizontal="left" vertical="center" wrapText="1"/>
    </xf>
    <xf numFmtId="0" fontId="14" fillId="0" borderId="83" xfId="0" applyFont="1" applyBorder="1" applyAlignment="1">
      <alignment vertical="center" wrapText="1"/>
    </xf>
    <xf numFmtId="0" fontId="13" fillId="0" borderId="83" xfId="160" applyFont="1" applyBorder="1" applyAlignment="1">
      <alignment horizontal="center" vertical="top"/>
    </xf>
    <xf numFmtId="3" fontId="14" fillId="0" borderId="83" xfId="0" applyNumberFormat="1" applyFont="1" applyBorder="1" applyAlignment="1">
      <alignment horizontal="left" vertical="center"/>
    </xf>
    <xf numFmtId="0" fontId="14" fillId="0" borderId="83" xfId="160" applyFont="1" applyBorder="1" applyAlignment="1">
      <alignment horizontal="left" vertical="center"/>
    </xf>
    <xf numFmtId="3" fontId="13" fillId="48" borderId="73" xfId="0" applyNumberFormat="1" applyFont="1" applyFill="1" applyBorder="1" applyAlignment="1">
      <alignment horizontal="center" vertical="center"/>
    </xf>
    <xf numFmtId="49" fontId="14" fillId="0" borderId="91" xfId="165" applyNumberFormat="1" applyFont="1" applyBorder="1" applyAlignment="1">
      <alignment horizontal="left" vertical="center" wrapText="1"/>
    </xf>
    <xf numFmtId="0" fontId="14" fillId="0" borderId="83" xfId="0" applyFont="1" applyBorder="1" applyAlignment="1">
      <alignment wrapText="1"/>
    </xf>
    <xf numFmtId="3" fontId="14" fillId="0" borderId="90" xfId="165" applyNumberFormat="1" applyFont="1" applyBorder="1" applyAlignment="1">
      <alignment horizontal="left" vertical="center" wrapText="1"/>
    </xf>
    <xf numFmtId="3" fontId="11" fillId="0" borderId="83" xfId="165" applyNumberFormat="1" applyFont="1" applyBorder="1" applyAlignment="1">
      <alignment horizontal="left" vertical="center" wrapText="1"/>
    </xf>
    <xf numFmtId="3" fontId="14" fillId="0" borderId="83" xfId="165" applyNumberFormat="1" applyFont="1" applyBorder="1" applyAlignment="1">
      <alignment horizontal="left" vertical="center" wrapText="1"/>
    </xf>
    <xf numFmtId="0" fontId="14" fillId="52" borderId="83" xfId="131" applyFont="1" applyFill="1" applyBorder="1" applyAlignment="1">
      <alignment horizontal="left" vertical="center" wrapText="1"/>
    </xf>
    <xf numFmtId="3" fontId="14" fillId="0" borderId="92" xfId="0" applyNumberFormat="1" applyFont="1" applyBorder="1" applyAlignment="1">
      <alignment horizontal="center" vertical="center"/>
    </xf>
    <xf numFmtId="0" fontId="13" fillId="0" borderId="83" xfId="160" applyFont="1" applyBorder="1" applyAlignment="1">
      <alignment horizontal="center" vertical="center"/>
    </xf>
    <xf numFmtId="3" fontId="86" fillId="0" borderId="68" xfId="0" applyNumberFormat="1" applyFont="1" applyBorder="1" applyAlignment="1">
      <alignment vertical="center"/>
    </xf>
    <xf numFmtId="0" fontId="13" fillId="48" borderId="81" xfId="160" applyFont="1" applyFill="1" applyBorder="1" applyAlignment="1">
      <alignment horizontal="center" vertical="top" wrapText="1"/>
    </xf>
    <xf numFmtId="0" fontId="14" fillId="0" borderId="93" xfId="0" applyFont="1" applyBorder="1" applyAlignment="1">
      <alignment horizontal="left" vertical="center" wrapText="1"/>
    </xf>
    <xf numFmtId="3" fontId="13" fillId="48" borderId="90" xfId="0" applyNumberFormat="1" applyFont="1" applyFill="1" applyBorder="1" applyAlignment="1">
      <alignment horizontal="center" vertical="center"/>
    </xf>
    <xf numFmtId="3" fontId="13" fillId="0" borderId="87" xfId="0" applyNumberFormat="1" applyFont="1" applyBorder="1" applyAlignment="1">
      <alignment horizontal="center" vertical="center"/>
    </xf>
    <xf numFmtId="3" fontId="14" fillId="0" borderId="93" xfId="0" applyNumberFormat="1" applyFont="1" applyBorder="1" applyAlignment="1">
      <alignment horizontal="left" vertical="center" wrapText="1"/>
    </xf>
    <xf numFmtId="0" fontId="14" fillId="0" borderId="83" xfId="160" applyFont="1" applyBorder="1" applyAlignment="1">
      <alignment horizontal="center" vertical="center"/>
    </xf>
    <xf numFmtId="0" fontId="14" fillId="0" borderId="83" xfId="163" applyFont="1" applyBorder="1" applyAlignment="1">
      <alignment vertical="center"/>
    </xf>
    <xf numFmtId="0" fontId="14" fillId="0" borderId="83" xfId="166" applyFont="1" applyBorder="1" applyAlignment="1">
      <alignment vertical="center" wrapText="1"/>
    </xf>
    <xf numFmtId="0" fontId="13" fillId="48" borderId="83" xfId="160" applyFont="1" applyFill="1" applyBorder="1" applyAlignment="1">
      <alignment horizontal="center" vertical="top" wrapText="1"/>
    </xf>
    <xf numFmtId="0" fontId="14" fillId="48" borderId="83" xfId="160" applyFont="1" applyFill="1" applyBorder="1" applyAlignment="1">
      <alignment horizontal="center" vertical="top" wrapText="1"/>
    </xf>
    <xf numFmtId="0" fontId="14" fillId="48" borderId="83" xfId="160" applyFont="1" applyFill="1" applyBorder="1" applyAlignment="1">
      <alignment horizontal="center" vertical="center" wrapText="1"/>
    </xf>
    <xf numFmtId="0" fontId="13" fillId="48" borderId="83" xfId="160" applyFont="1" applyFill="1" applyBorder="1" applyAlignment="1">
      <alignment horizontal="center" vertical="center" wrapText="1"/>
    </xf>
    <xf numFmtId="0" fontId="14" fillId="0" borderId="83" xfId="160" applyFont="1" applyBorder="1" applyAlignment="1">
      <alignment vertical="center"/>
    </xf>
    <xf numFmtId="0" fontId="14" fillId="0" borderId="83" xfId="160" applyFont="1" applyBorder="1" applyAlignment="1">
      <alignment vertical="center" wrapText="1"/>
    </xf>
    <xf numFmtId="0" fontId="13" fillId="0" borderId="83" xfId="160" applyFont="1" applyBorder="1" applyAlignment="1">
      <alignment vertical="center"/>
    </xf>
    <xf numFmtId="0" fontId="13" fillId="0" borderId="84" xfId="160" applyFont="1" applyBorder="1" applyAlignment="1">
      <alignment vertical="center"/>
    </xf>
    <xf numFmtId="0" fontId="13" fillId="0" borderId="81" xfId="160" applyFont="1" applyBorder="1" applyAlignment="1">
      <alignment horizontal="center" vertical="top" wrapText="1"/>
    </xf>
    <xf numFmtId="0" fontId="14" fillId="0" borderId="81" xfId="160" applyFont="1" applyBorder="1" applyAlignment="1">
      <alignment horizontal="center" vertical="top" wrapText="1"/>
    </xf>
    <xf numFmtId="0" fontId="14" fillId="0" borderId="84" xfId="160" applyFont="1" applyBorder="1" applyAlignment="1">
      <alignment vertical="center"/>
    </xf>
    <xf numFmtId="3" fontId="14" fillId="0" borderId="84" xfId="0" applyNumberFormat="1" applyFont="1" applyBorder="1" applyAlignment="1">
      <alignment vertical="center"/>
    </xf>
    <xf numFmtId="0" fontId="14" fillId="0" borderId="84" xfId="158" applyFont="1" applyBorder="1" applyAlignment="1">
      <alignment vertical="center" wrapText="1"/>
    </xf>
    <xf numFmtId="3" fontId="95" fillId="0" borderId="68" xfId="0" applyNumberFormat="1" applyFont="1" applyBorder="1" applyAlignment="1">
      <alignment vertical="center"/>
    </xf>
    <xf numFmtId="3" fontId="95" fillId="0" borderId="0" xfId="0" applyNumberFormat="1" applyFont="1" applyAlignment="1">
      <alignment vertical="center"/>
    </xf>
    <xf numFmtId="3" fontId="83" fillId="0" borderId="68" xfId="0" applyNumberFormat="1" applyFont="1" applyBorder="1" applyAlignment="1">
      <alignment vertical="center"/>
    </xf>
    <xf numFmtId="0" fontId="14" fillId="0" borderId="84" xfId="0" applyFont="1" applyBorder="1" applyAlignment="1">
      <alignment vertical="center" wrapText="1"/>
    </xf>
    <xf numFmtId="3" fontId="13" fillId="0" borderId="83" xfId="0" applyNumberFormat="1" applyFont="1" applyBorder="1" applyAlignment="1">
      <alignment vertical="center"/>
    </xf>
    <xf numFmtId="3" fontId="15" fillId="0" borderId="84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horizontal="center" vertical="center"/>
    </xf>
    <xf numFmtId="3" fontId="14" fillId="0" borderId="83" xfId="157" applyNumberFormat="1" applyFont="1" applyBorder="1" applyAlignment="1">
      <alignment horizontal="left" vertical="center" wrapText="1"/>
    </xf>
    <xf numFmtId="3" fontId="14" fillId="48" borderId="83" xfId="131" applyNumberFormat="1" applyFont="1" applyFill="1" applyBorder="1" applyAlignment="1">
      <alignment vertical="top" wrapText="1"/>
    </xf>
    <xf numFmtId="3" fontId="14" fillId="0" borderId="83" xfId="0" applyNumberFormat="1" applyFont="1" applyBorder="1" applyAlignment="1">
      <alignment horizontal="left" vertical="center" wrapText="1"/>
    </xf>
    <xf numFmtId="0" fontId="14" fillId="0" borderId="83" xfId="129" applyFont="1" applyBorder="1" applyAlignment="1">
      <alignment vertical="center" wrapText="1"/>
    </xf>
    <xf numFmtId="3" fontId="14" fillId="0" borderId="83" xfId="130" applyNumberFormat="1" applyFont="1" applyBorder="1" applyAlignment="1">
      <alignment vertical="top" wrapText="1"/>
    </xf>
    <xf numFmtId="3" fontId="14" fillId="0" borderId="94" xfId="0" applyNumberFormat="1" applyFont="1" applyBorder="1" applyAlignment="1">
      <alignment vertical="center" wrapText="1"/>
    </xf>
    <xf numFmtId="3" fontId="14" fillId="0" borderId="95" xfId="0" applyNumberFormat="1" applyFont="1" applyBorder="1" applyAlignment="1">
      <alignment horizontal="center" vertical="center"/>
    </xf>
    <xf numFmtId="3" fontId="14" fillId="0" borderId="87" xfId="0" applyNumberFormat="1" applyFont="1" applyBorder="1" applyAlignment="1">
      <alignment horizontal="left" vertical="center" wrapText="1"/>
    </xf>
    <xf numFmtId="3" fontId="15" fillId="0" borderId="87" xfId="0" applyNumberFormat="1" applyFont="1" applyBorder="1" applyAlignment="1">
      <alignment horizontal="center" vertical="center"/>
    </xf>
    <xf numFmtId="3" fontId="15" fillId="0" borderId="83" xfId="0" applyNumberFormat="1" applyFont="1" applyBorder="1" applyAlignment="1">
      <alignment horizontal="left" vertical="center" wrapText="1"/>
    </xf>
    <xf numFmtId="0" fontId="15" fillId="0" borderId="83" xfId="129" applyFont="1" applyBorder="1" applyAlignment="1">
      <alignment vertical="center" wrapText="1"/>
    </xf>
    <xf numFmtId="0" fontId="14" fillId="0" borderId="96" xfId="129" applyFont="1" applyBorder="1" applyAlignment="1">
      <alignment vertical="center" wrapText="1"/>
    </xf>
    <xf numFmtId="3" fontId="14" fillId="0" borderId="97" xfId="0" applyNumberFormat="1" applyFont="1" applyBorder="1" applyAlignment="1">
      <alignment vertical="center"/>
    </xf>
    <xf numFmtId="3" fontId="93" fillId="0" borderId="98" xfId="129" applyNumberFormat="1" applyFont="1" applyBorder="1" applyAlignment="1">
      <alignment horizontal="center" vertical="center" wrapText="1"/>
    </xf>
    <xf numFmtId="3" fontId="15" fillId="0" borderId="83" xfId="0" applyNumberFormat="1" applyFont="1" applyBorder="1" applyAlignment="1">
      <alignment horizontal="center" vertical="center"/>
    </xf>
    <xf numFmtId="0" fontId="15" fillId="0" borderId="94" xfId="129" applyFont="1" applyBorder="1" applyAlignment="1">
      <alignment vertical="center" wrapText="1"/>
    </xf>
    <xf numFmtId="0" fontId="14" fillId="0" borderId="94" xfId="129" applyFont="1" applyBorder="1" applyAlignment="1">
      <alignment vertical="center" wrapText="1"/>
    </xf>
    <xf numFmtId="0" fontId="14" fillId="0" borderId="94" xfId="160" applyFont="1" applyBorder="1" applyAlignment="1">
      <alignment vertical="center"/>
    </xf>
    <xf numFmtId="0" fontId="14" fillId="0" borderId="83" xfId="134" applyFont="1" applyBorder="1" applyAlignment="1">
      <alignment vertical="center"/>
    </xf>
    <xf numFmtId="3" fontId="13" fillId="0" borderId="84" xfId="0" applyNumberFormat="1" applyFont="1" applyBorder="1" applyAlignment="1">
      <alignment vertical="center"/>
    </xf>
    <xf numFmtId="3" fontId="9" fillId="0" borderId="99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vertical="center"/>
    </xf>
    <xf numFmtId="3" fontId="13" fillId="0" borderId="100" xfId="0" applyNumberFormat="1" applyFont="1" applyBorder="1" applyAlignment="1">
      <alignment vertical="center"/>
    </xf>
    <xf numFmtId="0" fontId="14" fillId="0" borderId="83" xfId="134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3" fontId="14" fillId="0" borderId="90" xfId="0" applyNumberFormat="1" applyFont="1" applyBorder="1" applyAlignment="1">
      <alignment vertical="center" wrapText="1"/>
    </xf>
    <xf numFmtId="3" fontId="14" fillId="0" borderId="81" xfId="0" applyNumberFormat="1" applyFont="1" applyBorder="1" applyAlignment="1">
      <alignment horizontal="right" vertical="center"/>
    </xf>
    <xf numFmtId="0" fontId="14" fillId="0" borderId="98" xfId="0" applyFont="1" applyBorder="1" applyAlignment="1">
      <alignment vertical="center" wrapText="1"/>
    </xf>
    <xf numFmtId="3" fontId="14" fillId="0" borderId="98" xfId="0" applyNumberFormat="1" applyFont="1" applyBorder="1" applyAlignment="1">
      <alignment vertical="center" wrapText="1"/>
    </xf>
    <xf numFmtId="3" fontId="14" fillId="0" borderId="96" xfId="0" applyNumberFormat="1" applyFont="1" applyBorder="1" applyAlignment="1">
      <alignment horizontal="left" vertical="center" wrapText="1"/>
    </xf>
    <xf numFmtId="3" fontId="14" fillId="0" borderId="98" xfId="0" applyNumberFormat="1" applyFont="1" applyBorder="1" applyAlignment="1">
      <alignment horizontal="center" vertical="center"/>
    </xf>
    <xf numFmtId="3" fontId="14" fillId="0" borderId="96" xfId="0" applyNumberFormat="1" applyFont="1" applyBorder="1" applyAlignment="1">
      <alignment horizontal="center" vertical="center"/>
    </xf>
    <xf numFmtId="3" fontId="14" fillId="0" borderId="98" xfId="0" applyNumberFormat="1" applyFont="1" applyBorder="1" applyAlignment="1">
      <alignment horizontal="right" vertical="center"/>
    </xf>
    <xf numFmtId="3" fontId="14" fillId="0" borderId="98" xfId="0" applyNumberFormat="1" applyFont="1" applyBorder="1" applyAlignment="1">
      <alignment vertical="center"/>
    </xf>
    <xf numFmtId="3" fontId="9" fillId="0" borderId="98" xfId="0" applyNumberFormat="1" applyFont="1" applyBorder="1" applyAlignment="1">
      <alignment vertical="center"/>
    </xf>
    <xf numFmtId="0" fontId="14" fillId="0" borderId="98" xfId="168" applyFont="1" applyBorder="1" applyAlignment="1">
      <alignment vertical="center" wrapText="1"/>
    </xf>
    <xf numFmtId="3" fontId="11" fillId="0" borderId="98" xfId="151" applyNumberFormat="1" applyFont="1" applyBorder="1" applyAlignment="1">
      <alignment horizontal="right" vertical="center"/>
    </xf>
    <xf numFmtId="4" fontId="11" fillId="0" borderId="98" xfId="151" applyNumberFormat="1" applyFont="1" applyBorder="1" applyAlignment="1">
      <alignment horizontal="right" vertical="center"/>
    </xf>
    <xf numFmtId="3" fontId="11" fillId="0" borderId="96" xfId="151" applyNumberFormat="1" applyFont="1" applyBorder="1" applyAlignment="1">
      <alignment horizontal="right" vertical="center"/>
    </xf>
    <xf numFmtId="165" fontId="11" fillId="0" borderId="98" xfId="151" applyNumberFormat="1" applyFont="1" applyBorder="1" applyAlignment="1">
      <alignment horizontal="right" vertical="center"/>
    </xf>
    <xf numFmtId="0" fontId="14" fillId="0" borderId="98" xfId="151" applyFont="1" applyBorder="1" applyAlignment="1">
      <alignment vertical="center" wrapText="1"/>
    </xf>
    <xf numFmtId="0" fontId="9" fillId="0" borderId="98" xfId="151" applyFont="1" applyBorder="1" applyAlignment="1">
      <alignment vertical="center"/>
    </xf>
    <xf numFmtId="167" fontId="14" fillId="0" borderId="98" xfId="174" applyNumberFormat="1" applyFont="1" applyFill="1" applyBorder="1" applyAlignment="1">
      <alignment vertical="center"/>
    </xf>
    <xf numFmtId="3" fontId="14" fillId="0" borderId="98" xfId="151" applyNumberFormat="1" applyFont="1" applyBorder="1" applyAlignment="1">
      <alignment vertical="center"/>
    </xf>
    <xf numFmtId="3" fontId="14" fillId="0" borderId="96" xfId="151" applyNumberFormat="1" applyFont="1" applyBorder="1" applyAlignment="1">
      <alignment vertical="center"/>
    </xf>
    <xf numFmtId="167" fontId="14" fillId="0" borderId="98" xfId="174" applyNumberFormat="1" applyFont="1" applyBorder="1" applyAlignment="1">
      <alignment vertical="center"/>
    </xf>
    <xf numFmtId="166" fontId="9" fillId="0" borderId="72" xfId="84" applyNumberFormat="1" applyFont="1" applyBorder="1" applyAlignment="1">
      <alignment horizontal="center" vertical="center"/>
    </xf>
    <xf numFmtId="166" fontId="9" fillId="0" borderId="98" xfId="84" applyNumberFormat="1" applyFont="1" applyBorder="1" applyAlignment="1">
      <alignment horizontal="center" vertical="center"/>
    </xf>
    <xf numFmtId="3" fontId="11" fillId="0" borderId="72" xfId="151" applyNumberFormat="1" applyFont="1" applyBorder="1" applyAlignment="1">
      <alignment horizontal="center" vertical="center"/>
    </xf>
    <xf numFmtId="3" fontId="11" fillId="0" borderId="98" xfId="151" applyNumberFormat="1" applyFont="1" applyBorder="1" applyAlignment="1">
      <alignment horizontal="center" vertical="center"/>
    </xf>
    <xf numFmtId="0" fontId="14" fillId="0" borderId="96" xfId="176" applyFont="1" applyBorder="1" applyAlignment="1">
      <alignment vertical="center" wrapText="1"/>
    </xf>
    <xf numFmtId="49" fontId="14" fillId="0" borderId="81" xfId="134" applyNumberFormat="1" applyFont="1" applyBorder="1" applyAlignment="1">
      <alignment horizontal="center" vertical="center"/>
    </xf>
    <xf numFmtId="0" fontId="14" fillId="0" borderId="96" xfId="0" applyFont="1" applyBorder="1" applyAlignment="1">
      <alignment horizontal="left" vertical="center" wrapText="1"/>
    </xf>
    <xf numFmtId="0" fontId="11" fillId="0" borderId="81" xfId="84" applyNumberFormat="1" applyFont="1" applyFill="1" applyBorder="1" applyAlignment="1">
      <alignment horizontal="center" vertical="center"/>
    </xf>
    <xf numFmtId="3" fontId="14" fillId="0" borderId="96" xfId="0" applyNumberFormat="1" applyFont="1" applyBorder="1" applyAlignment="1">
      <alignment vertical="center"/>
    </xf>
    <xf numFmtId="3" fontId="13" fillId="0" borderId="96" xfId="0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vertical="center"/>
    </xf>
    <xf numFmtId="3" fontId="13" fillId="0" borderId="97" xfId="0" applyNumberFormat="1" applyFont="1" applyBorder="1" applyAlignment="1">
      <alignment horizontal="right" vertical="center"/>
    </xf>
    <xf numFmtId="3" fontId="13" fillId="0" borderId="96" xfId="0" applyNumberFormat="1" applyFont="1" applyBorder="1" applyAlignment="1">
      <alignment vertical="center"/>
    </xf>
    <xf numFmtId="49" fontId="13" fillId="0" borderId="81" xfId="177" applyNumberFormat="1" applyFont="1" applyBorder="1" applyAlignment="1">
      <alignment horizontal="left" vertical="center" wrapText="1"/>
    </xf>
    <xf numFmtId="49" fontId="14" fillId="0" borderId="81" xfId="177" applyNumberFormat="1" applyFont="1" applyBorder="1" applyAlignment="1">
      <alignment horizontal="left" vertical="center" wrapText="1"/>
    </xf>
    <xf numFmtId="49" fontId="13" fillId="0" borderId="96" xfId="177" applyNumberFormat="1" applyFont="1" applyBorder="1" applyAlignment="1">
      <alignment horizontal="center" vertical="center" wrapText="1"/>
    </xf>
    <xf numFmtId="49" fontId="14" fillId="0" borderId="96" xfId="177" applyNumberFormat="1" applyFont="1" applyBorder="1" applyAlignment="1">
      <alignment horizontal="left" vertical="center" wrapText="1"/>
    </xf>
    <xf numFmtId="3" fontId="14" fillId="0" borderId="97" xfId="0" applyNumberFormat="1" applyFont="1" applyBorder="1" applyAlignment="1">
      <alignment horizontal="right" vertical="center"/>
    </xf>
    <xf numFmtId="0" fontId="12" fillId="0" borderId="98" xfId="134" applyFont="1" applyBorder="1" applyAlignment="1">
      <alignment horizontal="center" vertical="center"/>
    </xf>
    <xf numFmtId="0" fontId="11" fillId="0" borderId="98" xfId="84" applyNumberFormat="1" applyFont="1" applyFill="1" applyBorder="1" applyAlignment="1">
      <alignment horizontal="center" vertical="center"/>
    </xf>
    <xf numFmtId="3" fontId="11" fillId="0" borderId="98" xfId="134" applyNumberFormat="1" applyFont="1" applyBorder="1" applyAlignment="1">
      <alignment vertical="center"/>
    </xf>
    <xf numFmtId="3" fontId="80" fillId="0" borderId="98" xfId="134" applyNumberFormat="1" applyFont="1" applyBorder="1" applyAlignment="1">
      <alignment vertical="center"/>
    </xf>
    <xf numFmtId="3" fontId="13" fillId="0" borderId="81" xfId="0" applyNumberFormat="1" applyFont="1" applyBorder="1" applyAlignment="1">
      <alignment vertical="center" wrapText="1"/>
    </xf>
    <xf numFmtId="3" fontId="13" fillId="0" borderId="68" xfId="0" applyNumberFormat="1" applyFont="1" applyBorder="1" applyAlignment="1">
      <alignment vertical="center" wrapText="1"/>
    </xf>
    <xf numFmtId="3" fontId="14" fillId="0" borderId="73" xfId="0" applyNumberFormat="1" applyFont="1" applyBorder="1" applyAlignment="1">
      <alignment horizontal="right" vertical="center"/>
    </xf>
    <xf numFmtId="3" fontId="13" fillId="49" borderId="73" xfId="0" applyNumberFormat="1" applyFont="1" applyFill="1" applyBorder="1" applyAlignment="1">
      <alignment vertical="center"/>
    </xf>
    <xf numFmtId="3" fontId="13" fillId="46" borderId="81" xfId="0" applyNumberFormat="1" applyFont="1" applyFill="1" applyBorder="1" applyAlignment="1">
      <alignment vertical="center" wrapText="1"/>
    </xf>
    <xf numFmtId="3" fontId="9" fillId="0" borderId="81" xfId="0" applyNumberFormat="1" applyFont="1" applyBorder="1" applyAlignment="1">
      <alignment vertical="center" wrapText="1"/>
    </xf>
    <xf numFmtId="3" fontId="13" fillId="46" borderId="81" xfId="0" applyNumberFormat="1" applyFont="1" applyFill="1" applyBorder="1" applyAlignment="1">
      <alignment vertical="center"/>
    </xf>
    <xf numFmtId="3" fontId="12" fillId="0" borderId="81" xfId="0" applyNumberFormat="1" applyFont="1" applyBorder="1" applyAlignment="1">
      <alignment horizontal="center" vertical="center" wrapText="1"/>
    </xf>
    <xf numFmtId="3" fontId="12" fillId="0" borderId="81" xfId="0" applyNumberFormat="1" applyFont="1" applyBorder="1" applyAlignment="1">
      <alignment vertical="center" wrapText="1"/>
    </xf>
    <xf numFmtId="3" fontId="11" fillId="0" borderId="81" xfId="0" applyNumberFormat="1" applyFont="1" applyBorder="1" applyAlignment="1">
      <alignment vertical="center" wrapText="1"/>
    </xf>
    <xf numFmtId="3" fontId="11" fillId="0" borderId="81" xfId="0" applyNumberFormat="1" applyFont="1" applyBorder="1" applyAlignment="1">
      <alignment horizontal="left" vertical="center" wrapText="1"/>
    </xf>
    <xf numFmtId="3" fontId="11" fillId="0" borderId="81" xfId="0" applyNumberFormat="1" applyFont="1" applyBorder="1" applyAlignment="1">
      <alignment horizontal="right" vertical="center" wrapText="1"/>
    </xf>
    <xf numFmtId="3" fontId="12" fillId="46" borderId="81" xfId="0" applyNumberFormat="1" applyFont="1" applyFill="1" applyBorder="1" applyAlignment="1">
      <alignment horizontal="center" vertical="center" wrapText="1"/>
    </xf>
    <xf numFmtId="3" fontId="12" fillId="46" borderId="81" xfId="0" applyNumberFormat="1" applyFont="1" applyFill="1" applyBorder="1" applyAlignment="1">
      <alignment vertical="center" wrapText="1"/>
    </xf>
    <xf numFmtId="0" fontId="14" fillId="0" borderId="83" xfId="0" applyFont="1" applyBorder="1"/>
    <xf numFmtId="0" fontId="14" fillId="0" borderId="81" xfId="0" applyFont="1" applyBorder="1"/>
    <xf numFmtId="3" fontId="11" fillId="46" borderId="81" xfId="0" applyNumberFormat="1" applyFont="1" applyFill="1" applyBorder="1" applyAlignment="1">
      <alignment horizontal="center" vertical="center" wrapText="1"/>
    </xf>
    <xf numFmtId="3" fontId="11" fillId="0" borderId="92" xfId="0" applyNumberFormat="1" applyFont="1" applyBorder="1" applyAlignment="1">
      <alignment horizontal="right" vertical="center" wrapText="1"/>
    </xf>
    <xf numFmtId="3" fontId="11" fillId="0" borderId="92" xfId="0" applyNumberFormat="1" applyFont="1" applyBorder="1" applyAlignment="1">
      <alignment vertical="center" wrapText="1"/>
    </xf>
    <xf numFmtId="3" fontId="11" fillId="0" borderId="92" xfId="0" applyNumberFormat="1" applyFont="1" applyBorder="1" applyAlignment="1">
      <alignment horizontal="left" vertical="center" wrapText="1"/>
    </xf>
    <xf numFmtId="3" fontId="11" fillId="46" borderId="92" xfId="0" applyNumberFormat="1" applyFont="1" applyFill="1" applyBorder="1" applyAlignment="1">
      <alignment horizontal="center" vertical="center" wrapText="1"/>
    </xf>
    <xf numFmtId="49" fontId="14" fillId="0" borderId="83" xfId="177" applyNumberFormat="1" applyFont="1" applyBorder="1" applyAlignment="1">
      <alignment horizontal="left" vertical="center" wrapText="1"/>
    </xf>
    <xf numFmtId="3" fontId="13" fillId="0" borderId="68" xfId="0" applyNumberFormat="1" applyFont="1" applyBorder="1" applyAlignment="1">
      <alignment horizontal="right" vertical="center"/>
    </xf>
    <xf numFmtId="3" fontId="14" fillId="0" borderId="68" xfId="0" applyNumberFormat="1" applyFont="1" applyBorder="1" applyAlignment="1">
      <alignment horizontal="right" vertical="center"/>
    </xf>
    <xf numFmtId="3" fontId="13" fillId="0" borderId="83" xfId="157" applyNumberFormat="1" applyFont="1" applyBorder="1" applyAlignment="1">
      <alignment vertical="center" wrapText="1"/>
    </xf>
    <xf numFmtId="3" fontId="14" fillId="0" borderId="101" xfId="0" applyNumberFormat="1" applyFont="1" applyBorder="1" applyAlignment="1">
      <alignment horizontal="center" vertical="center"/>
    </xf>
    <xf numFmtId="3" fontId="96" fillId="0" borderId="81" xfId="0" applyNumberFormat="1" applyFont="1" applyBorder="1" applyAlignment="1">
      <alignment horizontal="center" vertical="center"/>
    </xf>
    <xf numFmtId="3" fontId="14" fillId="0" borderId="73" xfId="0" applyNumberFormat="1" applyFont="1" applyBorder="1" applyAlignment="1">
      <alignment horizontal="center" vertical="center"/>
    </xf>
    <xf numFmtId="3" fontId="13" fillId="51" borderId="98" xfId="0" applyNumberFormat="1" applyFont="1" applyFill="1" applyBorder="1" applyAlignment="1">
      <alignment horizontal="center" vertical="center"/>
    </xf>
    <xf numFmtId="3" fontId="13" fillId="51" borderId="96" xfId="0" applyNumberFormat="1" applyFont="1" applyFill="1" applyBorder="1" applyAlignment="1">
      <alignment horizontal="center" vertical="center"/>
    </xf>
    <xf numFmtId="0" fontId="14" fillId="0" borderId="97" xfId="0" applyFont="1" applyBorder="1" applyAlignment="1">
      <alignment vertical="center"/>
    </xf>
    <xf numFmtId="3" fontId="14" fillId="51" borderId="98" xfId="0" applyNumberFormat="1" applyFont="1" applyFill="1" applyBorder="1" applyAlignment="1">
      <alignment horizontal="right" vertical="center"/>
    </xf>
    <xf numFmtId="0" fontId="14" fillId="0" borderId="96" xfId="131" applyFont="1" applyBorder="1" applyAlignment="1">
      <alignment horizontal="left" vertical="center" wrapText="1"/>
    </xf>
    <xf numFmtId="0" fontId="97" fillId="0" borderId="0" xfId="154" applyFont="1" applyAlignment="1">
      <alignment vertical="center"/>
    </xf>
    <xf numFmtId="3" fontId="14" fillId="0" borderId="96" xfId="0" applyNumberFormat="1" applyFont="1" applyBorder="1" applyAlignment="1">
      <alignment vertical="center" wrapText="1"/>
    </xf>
    <xf numFmtId="0" fontId="11" fillId="0" borderId="98" xfId="134" applyFont="1" applyBorder="1" applyAlignment="1">
      <alignment horizontal="center" vertical="center"/>
    </xf>
    <xf numFmtId="0" fontId="14" fillId="0" borderId="98" xfId="0" applyFont="1" applyBorder="1" applyAlignment="1">
      <alignment horizontal="left" vertical="top" wrapText="1"/>
    </xf>
    <xf numFmtId="49" fontId="11" fillId="0" borderId="98" xfId="134" applyNumberFormat="1" applyFont="1" applyBorder="1" applyAlignment="1">
      <alignment horizontal="center" vertical="center" wrapText="1"/>
    </xf>
    <xf numFmtId="3" fontId="11" fillId="0" borderId="98" xfId="134" applyNumberFormat="1" applyFont="1" applyBorder="1" applyAlignment="1">
      <alignment vertical="center" wrapText="1"/>
    </xf>
    <xf numFmtId="0" fontId="11" fillId="0" borderId="73" xfId="134" applyFont="1" applyBorder="1" applyAlignment="1">
      <alignment horizontal="center" vertical="center"/>
    </xf>
    <xf numFmtId="0" fontId="11" fillId="0" borderId="51" xfId="127" applyFont="1" applyBorder="1" applyAlignment="1">
      <alignment vertical="center"/>
    </xf>
    <xf numFmtId="0" fontId="11" fillId="0" borderId="35" xfId="127" applyFont="1" applyBorder="1" applyAlignment="1">
      <alignment horizontal="center" vertical="center"/>
    </xf>
    <xf numFmtId="3" fontId="9" fillId="0" borderId="110" xfId="0" applyNumberFormat="1" applyFont="1" applyBorder="1" applyAlignment="1">
      <alignment vertical="center"/>
    </xf>
    <xf numFmtId="3" fontId="11" fillId="0" borderId="81" xfId="134" applyNumberFormat="1" applyFont="1" applyBorder="1" applyAlignment="1">
      <alignment horizontal="center" vertical="center"/>
    </xf>
    <xf numFmtId="0" fontId="11" fillId="0" borderId="102" xfId="134" applyFont="1" applyBorder="1" applyAlignment="1">
      <alignment vertical="center" wrapText="1"/>
    </xf>
    <xf numFmtId="0" fontId="11" fillId="0" borderId="83" xfId="178" applyFont="1" applyBorder="1" applyAlignment="1">
      <alignment vertical="center"/>
    </xf>
    <xf numFmtId="3" fontId="11" fillId="0" borderId="81" xfId="178" applyNumberFormat="1" applyFont="1" applyBorder="1" applyAlignment="1">
      <alignment horizontal="center" vertical="center"/>
    </xf>
    <xf numFmtId="0" fontId="12" fillId="0" borderId="81" xfId="134" applyFont="1" applyBorder="1" applyAlignment="1">
      <alignment horizontal="center" vertical="center"/>
    </xf>
    <xf numFmtId="3" fontId="12" fillId="0" borderId="81" xfId="134" applyNumberFormat="1" applyFont="1" applyBorder="1" applyAlignment="1">
      <alignment vertical="center"/>
    </xf>
    <xf numFmtId="0" fontId="14" fillId="0" borderId="83" xfId="0" applyFont="1" applyBorder="1" applyAlignment="1">
      <alignment horizontal="left" vertical="center"/>
    </xf>
    <xf numFmtId="3" fontId="14" fillId="0" borderId="104" xfId="0" applyNumberFormat="1" applyFont="1" applyBorder="1" applyAlignment="1">
      <alignment vertical="center"/>
    </xf>
    <xf numFmtId="3" fontId="14" fillId="0" borderId="106" xfId="0" applyNumberFormat="1" applyFont="1" applyBorder="1" applyAlignment="1">
      <alignment vertical="center"/>
    </xf>
    <xf numFmtId="3" fontId="14" fillId="0" borderId="109" xfId="0" applyNumberFormat="1" applyFont="1" applyBorder="1" applyAlignment="1">
      <alignment vertical="center"/>
    </xf>
    <xf numFmtId="0" fontId="14" fillId="0" borderId="105" xfId="160" applyFont="1" applyBorder="1" applyAlignment="1">
      <alignment vertical="center"/>
    </xf>
    <xf numFmtId="0" fontId="14" fillId="0" borderId="108" xfId="160" applyFont="1" applyBorder="1" applyAlignment="1">
      <alignment vertical="center"/>
    </xf>
    <xf numFmtId="3" fontId="14" fillId="0" borderId="113" xfId="0" applyNumberFormat="1" applyFont="1" applyBorder="1" applyAlignment="1">
      <alignment vertical="center"/>
    </xf>
    <xf numFmtId="0" fontId="14" fillId="0" borderId="112" xfId="160" applyFont="1" applyBorder="1" applyAlignment="1">
      <alignment vertical="center"/>
    </xf>
    <xf numFmtId="3" fontId="14" fillId="0" borderId="111" xfId="0" applyNumberFormat="1" applyFont="1" applyBorder="1" applyAlignment="1">
      <alignment horizontal="center" vertical="center"/>
    </xf>
    <xf numFmtId="3" fontId="14" fillId="0" borderId="110" xfId="0" applyNumberFormat="1" applyFont="1" applyBorder="1" applyAlignment="1">
      <alignment vertical="center"/>
    </xf>
    <xf numFmtId="3" fontId="14" fillId="0" borderId="107" xfId="0" applyNumberFormat="1" applyFont="1" applyBorder="1" applyAlignment="1">
      <alignment horizontal="center" vertical="center"/>
    </xf>
    <xf numFmtId="3" fontId="14" fillId="0" borderId="110" xfId="0" applyNumberFormat="1" applyFont="1" applyBorder="1" applyAlignment="1">
      <alignment horizontal="center" vertical="center"/>
    </xf>
    <xf numFmtId="0" fontId="14" fillId="0" borderId="107" xfId="0" applyFont="1" applyBorder="1" applyAlignment="1">
      <alignment horizontal="left" vertical="center" wrapText="1"/>
    </xf>
    <xf numFmtId="3" fontId="14" fillId="0" borderId="107" xfId="0" applyNumberFormat="1" applyFont="1" applyBorder="1" applyAlignment="1">
      <alignment vertical="center"/>
    </xf>
    <xf numFmtId="3" fontId="14" fillId="0" borderId="114" xfId="0" applyNumberFormat="1" applyFont="1" applyBorder="1" applyAlignment="1">
      <alignment vertical="center"/>
    </xf>
    <xf numFmtId="3" fontId="14" fillId="0" borderId="115" xfId="0" applyNumberFormat="1" applyFont="1" applyBorder="1" applyAlignment="1">
      <alignment vertical="center"/>
    </xf>
    <xf numFmtId="3" fontId="14" fillId="0" borderId="115" xfId="0" applyNumberFormat="1" applyFont="1" applyBorder="1" applyAlignment="1">
      <alignment horizontal="right" vertical="center"/>
    </xf>
    <xf numFmtId="3" fontId="14" fillId="51" borderId="81" xfId="0" applyNumberFormat="1" applyFont="1" applyFill="1" applyBorder="1" applyAlignment="1">
      <alignment horizontal="right" vertical="center"/>
    </xf>
    <xf numFmtId="3" fontId="83" fillId="0" borderId="35" xfId="0" applyNumberFormat="1" applyFont="1" applyBorder="1" applyAlignment="1">
      <alignment horizontal="center" vertical="center"/>
    </xf>
    <xf numFmtId="3" fontId="14" fillId="51" borderId="83" xfId="0" applyNumberFormat="1" applyFont="1" applyFill="1" applyBorder="1" applyAlignment="1">
      <alignment vertical="center"/>
    </xf>
    <xf numFmtId="0" fontId="14" fillId="0" borderId="81" xfId="151" applyFont="1" applyBorder="1" applyAlignment="1">
      <alignment vertical="center" wrapText="1"/>
    </xf>
    <xf numFmtId="3" fontId="11" fillId="0" borderId="81" xfId="151" applyNumberFormat="1" applyFont="1" applyBorder="1" applyAlignment="1">
      <alignment horizontal="right" vertical="center"/>
    </xf>
    <xf numFmtId="3" fontId="11" fillId="0" borderId="83" xfId="151" applyNumberFormat="1" applyFont="1" applyBorder="1" applyAlignment="1">
      <alignment horizontal="right" vertical="center"/>
    </xf>
    <xf numFmtId="3" fontId="11" fillId="0" borderId="81" xfId="151" applyNumberFormat="1" applyFont="1" applyBorder="1" applyAlignment="1">
      <alignment horizontal="center" vertical="center"/>
    </xf>
    <xf numFmtId="0" fontId="11" fillId="0" borderId="81" xfId="85" applyNumberFormat="1" applyFont="1" applyFill="1" applyBorder="1" applyAlignment="1">
      <alignment horizontal="center" vertical="center"/>
    </xf>
    <xf numFmtId="3" fontId="11" fillId="0" borderId="83" xfId="0" applyNumberFormat="1" applyFont="1" applyBorder="1" applyAlignment="1">
      <alignment vertical="center"/>
    </xf>
    <xf numFmtId="49" fontId="11" fillId="0" borderId="81" xfId="0" applyNumberFormat="1" applyFont="1" applyBorder="1" applyAlignment="1">
      <alignment horizontal="center" vertical="center" wrapText="1"/>
    </xf>
    <xf numFmtId="3" fontId="14" fillId="0" borderId="77" xfId="0" applyNumberFormat="1" applyFont="1" applyBorder="1" applyAlignment="1">
      <alignment vertical="center" wrapText="1"/>
    </xf>
    <xf numFmtId="0" fontId="14" fillId="0" borderId="81" xfId="134" applyFont="1" applyBorder="1" applyAlignment="1">
      <alignment horizontal="center" vertical="center"/>
    </xf>
    <xf numFmtId="3" fontId="13" fillId="0" borderId="115" xfId="0" applyNumberFormat="1" applyFont="1" applyBorder="1" applyAlignment="1">
      <alignment vertical="center"/>
    </xf>
    <xf numFmtId="3" fontId="13" fillId="51" borderId="81" xfId="0" applyNumberFormat="1" applyFont="1" applyFill="1" applyBorder="1" applyAlignment="1">
      <alignment horizontal="center" vertical="center"/>
    </xf>
    <xf numFmtId="3" fontId="13" fillId="51" borderId="83" xfId="0" applyNumberFormat="1" applyFont="1" applyFill="1" applyBorder="1" applyAlignment="1">
      <alignment horizontal="center" vertical="center"/>
    </xf>
    <xf numFmtId="0" fontId="14" fillId="0" borderId="115" xfId="0" applyFont="1" applyBorder="1" applyAlignment="1">
      <alignment vertical="center"/>
    </xf>
    <xf numFmtId="167" fontId="14" fillId="0" borderId="81" xfId="174" applyNumberFormat="1" applyFont="1" applyFill="1" applyBorder="1" applyAlignment="1">
      <alignment vertical="center"/>
    </xf>
    <xf numFmtId="3" fontId="14" fillId="0" borderId="81" xfId="151" applyNumberFormat="1" applyFont="1" applyBorder="1" applyAlignment="1">
      <alignment vertical="center"/>
    </xf>
    <xf numFmtId="3" fontId="14" fillId="0" borderId="83" xfId="151" applyNumberFormat="1" applyFont="1" applyBorder="1" applyAlignment="1">
      <alignment vertical="center"/>
    </xf>
    <xf numFmtId="166" fontId="9" fillId="0" borderId="81" xfId="84" applyNumberFormat="1" applyFont="1" applyBorder="1" applyAlignment="1">
      <alignment horizontal="center" vertical="center"/>
    </xf>
    <xf numFmtId="3" fontId="14" fillId="48" borderId="0" xfId="0" applyNumberFormat="1" applyFont="1" applyFill="1" applyAlignment="1">
      <alignment horizontal="center" vertical="center"/>
    </xf>
    <xf numFmtId="3" fontId="94" fillId="0" borderId="83" xfId="0" applyNumberFormat="1" applyFont="1" applyBorder="1" applyAlignment="1">
      <alignment horizontal="left" vertical="center" wrapText="1"/>
    </xf>
    <xf numFmtId="0" fontId="13" fillId="0" borderId="116" xfId="131" applyFont="1" applyBorder="1" applyAlignment="1">
      <alignment horizontal="center" vertical="top" wrapText="1"/>
    </xf>
    <xf numFmtId="3" fontId="14" fillId="0" borderId="112" xfId="0" applyNumberFormat="1" applyFont="1" applyBorder="1" applyAlignment="1">
      <alignment vertical="center"/>
    </xf>
    <xf numFmtId="0" fontId="14" fillId="0" borderId="112" xfId="131" applyFont="1" applyBorder="1" applyAlignment="1">
      <alignment horizontal="left" vertical="center" wrapText="1"/>
    </xf>
    <xf numFmtId="0" fontId="14" fillId="0" borderId="112" xfId="0" applyFont="1" applyBorder="1" applyAlignment="1">
      <alignment vertical="center" wrapText="1"/>
    </xf>
    <xf numFmtId="3" fontId="13" fillId="0" borderId="115" xfId="0" applyNumberFormat="1" applyFont="1" applyBorder="1" applyAlignment="1">
      <alignment horizontal="right" vertical="center"/>
    </xf>
    <xf numFmtId="0" fontId="8" fillId="0" borderId="81" xfId="154" applyBorder="1" applyAlignment="1">
      <alignment vertical="center"/>
    </xf>
    <xf numFmtId="0" fontId="14" fillId="0" borderId="98" xfId="0" applyFont="1" applyBorder="1" applyAlignment="1">
      <alignment horizontal="left" vertical="center" wrapText="1"/>
    </xf>
    <xf numFmtId="3" fontId="14" fillId="0" borderId="83" xfId="159" applyNumberFormat="1" applyFont="1" applyBorder="1" applyAlignment="1">
      <alignment vertical="center" wrapText="1"/>
    </xf>
    <xf numFmtId="0" fontId="11" fillId="0" borderId="110" xfId="128" applyFont="1" applyBorder="1" applyAlignment="1">
      <alignment vertical="center"/>
    </xf>
    <xf numFmtId="0" fontId="14" fillId="0" borderId="110" xfId="132" applyFont="1" applyBorder="1" applyAlignment="1">
      <alignment horizontal="center" vertical="center" wrapText="1"/>
    </xf>
    <xf numFmtId="3" fontId="14" fillId="0" borderId="110" xfId="128" applyNumberFormat="1" applyFont="1" applyBorder="1" applyAlignment="1">
      <alignment vertical="center"/>
    </xf>
    <xf numFmtId="0" fontId="14" fillId="0" borderId="81" xfId="133" applyFont="1" applyBorder="1" applyAlignment="1">
      <alignment vertical="center" wrapText="1"/>
    </xf>
    <xf numFmtId="3" fontId="14" fillId="0" borderId="110" xfId="133" applyNumberFormat="1" applyFont="1" applyBorder="1" applyAlignment="1">
      <alignment horizontal="right" vertical="center"/>
    </xf>
    <xf numFmtId="3" fontId="14" fillId="0" borderId="83" xfId="130" applyNumberFormat="1" applyFont="1" applyBorder="1" applyAlignment="1">
      <alignment vertical="center" wrapText="1"/>
    </xf>
    <xf numFmtId="3" fontId="94" fillId="0" borderId="83" xfId="0" applyNumberFormat="1" applyFont="1" applyBorder="1" applyAlignment="1">
      <alignment vertical="center" wrapText="1"/>
    </xf>
    <xf numFmtId="3" fontId="14" fillId="0" borderId="81" xfId="0" applyNumberFormat="1" applyFont="1" applyBorder="1" applyAlignment="1">
      <alignment horizontal="left" vertical="center"/>
    </xf>
    <xf numFmtId="0" fontId="12" fillId="0" borderId="110" xfId="134" applyFont="1" applyBorder="1" applyAlignment="1">
      <alignment horizontal="center" vertical="center"/>
    </xf>
    <xf numFmtId="3" fontId="14" fillId="0" borderId="107" xfId="0" applyNumberFormat="1" applyFont="1" applyBorder="1" applyAlignment="1">
      <alignment vertical="center" wrapText="1"/>
    </xf>
    <xf numFmtId="0" fontId="11" fillId="0" borderId="110" xfId="84" applyNumberFormat="1" applyFont="1" applyFill="1" applyBorder="1" applyAlignment="1">
      <alignment horizontal="center" vertical="center"/>
    </xf>
    <xf numFmtId="3" fontId="11" fillId="0" borderId="110" xfId="134" applyNumberFormat="1" applyFont="1" applyBorder="1" applyAlignment="1">
      <alignment vertical="center"/>
    </xf>
    <xf numFmtId="3" fontId="80" fillId="0" borderId="110" xfId="134" applyNumberFormat="1" applyFont="1" applyBorder="1" applyAlignment="1">
      <alignment vertical="center"/>
    </xf>
    <xf numFmtId="0" fontId="11" fillId="0" borderId="110" xfId="134" applyFont="1" applyBorder="1" applyAlignment="1">
      <alignment horizontal="center" vertical="center"/>
    </xf>
    <xf numFmtId="3" fontId="11" fillId="0" borderId="110" xfId="134" applyNumberFormat="1" applyFont="1" applyBorder="1" applyAlignment="1">
      <alignment vertical="center" wrapText="1"/>
    </xf>
    <xf numFmtId="3" fontId="80" fillId="0" borderId="110" xfId="134" applyNumberFormat="1" applyFont="1" applyBorder="1" applyAlignment="1">
      <alignment vertical="center" wrapText="1"/>
    </xf>
    <xf numFmtId="0" fontId="14" fillId="0" borderId="107" xfId="176" applyFont="1" applyBorder="1" applyAlignment="1">
      <alignment vertical="center" wrapText="1"/>
    </xf>
    <xf numFmtId="3" fontId="14" fillId="0" borderId="110" xfId="176" applyNumberFormat="1" applyFont="1" applyBorder="1" applyAlignment="1">
      <alignment horizontal="center" vertical="center" wrapText="1"/>
    </xf>
    <xf numFmtId="0" fontId="14" fillId="0" borderId="107" xfId="134" applyFont="1" applyBorder="1" applyAlignment="1">
      <alignment vertical="center"/>
    </xf>
    <xf numFmtId="3" fontId="13" fillId="0" borderId="110" xfId="0" applyNumberFormat="1" applyFont="1" applyBorder="1" applyAlignment="1">
      <alignment horizontal="center" vertical="center"/>
    </xf>
    <xf numFmtId="3" fontId="13" fillId="0" borderId="109" xfId="0" applyNumberFormat="1" applyFont="1" applyBorder="1" applyAlignment="1">
      <alignment vertical="center"/>
    </xf>
    <xf numFmtId="3" fontId="13" fillId="0" borderId="109" xfId="0" applyNumberFormat="1" applyFont="1" applyBorder="1" applyAlignment="1">
      <alignment horizontal="right" vertical="center"/>
    </xf>
    <xf numFmtId="3" fontId="14" fillId="0" borderId="109" xfId="0" applyNumberFormat="1" applyFont="1" applyBorder="1" applyAlignment="1">
      <alignment horizontal="right" vertical="center"/>
    </xf>
    <xf numFmtId="3" fontId="14" fillId="0" borderId="110" xfId="0" applyNumberFormat="1" applyFont="1" applyBorder="1" applyAlignment="1">
      <alignment horizontal="right" vertical="center"/>
    </xf>
    <xf numFmtId="0" fontId="14" fillId="0" borderId="107" xfId="129" applyFont="1" applyBorder="1" applyAlignment="1">
      <alignment vertical="center" wrapText="1"/>
    </xf>
    <xf numFmtId="3" fontId="14" fillId="51" borderId="110" xfId="0" applyNumberFormat="1" applyFont="1" applyFill="1" applyBorder="1" applyAlignment="1">
      <alignment horizontal="right" vertical="center"/>
    </xf>
    <xf numFmtId="3" fontId="11" fillId="0" borderId="77" xfId="0" applyNumberFormat="1" applyFont="1" applyBorder="1" applyAlignment="1">
      <alignment vertical="center" wrapText="1"/>
    </xf>
    <xf numFmtId="0" fontId="11" fillId="0" borderId="103" xfId="158" applyFont="1" applyBorder="1" applyAlignment="1">
      <alignment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81" xfId="175" applyFont="1" applyBorder="1" applyAlignment="1">
      <alignment wrapText="1"/>
    </xf>
    <xf numFmtId="3" fontId="11" fillId="0" borderId="96" xfId="0" applyNumberFormat="1" applyFont="1" applyBorder="1" applyAlignment="1">
      <alignment vertical="center"/>
    </xf>
    <xf numFmtId="0" fontId="11" fillId="0" borderId="107" xfId="176" applyFont="1" applyBorder="1" applyAlignment="1">
      <alignment vertical="center" wrapText="1"/>
    </xf>
    <xf numFmtId="3" fontId="11" fillId="0" borderId="26" xfId="0" applyNumberFormat="1" applyFont="1" applyBorder="1" applyAlignment="1">
      <alignment horizontal="left" vertical="center"/>
    </xf>
    <xf numFmtId="0" fontId="11" fillId="0" borderId="83" xfId="0" applyFont="1" applyBorder="1" applyAlignment="1">
      <alignment horizontal="left" vertical="center"/>
    </xf>
    <xf numFmtId="3" fontId="11" fillId="0" borderId="107" xfId="0" applyNumberFormat="1" applyFont="1" applyBorder="1" applyAlignment="1">
      <alignment vertical="center" wrapText="1"/>
    </xf>
    <xf numFmtId="0" fontId="11" fillId="0" borderId="107" xfId="134" applyFont="1" applyBorder="1" applyAlignment="1">
      <alignment vertical="center"/>
    </xf>
    <xf numFmtId="3" fontId="11" fillId="0" borderId="107" xfId="0" applyNumberFormat="1" applyFont="1" applyBorder="1" applyAlignment="1">
      <alignment vertical="center"/>
    </xf>
    <xf numFmtId="0" fontId="11" fillId="0" borderId="83" xfId="134" applyFont="1" applyBorder="1" applyAlignment="1">
      <alignment vertical="center"/>
    </xf>
    <xf numFmtId="3" fontId="13" fillId="0" borderId="75" xfId="0" applyNumberFormat="1" applyFont="1" applyBorder="1" applyAlignment="1">
      <alignment horizontal="center" vertical="center"/>
    </xf>
    <xf numFmtId="3" fontId="13" fillId="48" borderId="69" xfId="0" applyNumberFormat="1" applyFont="1" applyFill="1" applyBorder="1" applyAlignment="1">
      <alignment horizontal="center" vertical="center"/>
    </xf>
    <xf numFmtId="3" fontId="14" fillId="48" borderId="83" xfId="131" applyNumberFormat="1" applyFont="1" applyFill="1" applyBorder="1" applyAlignment="1">
      <alignment vertical="center" wrapText="1"/>
    </xf>
    <xf numFmtId="0" fontId="14" fillId="0" borderId="81" xfId="0" applyFont="1" applyBorder="1" applyAlignment="1">
      <alignment horizontal="right" wrapText="1"/>
    </xf>
    <xf numFmtId="49" fontId="14" fillId="0" borderId="81" xfId="0" applyNumberFormat="1" applyFont="1" applyBorder="1" applyAlignment="1">
      <alignment vertical="center"/>
    </xf>
    <xf numFmtId="3" fontId="14" fillId="0" borderId="81" xfId="0" applyNumberFormat="1" applyFont="1" applyBorder="1" applyAlignment="1">
      <alignment wrapText="1"/>
    </xf>
    <xf numFmtId="0" fontId="14" fillId="0" borderId="107" xfId="0" applyFont="1" applyBorder="1" applyAlignment="1">
      <alignment horizontal="left" vertical="center"/>
    </xf>
    <xf numFmtId="49" fontId="11" fillId="0" borderId="110" xfId="134" applyNumberFormat="1" applyFont="1" applyBorder="1" applyAlignment="1">
      <alignment horizontal="center" vertical="center" wrapText="1"/>
    </xf>
    <xf numFmtId="3" fontId="14" fillId="0" borderId="107" xfId="0" applyNumberFormat="1" applyFont="1" applyBorder="1" applyAlignment="1">
      <alignment horizontal="left" vertical="center"/>
    </xf>
    <xf numFmtId="3" fontId="11" fillId="0" borderId="110" xfId="134" applyNumberFormat="1" applyFont="1" applyBorder="1" applyAlignment="1">
      <alignment horizontal="center" vertical="center" wrapText="1"/>
    </xf>
    <xf numFmtId="0" fontId="14" fillId="0" borderId="107" xfId="160" applyFont="1" applyBorder="1" applyAlignment="1">
      <alignment horizontal="left" vertical="center"/>
    </xf>
    <xf numFmtId="0" fontId="14" fillId="0" borderId="107" xfId="160" applyFont="1" applyBorder="1" applyAlignment="1">
      <alignment horizontal="left" vertical="center" wrapText="1"/>
    </xf>
    <xf numFmtId="0" fontId="14" fillId="0" borderId="83" xfId="160" applyFont="1" applyBorder="1" applyAlignment="1">
      <alignment horizontal="left" vertical="center" wrapText="1"/>
    </xf>
    <xf numFmtId="3" fontId="14" fillId="0" borderId="110" xfId="0" applyNumberFormat="1" applyFont="1" applyBorder="1" applyAlignment="1">
      <alignment vertical="center" wrapText="1"/>
    </xf>
    <xf numFmtId="3" fontId="14" fillId="0" borderId="117" xfId="0" applyNumberFormat="1" applyFont="1" applyBorder="1" applyAlignment="1">
      <alignment horizontal="center" vertical="center"/>
    </xf>
    <xf numFmtId="0" fontId="79" fillId="49" borderId="36" xfId="171" applyFont="1" applyFill="1" applyBorder="1" applyAlignment="1">
      <alignment horizontal="center" vertical="center" wrapText="1"/>
    </xf>
    <xf numFmtId="0" fontId="79" fillId="49" borderId="58" xfId="171" applyFont="1" applyFill="1" applyBorder="1" applyAlignment="1">
      <alignment horizontal="center" vertical="center" wrapText="1"/>
    </xf>
    <xf numFmtId="0" fontId="13" fillId="49" borderId="35" xfId="151" applyFont="1" applyFill="1" applyBorder="1" applyAlignment="1">
      <alignment horizontal="center" vertical="center" wrapText="1"/>
    </xf>
    <xf numFmtId="0" fontId="79" fillId="49" borderId="59" xfId="171" applyFont="1" applyFill="1" applyBorder="1" applyAlignment="1">
      <alignment horizontal="center" vertical="center" wrapText="1"/>
    </xf>
    <xf numFmtId="0" fontId="5" fillId="46" borderId="30" xfId="0" applyFont="1" applyFill="1" applyBorder="1" applyAlignment="1">
      <alignment horizontal="center" vertical="center"/>
    </xf>
    <xf numFmtId="0" fontId="5" fillId="46" borderId="25" xfId="0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4" xfId="127" applyFont="1" applyFill="1" applyBorder="1" applyAlignment="1">
      <alignment horizontal="center" vertical="center"/>
    </xf>
    <xf numFmtId="0" fontId="59" fillId="46" borderId="13" xfId="0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/>
    </xf>
    <xf numFmtId="0" fontId="5" fillId="46" borderId="32" xfId="0" applyFont="1" applyFill="1" applyBorder="1" applyAlignment="1">
      <alignment horizontal="center" vertical="center"/>
    </xf>
    <xf numFmtId="0" fontId="12" fillId="46" borderId="32" xfId="154" applyFont="1" applyFill="1" applyBorder="1" applyAlignment="1">
      <alignment horizontal="center"/>
    </xf>
    <xf numFmtId="0" fontId="5" fillId="46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46" borderId="32" xfId="127" applyFont="1" applyFill="1" applyBorder="1" applyAlignment="1">
      <alignment horizontal="center" vertical="center"/>
    </xf>
    <xf numFmtId="0" fontId="13" fillId="46" borderId="13" xfId="0" applyFont="1" applyFill="1" applyBorder="1" applyAlignment="1">
      <alignment horizontal="center"/>
    </xf>
    <xf numFmtId="3" fontId="13" fillId="46" borderId="13" xfId="136" applyNumberFormat="1" applyFont="1" applyFill="1" applyBorder="1" applyAlignment="1">
      <alignment horizontal="center" vertical="center" wrapText="1"/>
    </xf>
    <xf numFmtId="0" fontId="13" fillId="46" borderId="38" xfId="0" applyFont="1" applyFill="1" applyBorder="1" applyAlignment="1">
      <alignment horizontal="center" vertical="center" wrapText="1"/>
    </xf>
    <xf numFmtId="0" fontId="13" fillId="46" borderId="20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/>
    </xf>
    <xf numFmtId="3" fontId="16" fillId="46" borderId="30" xfId="136" applyNumberFormat="1" applyFont="1" applyFill="1" applyBorder="1" applyAlignment="1">
      <alignment horizontal="center" vertical="center" wrapText="1"/>
    </xf>
    <xf numFmtId="3" fontId="16" fillId="46" borderId="25" xfId="136" applyNumberFormat="1" applyFont="1" applyFill="1" applyBorder="1" applyAlignment="1">
      <alignment horizontal="center" vertical="center" wrapText="1"/>
    </xf>
    <xf numFmtId="3" fontId="16" fillId="46" borderId="30" xfId="136" applyNumberFormat="1" applyFont="1" applyFill="1" applyBorder="1" applyAlignment="1">
      <alignment horizontal="center" vertical="center"/>
    </xf>
    <xf numFmtId="3" fontId="16" fillId="46" borderId="25" xfId="136" applyNumberFormat="1" applyFont="1" applyFill="1" applyBorder="1" applyAlignment="1">
      <alignment horizontal="center" vertical="center"/>
    </xf>
    <xf numFmtId="3" fontId="16" fillId="46" borderId="54" xfId="136" applyNumberFormat="1" applyFont="1" applyFill="1" applyBorder="1" applyAlignment="1">
      <alignment horizontal="center" vertical="center" textRotation="90" wrapText="1"/>
    </xf>
    <xf numFmtId="3" fontId="16" fillId="46" borderId="24" xfId="136" applyNumberFormat="1" applyFont="1" applyFill="1" applyBorder="1" applyAlignment="1">
      <alignment horizontal="center" vertical="center" textRotation="90" wrapText="1"/>
    </xf>
    <xf numFmtId="3" fontId="16" fillId="46" borderId="38" xfId="136" applyNumberFormat="1" applyFont="1" applyFill="1" applyBorder="1" applyAlignment="1">
      <alignment horizontal="center" vertical="center" wrapText="1"/>
    </xf>
    <xf numFmtId="3" fontId="16" fillId="46" borderId="20" xfId="136" applyNumberFormat="1" applyFont="1" applyFill="1" applyBorder="1" applyAlignment="1">
      <alignment horizontal="center" vertical="center" wrapText="1"/>
    </xf>
    <xf numFmtId="0" fontId="13" fillId="46" borderId="49" xfId="0" applyFont="1" applyFill="1" applyBorder="1" applyAlignment="1">
      <alignment horizontal="center" vertical="center"/>
    </xf>
    <xf numFmtId="0" fontId="13" fillId="46" borderId="39" xfId="0" applyFont="1" applyFill="1" applyBorder="1" applyAlignment="1">
      <alignment horizontal="center" vertical="center"/>
    </xf>
    <xf numFmtId="0" fontId="13" fillId="46" borderId="36" xfId="0" applyFont="1" applyFill="1" applyBorder="1" applyAlignment="1">
      <alignment horizontal="center" vertical="center"/>
    </xf>
    <xf numFmtId="0" fontId="14" fillId="0" borderId="78" xfId="0" applyFont="1" applyBorder="1" applyAlignment="1">
      <alignment horizontal="left" vertical="top" wrapText="1"/>
    </xf>
    <xf numFmtId="0" fontId="14" fillId="0" borderId="79" xfId="0" applyFont="1" applyBorder="1" applyAlignment="1">
      <alignment horizontal="left" vertical="top" wrapText="1"/>
    </xf>
    <xf numFmtId="0" fontId="14" fillId="0" borderId="71" xfId="129" applyFont="1" applyBorder="1" applyAlignment="1">
      <alignment horizontal="left" vertical="center" wrapText="1"/>
    </xf>
    <xf numFmtId="0" fontId="14" fillId="0" borderId="68" xfId="129" applyFont="1" applyBorder="1" applyAlignment="1">
      <alignment horizontal="left" vertical="center" wrapText="1"/>
    </xf>
    <xf numFmtId="3" fontId="13" fillId="46" borderId="71" xfId="0" applyNumberFormat="1" applyFont="1" applyFill="1" applyBorder="1" applyAlignment="1">
      <alignment horizontal="left" vertical="center"/>
    </xf>
    <xf numFmtId="3" fontId="13" fillId="46" borderId="68" xfId="0" applyNumberFormat="1" applyFont="1" applyFill="1" applyBorder="1" applyAlignment="1">
      <alignment horizontal="left" vertical="center"/>
    </xf>
    <xf numFmtId="0" fontId="12" fillId="49" borderId="72" xfId="128" applyFont="1" applyFill="1" applyBorder="1" applyAlignment="1">
      <alignment vertical="center" wrapText="1"/>
    </xf>
    <xf numFmtId="0" fontId="12" fillId="49" borderId="72" xfId="0" applyFont="1" applyFill="1" applyBorder="1" applyAlignment="1">
      <alignment wrapText="1"/>
    </xf>
    <xf numFmtId="0" fontId="59" fillId="46" borderId="75" xfId="0" applyFont="1" applyFill="1" applyBorder="1" applyAlignment="1">
      <alignment horizontal="center" vertical="center" wrapText="1"/>
    </xf>
    <xf numFmtId="0" fontId="59" fillId="46" borderId="73" xfId="0" applyFont="1" applyFill="1" applyBorder="1" applyAlignment="1">
      <alignment horizontal="center" vertical="center" wrapText="1"/>
    </xf>
    <xf numFmtId="0" fontId="13" fillId="49" borderId="72" xfId="0" applyFont="1" applyFill="1" applyBorder="1" applyAlignment="1">
      <alignment horizontal="center" vertical="center" wrapText="1"/>
    </xf>
    <xf numFmtId="0" fontId="13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3" fillId="46" borderId="75" xfId="136" applyNumberFormat="1" applyFont="1" applyFill="1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14" fillId="0" borderId="72" xfId="0" applyFont="1" applyBorder="1" applyAlignment="1">
      <alignment horizontal="left" vertical="top" wrapText="1"/>
    </xf>
    <xf numFmtId="3" fontId="13" fillId="0" borderId="71" xfId="0" applyNumberFormat="1" applyFont="1" applyBorder="1" applyAlignment="1">
      <alignment horizontal="left" vertical="center"/>
    </xf>
    <xf numFmtId="3" fontId="13" fillId="0" borderId="68" xfId="0" applyNumberFormat="1" applyFont="1" applyBorder="1" applyAlignment="1">
      <alignment horizontal="left" vertical="center"/>
    </xf>
    <xf numFmtId="3" fontId="13" fillId="49" borderId="75" xfId="0" applyNumberFormat="1" applyFont="1" applyFill="1" applyBorder="1" applyAlignment="1">
      <alignment horizontal="center" vertical="center" wrapText="1"/>
    </xf>
    <xf numFmtId="3" fontId="13" fillId="49" borderId="73" xfId="0" applyNumberFormat="1" applyFont="1" applyFill="1" applyBorder="1" applyAlignment="1">
      <alignment horizontal="center" vertical="center" wrapText="1"/>
    </xf>
    <xf numFmtId="0" fontId="5" fillId="46" borderId="23" xfId="0" applyFont="1" applyFill="1" applyBorder="1" applyAlignment="1">
      <alignment horizontal="center" vertical="center" wrapText="1"/>
    </xf>
    <xf numFmtId="0" fontId="5" fillId="46" borderId="20" xfId="0" applyFont="1" applyFill="1" applyBorder="1" applyAlignment="1">
      <alignment horizontal="center" vertical="center" wrapText="1"/>
    </xf>
  </cellXfs>
  <cellStyles count="180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4" xfId="170" xr:uid="{00000000-0005-0000-0000-000056000000}"/>
    <cellStyle name="Ezres 5" xfId="172" xr:uid="{00000000-0005-0000-0000-000057000000}"/>
    <cellStyle name="Ezres 5 2" xfId="174" xr:uid="{00000000-0005-0000-0000-000058000000}"/>
    <cellStyle name="Ezres 6" xfId="173" xr:uid="{00000000-0005-0000-0000-000059000000}"/>
    <cellStyle name="Ezres 7" xfId="179" xr:uid="{00000000-0005-0000-0000-00005A000000}"/>
    <cellStyle name="Figyelmeztetés" xfId="86" builtinId="11" customBuiltin="1"/>
    <cellStyle name="Figyelmeztetés 2" xfId="87" xr:uid="{00000000-0005-0000-0000-00005C000000}"/>
    <cellStyle name="Good" xfId="88" xr:uid="{00000000-0005-0000-0000-00005D000000}"/>
    <cellStyle name="Heading 1" xfId="89" xr:uid="{00000000-0005-0000-0000-00005E000000}"/>
    <cellStyle name="Heading 2" xfId="90" xr:uid="{00000000-0005-0000-0000-00005F000000}"/>
    <cellStyle name="Heading 3" xfId="91" xr:uid="{00000000-0005-0000-0000-000060000000}"/>
    <cellStyle name="Heading 4" xfId="92" xr:uid="{00000000-0005-0000-0000-000061000000}"/>
    <cellStyle name="Hivatkozott cella" xfId="93" builtinId="24" customBuiltin="1"/>
    <cellStyle name="Hivatkozott cella 2" xfId="94" xr:uid="{00000000-0005-0000-0000-000063000000}"/>
    <cellStyle name="Input" xfId="95" xr:uid="{00000000-0005-0000-0000-000064000000}"/>
    <cellStyle name="Jegyzet" xfId="96" builtinId="10" customBuiltin="1"/>
    <cellStyle name="Jegyzet 2" xfId="97" xr:uid="{00000000-0005-0000-0000-000066000000}"/>
    <cellStyle name="Jelölőszín (1)" xfId="98" xr:uid="{00000000-0005-0000-0000-000067000000}"/>
    <cellStyle name="Jelölőszín (1) 2" xfId="99" xr:uid="{00000000-0005-0000-0000-000068000000}"/>
    <cellStyle name="Jelölőszín (2)" xfId="100" xr:uid="{00000000-0005-0000-0000-000069000000}"/>
    <cellStyle name="Jelölőszín (2) 2" xfId="101" xr:uid="{00000000-0005-0000-0000-00006A000000}"/>
    <cellStyle name="Jelölőszín (3)" xfId="102" xr:uid="{00000000-0005-0000-0000-00006B000000}"/>
    <cellStyle name="Jelölőszín (3) 2" xfId="103" xr:uid="{00000000-0005-0000-0000-00006C000000}"/>
    <cellStyle name="Jelölőszín (4)" xfId="104" xr:uid="{00000000-0005-0000-0000-00006D000000}"/>
    <cellStyle name="Jelölőszín (4) 2" xfId="105" xr:uid="{00000000-0005-0000-0000-00006E000000}"/>
    <cellStyle name="Jelölőszín (5)" xfId="106" xr:uid="{00000000-0005-0000-0000-00006F000000}"/>
    <cellStyle name="Jelölőszín (5) 2" xfId="107" xr:uid="{00000000-0005-0000-0000-000070000000}"/>
    <cellStyle name="Jelölőszín (6)" xfId="108" xr:uid="{00000000-0005-0000-0000-000071000000}"/>
    <cellStyle name="Jelölőszín (6) 2" xfId="109" xr:uid="{00000000-0005-0000-0000-000072000000}"/>
    <cellStyle name="Jelölőszín 1" xfId="110" xr:uid="{00000000-0005-0000-0000-000073000000}"/>
    <cellStyle name="Jelölőszín 2" xfId="111" xr:uid="{00000000-0005-0000-0000-000074000000}"/>
    <cellStyle name="Jelölőszín 3" xfId="112" xr:uid="{00000000-0005-0000-0000-000075000000}"/>
    <cellStyle name="Jelölőszín 4" xfId="113" xr:uid="{00000000-0005-0000-0000-000076000000}"/>
    <cellStyle name="Jelölőszín 5" xfId="114" xr:uid="{00000000-0005-0000-0000-000077000000}"/>
    <cellStyle name="Jelölőszín 6" xfId="115" xr:uid="{00000000-0005-0000-0000-000078000000}"/>
    <cellStyle name="Jó" xfId="116" builtinId="26" customBuiltin="1"/>
    <cellStyle name="Jó 2" xfId="117" xr:uid="{00000000-0005-0000-0000-00007A000000}"/>
    <cellStyle name="Kimenet" xfId="118" builtinId="21" customBuiltin="1"/>
    <cellStyle name="Kimenet 2" xfId="119" xr:uid="{00000000-0005-0000-0000-00007C000000}"/>
    <cellStyle name="Linked Cell" xfId="120" xr:uid="{00000000-0005-0000-0000-00007D000000}"/>
    <cellStyle name="Magyarázó szöveg" xfId="121" builtinId="53" customBuiltin="1"/>
    <cellStyle name="Magyarázó szöveg 2" xfId="122" xr:uid="{00000000-0005-0000-0000-00007F000000}"/>
    <cellStyle name="Neutral" xfId="123" xr:uid="{00000000-0005-0000-0000-000080000000}"/>
    <cellStyle name="Normál" xfId="0" builtinId="0"/>
    <cellStyle name="Normál 2" xfId="124" xr:uid="{00000000-0005-0000-0000-000082000000}"/>
    <cellStyle name="Normál 3" xfId="125" xr:uid="{00000000-0005-0000-0000-000083000000}"/>
    <cellStyle name="Normál 4" xfId="126" xr:uid="{00000000-0005-0000-0000-000084000000}"/>
    <cellStyle name="Normál 5" xfId="152" xr:uid="{00000000-0005-0000-0000-000085000000}"/>
    <cellStyle name="Normál 5 2" xfId="169" xr:uid="{00000000-0005-0000-0000-000086000000}"/>
    <cellStyle name="Normál 5 3" xfId="171" xr:uid="{00000000-0005-0000-0000-000087000000}"/>
    <cellStyle name="Normál_   5    (2)" xfId="127" xr:uid="{00000000-0005-0000-0000-000088000000}"/>
    <cellStyle name="Normál_   5    (2)_KÖLTSÉGVETÉS 2015 intézmények " xfId="128" xr:uid="{00000000-0005-0000-0000-000089000000}"/>
    <cellStyle name="Normál_   5-a    (2)" xfId="154" xr:uid="{00000000-0005-0000-0000-00008A000000}"/>
    <cellStyle name="Normál_   7   x" xfId="129" xr:uid="{00000000-0005-0000-0000-00008B000000}"/>
    <cellStyle name="Normál_   7   x_2012. III.negyedévi ei. módosítás" xfId="159" xr:uid="{00000000-0005-0000-0000-00008C000000}"/>
    <cellStyle name="Normál_   7   x_2012. III.negyedévi ei. módosítás_Intézményi táblák" xfId="130" xr:uid="{00000000-0005-0000-0000-00008D000000}"/>
    <cellStyle name="Normál_   7   x_Másolat eredetije2014. műk-beru-felúj. 2" xfId="131" xr:uid="{00000000-0005-0000-0000-00008E000000}"/>
    <cellStyle name="Normál_   7   x_Másolat eredetije2014. műk-beru-felúj._6.a" xfId="160" xr:uid="{00000000-0005-0000-0000-00008F000000}"/>
    <cellStyle name="Normál_  3   _2010.évi állami_állami  tám." xfId="151" xr:uid="{00000000-0005-0000-0000-000090000000}"/>
    <cellStyle name="Normál_2012. évi beszámoló 5.a 6a" xfId="162" xr:uid="{00000000-0005-0000-0000-000091000000}"/>
    <cellStyle name="Normál_213_évi_költségvetés_MCS" xfId="157" xr:uid="{00000000-0005-0000-0000-000092000000}"/>
    <cellStyle name="Normál_213_évi_költségvetés_MCS_2016. IV.névi módosítás" xfId="177" xr:uid="{00000000-0005-0000-0000-000093000000}"/>
    <cellStyle name="Normál_3" xfId="161" xr:uid="{00000000-0005-0000-0000-000094000000}"/>
    <cellStyle name="Normál_Intézmények 2014" xfId="132" xr:uid="{00000000-0005-0000-0000-000095000000}"/>
    <cellStyle name="Normál_INTKIA96" xfId="133" xr:uid="{00000000-0005-0000-0000-000096000000}"/>
    <cellStyle name="Normál_KTGVTERV" xfId="175" xr:uid="{00000000-0005-0000-0000-000097000000}"/>
    <cellStyle name="Normál_Másolat eredetije2014. műk-beru-felúj." xfId="165" xr:uid="{00000000-0005-0000-0000-00009A000000}"/>
    <cellStyle name="Normál_Munka2 (2)" xfId="134" xr:uid="{00000000-0005-0000-0000-00009C000000}"/>
    <cellStyle name="Normál_Munka2 (2) 2" xfId="176" xr:uid="{00000000-0005-0000-0000-00009D000000}"/>
    <cellStyle name="Normál_Munka2 (2) 3" xfId="178" xr:uid="{00000000-0005-0000-0000-00009E000000}"/>
    <cellStyle name="Normál_Munka2 (2)_KÖLTSÉGVETÉS 2015 intézmények " xfId="135" xr:uid="{00000000-0005-0000-0000-0000A0000000}"/>
    <cellStyle name="Normál_Munka2 (2)_KÖLTSÉGVETÉS_2015." xfId="156" xr:uid="{00000000-0005-0000-0000-0000A1000000}"/>
    <cellStyle name="Normál_Munka3 (2)" xfId="155" xr:uid="{00000000-0005-0000-0000-0000A2000000}"/>
    <cellStyle name="Normál_Munka3 (2)_Másolat eredetije2014. műk-beru-felúj." xfId="158" xr:uid="{00000000-0005-0000-0000-0000A3000000}"/>
    <cellStyle name="Normál_Munka3 (2)_Másolat eredetije2014. műk-beru-felúj._2016. IV.névi módosítás" xfId="163" xr:uid="{00000000-0005-0000-0000-0000A4000000}"/>
    <cellStyle name="Normál_Munka3 (2)_Másolat eredetije2014. műk-beru-felúj._2017.KÖLTSÉGVETÉS" xfId="168" xr:uid="{00000000-0005-0000-0000-0000A5000000}"/>
    <cellStyle name="Normál_Munka3 (2)_Másolat eredetije2014. műk-beru-felúj._2018. I.névi ei-módosítás" xfId="166" xr:uid="{00000000-0005-0000-0000-0000A6000000}"/>
    <cellStyle name="Normál_Munka3 (2)_Másolat eredetije2014. műk-beru-felúj._6.a" xfId="167" xr:uid="{00000000-0005-0000-0000-0000A7000000}"/>
    <cellStyle name="Normál_Műszaki Osztály fejlesztés2016" xfId="164" xr:uid="{00000000-0005-0000-0000-0000A8000000}"/>
    <cellStyle name="Normál_ÖKIADELÖ" xfId="136" xr:uid="{00000000-0005-0000-0000-0000A9000000}"/>
    <cellStyle name="Normal_tanusitv" xfId="137" xr:uid="{00000000-0005-0000-0000-0000AA000000}"/>
    <cellStyle name="Note" xfId="138" xr:uid="{00000000-0005-0000-0000-0000AB000000}"/>
    <cellStyle name="Output" xfId="139" xr:uid="{00000000-0005-0000-0000-0000AC000000}"/>
    <cellStyle name="Összesen" xfId="140" builtinId="25" customBuiltin="1"/>
    <cellStyle name="Összesen 2" xfId="141" xr:uid="{00000000-0005-0000-0000-0000AE000000}"/>
    <cellStyle name="Rossz" xfId="142" builtinId="27" customBuiltin="1"/>
    <cellStyle name="Rossz 2" xfId="143" xr:uid="{00000000-0005-0000-0000-0000B0000000}"/>
    <cellStyle name="Semleges" xfId="144" builtinId="28" customBuiltin="1"/>
    <cellStyle name="Semleges 2" xfId="145" xr:uid="{00000000-0005-0000-0000-0000B2000000}"/>
    <cellStyle name="Számítás" xfId="146" builtinId="22" customBuiltin="1"/>
    <cellStyle name="Számítás 2" xfId="147" xr:uid="{00000000-0005-0000-0000-0000B4000000}"/>
    <cellStyle name="Title" xfId="148" xr:uid="{00000000-0005-0000-0000-0000B5000000}"/>
    <cellStyle name="Total" xfId="149" xr:uid="{00000000-0005-0000-0000-0000B6000000}"/>
    <cellStyle name="Warning Text" xfId="150" xr:uid="{00000000-0005-0000-0000-0000B7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zoomScaleNormal="100" workbookViewId="0">
      <selection activeCell="C21" sqref="C21"/>
    </sheetView>
  </sheetViews>
  <sheetFormatPr defaultColWidth="9.33203125" defaultRowHeight="11.4" x14ac:dyDescent="0.2"/>
  <cols>
    <col min="1" max="1" width="45.109375" style="13" customWidth="1"/>
    <col min="2" max="2" width="13" style="13" customWidth="1"/>
    <col min="3" max="3" width="13.6640625" style="13" customWidth="1"/>
    <col min="4" max="4" width="12.6640625" style="1" customWidth="1"/>
    <col min="5" max="5" width="2" style="1" customWidth="1"/>
    <col min="6" max="6" width="44.77734375" style="13" customWidth="1"/>
    <col min="7" max="7" width="14.109375" style="13" customWidth="1"/>
    <col min="8" max="8" width="13.77734375" style="13" customWidth="1"/>
    <col min="9" max="9" width="12.44140625" style="1" customWidth="1"/>
    <col min="10" max="16384" width="9.33203125" style="11"/>
  </cols>
  <sheetData>
    <row r="1" spans="1:9" ht="39.9" customHeight="1" thickBot="1" x14ac:dyDescent="0.25">
      <c r="A1" s="21"/>
      <c r="B1" s="23" t="s">
        <v>936</v>
      </c>
      <c r="C1" s="22" t="s">
        <v>929</v>
      </c>
      <c r="D1" s="23" t="s">
        <v>937</v>
      </c>
      <c r="E1" s="24"/>
      <c r="F1" s="21" t="s">
        <v>124</v>
      </c>
      <c r="G1" s="23" t="s">
        <v>936</v>
      </c>
      <c r="H1" s="22" t="s">
        <v>929</v>
      </c>
      <c r="I1" s="23" t="s">
        <v>937</v>
      </c>
    </row>
    <row r="2" spans="1:9" s="12" customFormat="1" ht="12.9" customHeight="1" x14ac:dyDescent="0.2">
      <c r="A2" s="678" t="s">
        <v>165</v>
      </c>
      <c r="B2" s="485"/>
      <c r="C2" s="679"/>
      <c r="D2" s="485"/>
      <c r="E2" s="25"/>
      <c r="F2" s="678" t="s">
        <v>166</v>
      </c>
      <c r="G2" s="543"/>
      <c r="H2" s="678"/>
      <c r="I2" s="543"/>
    </row>
    <row r="3" spans="1:9" ht="24.9" customHeight="1" x14ac:dyDescent="0.2">
      <c r="A3" s="550" t="s">
        <v>66</v>
      </c>
      <c r="B3" s="537">
        <v>7361248</v>
      </c>
      <c r="C3" s="550">
        <v>161808</v>
      </c>
      <c r="D3" s="537">
        <f>SUM(B3:C3)</f>
        <v>7523056</v>
      </c>
      <c r="E3" s="26"/>
      <c r="F3" s="550" t="s">
        <v>194</v>
      </c>
      <c r="G3" s="537">
        <v>10835997</v>
      </c>
      <c r="H3" s="550">
        <v>436078</v>
      </c>
      <c r="I3" s="537">
        <f>SUM(G3:H3)</f>
        <v>11272075</v>
      </c>
    </row>
    <row r="4" spans="1:9" ht="15" customHeight="1" x14ac:dyDescent="0.2">
      <c r="A4" s="550" t="s">
        <v>68</v>
      </c>
      <c r="B4" s="537">
        <v>6799400</v>
      </c>
      <c r="C4" s="550">
        <v>695675</v>
      </c>
      <c r="D4" s="537">
        <f>SUM(B4:C4)</f>
        <v>7495075</v>
      </c>
      <c r="E4" s="26"/>
      <c r="F4" s="550" t="s">
        <v>158</v>
      </c>
      <c r="G4" s="537">
        <v>7580927</v>
      </c>
      <c r="H4" s="550">
        <v>190575</v>
      </c>
      <c r="I4" s="537">
        <f t="shared" ref="I4:I7" si="0">SUM(G4:H4)</f>
        <v>7771502</v>
      </c>
    </row>
    <row r="5" spans="1:9" ht="22.5" customHeight="1" x14ac:dyDescent="0.2">
      <c r="A5" s="550" t="s">
        <v>69</v>
      </c>
      <c r="B5" s="537">
        <v>4603115</v>
      </c>
      <c r="C5" s="550">
        <v>363183</v>
      </c>
      <c r="D5" s="537">
        <f>SUM(B5:C5)</f>
        <v>4966298</v>
      </c>
      <c r="E5" s="26"/>
      <c r="F5" s="550" t="s">
        <v>120</v>
      </c>
      <c r="G5" s="537">
        <v>4534423</v>
      </c>
      <c r="H5" s="550">
        <v>586308</v>
      </c>
      <c r="I5" s="537">
        <f t="shared" si="0"/>
        <v>5120731</v>
      </c>
    </row>
    <row r="6" spans="1:9" ht="20.100000000000001" customHeight="1" x14ac:dyDescent="0.2">
      <c r="A6" s="550" t="s">
        <v>70</v>
      </c>
      <c r="B6" s="537"/>
      <c r="C6" s="550">
        <v>58895</v>
      </c>
      <c r="D6" s="537">
        <f>SUM(B6:C6)</f>
        <v>58895</v>
      </c>
      <c r="E6" s="26"/>
      <c r="F6" s="550" t="s">
        <v>167</v>
      </c>
      <c r="G6" s="537">
        <v>875566</v>
      </c>
      <c r="H6" s="550">
        <v>-227098</v>
      </c>
      <c r="I6" s="537">
        <f t="shared" si="0"/>
        <v>648468</v>
      </c>
    </row>
    <row r="7" spans="1:9" ht="14.1" customHeight="1" x14ac:dyDescent="0.2">
      <c r="A7" s="678" t="s">
        <v>112</v>
      </c>
      <c r="B7" s="678">
        <f>SUM(B3+B4+B5+B6)</f>
        <v>18763763</v>
      </c>
      <c r="C7" s="678">
        <f>SUM(C3+C4+C5+C6)</f>
        <v>1279561</v>
      </c>
      <c r="D7" s="678">
        <f>SUM(D3+D4+D5+D6)</f>
        <v>20043324</v>
      </c>
      <c r="E7" s="26"/>
      <c r="F7" s="550" t="s">
        <v>4</v>
      </c>
      <c r="G7" s="537">
        <v>10000</v>
      </c>
      <c r="H7" s="550">
        <v>-8955</v>
      </c>
      <c r="I7" s="537">
        <f t="shared" si="0"/>
        <v>1045</v>
      </c>
    </row>
    <row r="8" spans="1:9" ht="14.1" customHeight="1" x14ac:dyDescent="0.2">
      <c r="A8" s="550" t="s">
        <v>65</v>
      </c>
      <c r="B8" s="678"/>
      <c r="C8" s="678"/>
      <c r="D8" s="678"/>
      <c r="E8" s="26"/>
      <c r="F8" s="678" t="s">
        <v>115</v>
      </c>
      <c r="G8" s="678">
        <f>SUM(G2:G7)</f>
        <v>23836913</v>
      </c>
      <c r="H8" s="678">
        <f>SUM(H2:H7)</f>
        <v>976908</v>
      </c>
      <c r="I8" s="678">
        <f>SUM(I2:I7)</f>
        <v>24813821</v>
      </c>
    </row>
    <row r="9" spans="1:9" ht="22.2" customHeight="1" x14ac:dyDescent="0.2">
      <c r="A9" s="550" t="s">
        <v>71</v>
      </c>
      <c r="B9" s="636">
        <v>3952488</v>
      </c>
      <c r="C9" s="636">
        <v>-302653</v>
      </c>
      <c r="D9" s="636">
        <f>SUM(B9:C9)</f>
        <v>3649835</v>
      </c>
      <c r="E9" s="26"/>
      <c r="F9" s="550" t="s">
        <v>839</v>
      </c>
      <c r="G9" s="550">
        <v>181338</v>
      </c>
      <c r="H9" s="550"/>
      <c r="I9" s="550">
        <f>SUM(G9:H9)</f>
        <v>181338</v>
      </c>
    </row>
    <row r="10" spans="1:9" ht="16.2" customHeight="1" x14ac:dyDescent="0.2">
      <c r="A10" s="550" t="s">
        <v>924</v>
      </c>
      <c r="B10" s="680">
        <v>1302000</v>
      </c>
      <c r="C10" s="680"/>
      <c r="D10" s="636">
        <f>SUM(B10:C10)</f>
        <v>1302000</v>
      </c>
      <c r="E10" s="26"/>
      <c r="F10" s="550"/>
      <c r="G10" s="550"/>
      <c r="H10" s="550"/>
      <c r="I10" s="550"/>
    </row>
    <row r="11" spans="1:9" s="12" customFormat="1" ht="12" customHeight="1" x14ac:dyDescent="0.2">
      <c r="A11" s="31" t="s">
        <v>122</v>
      </c>
      <c r="B11" s="681">
        <f>SUM(B7:B10)</f>
        <v>24018251</v>
      </c>
      <c r="C11" s="681">
        <f>SUM(C7:C10)</f>
        <v>976908</v>
      </c>
      <c r="D11" s="681">
        <f>SUM(D7:D10)</f>
        <v>24995159</v>
      </c>
      <c r="E11" s="26"/>
      <c r="F11" s="682" t="s">
        <v>168</v>
      </c>
      <c r="G11" s="682">
        <f>SUM(G8:G9)</f>
        <v>24018251</v>
      </c>
      <c r="H11" s="682">
        <f>SUM(H8:H10)</f>
        <v>976908</v>
      </c>
      <c r="I11" s="682">
        <f>SUM(I8:I9)</f>
        <v>24995159</v>
      </c>
    </row>
    <row r="12" spans="1:9" ht="14.1" customHeight="1" x14ac:dyDescent="0.2">
      <c r="A12" s="678" t="s">
        <v>102</v>
      </c>
      <c r="B12" s="537"/>
      <c r="C12" s="678"/>
      <c r="D12" s="537"/>
      <c r="E12" s="26"/>
      <c r="F12" s="678" t="s">
        <v>101</v>
      </c>
      <c r="G12" s="678"/>
      <c r="H12" s="678"/>
      <c r="I12" s="678"/>
    </row>
    <row r="13" spans="1:9" ht="24" customHeight="1" x14ac:dyDescent="0.2">
      <c r="A13" s="550" t="s">
        <v>67</v>
      </c>
      <c r="B13" s="537">
        <v>5453580</v>
      </c>
      <c r="C13" s="550">
        <v>1026506</v>
      </c>
      <c r="D13" s="537">
        <f>SUM(B13:C13)</f>
        <v>6480086</v>
      </c>
      <c r="E13" s="26"/>
      <c r="F13" s="550" t="s">
        <v>72</v>
      </c>
      <c r="G13" s="550">
        <v>686530</v>
      </c>
      <c r="H13" s="550">
        <v>2467665</v>
      </c>
      <c r="I13" s="550">
        <f>SUM(G13:H13)</f>
        <v>3154195</v>
      </c>
    </row>
    <row r="14" spans="1:9" ht="17.399999999999999" customHeight="1" x14ac:dyDescent="0.2">
      <c r="A14" s="550" t="s">
        <v>832</v>
      </c>
      <c r="B14" s="537">
        <v>338743</v>
      </c>
      <c r="C14" s="550">
        <v>-98935</v>
      </c>
      <c r="D14" s="537">
        <f>SUM(B14:C14)</f>
        <v>239808</v>
      </c>
      <c r="E14" s="26"/>
      <c r="F14" s="550" t="s">
        <v>9</v>
      </c>
      <c r="G14" s="550">
        <v>65000</v>
      </c>
      <c r="H14" s="550">
        <v>48000</v>
      </c>
      <c r="I14" s="550">
        <f>SUM(G14:H14)</f>
        <v>113000</v>
      </c>
    </row>
    <row r="15" spans="1:9" ht="15" customHeight="1" x14ac:dyDescent="0.2">
      <c r="A15" s="550" t="s">
        <v>833</v>
      </c>
      <c r="B15" s="636">
        <v>2000</v>
      </c>
      <c r="C15" s="550">
        <v>8230</v>
      </c>
      <c r="D15" s="537">
        <f>SUM(B15:C15)</f>
        <v>10230</v>
      </c>
      <c r="E15" s="26"/>
      <c r="F15" s="550" t="s">
        <v>103</v>
      </c>
      <c r="G15" s="537">
        <v>18687684</v>
      </c>
      <c r="H15" s="550">
        <v>-1057583</v>
      </c>
      <c r="I15" s="550">
        <f t="shared" ref="I15:I20" si="1">SUM(G15:H15)</f>
        <v>17630101</v>
      </c>
    </row>
    <row r="16" spans="1:9" ht="21" customHeight="1" x14ac:dyDescent="0.2">
      <c r="A16" s="550" t="s">
        <v>834</v>
      </c>
      <c r="B16" s="636">
        <v>950285</v>
      </c>
      <c r="C16" s="550">
        <v>301519</v>
      </c>
      <c r="D16" s="537">
        <f>SUM(B16:C16)</f>
        <v>1251804</v>
      </c>
      <c r="E16" s="26"/>
      <c r="F16" s="550" t="s">
        <v>9</v>
      </c>
      <c r="G16" s="636">
        <v>161213</v>
      </c>
      <c r="H16" s="550">
        <v>84922</v>
      </c>
      <c r="I16" s="550">
        <f t="shared" si="1"/>
        <v>246135</v>
      </c>
    </row>
    <row r="17" spans="1:9" ht="24.9" customHeight="1" x14ac:dyDescent="0.2">
      <c r="A17" s="678" t="s">
        <v>113</v>
      </c>
      <c r="B17" s="678">
        <f>SUM(B13:B16)</f>
        <v>6744608</v>
      </c>
      <c r="C17" s="678">
        <f t="shared" ref="C17:D17" si="2">SUM(C13:C16)</f>
        <v>1237320</v>
      </c>
      <c r="D17" s="678">
        <f t="shared" si="2"/>
        <v>7981928</v>
      </c>
      <c r="E17" s="26"/>
      <c r="F17" s="550" t="s">
        <v>104</v>
      </c>
      <c r="G17" s="537">
        <v>5876822</v>
      </c>
      <c r="H17" s="550">
        <v>752914</v>
      </c>
      <c r="I17" s="550">
        <f t="shared" si="1"/>
        <v>6629736</v>
      </c>
    </row>
    <row r="18" spans="1:9" ht="24" customHeight="1" x14ac:dyDescent="0.2">
      <c r="A18" s="550" t="s">
        <v>65</v>
      </c>
      <c r="B18" s="678"/>
      <c r="C18" s="678"/>
      <c r="D18" s="678"/>
      <c r="E18" s="25"/>
      <c r="F18" s="550" t="s">
        <v>9</v>
      </c>
      <c r="G18" s="537"/>
      <c r="H18" s="550">
        <v>29813</v>
      </c>
      <c r="I18" s="550">
        <f t="shared" si="1"/>
        <v>29813</v>
      </c>
    </row>
    <row r="19" spans="1:9" ht="12.9" customHeight="1" x14ac:dyDescent="0.2">
      <c r="A19" s="550" t="s">
        <v>835</v>
      </c>
      <c r="B19" s="550"/>
      <c r="C19" s="550"/>
      <c r="D19" s="550"/>
      <c r="E19" s="25"/>
      <c r="F19" s="550" t="s">
        <v>105</v>
      </c>
      <c r="G19" s="537">
        <v>990731</v>
      </c>
      <c r="H19" s="550">
        <v>-356744</v>
      </c>
      <c r="I19" s="550">
        <f t="shared" si="1"/>
        <v>633987</v>
      </c>
    </row>
    <row r="20" spans="1:9" ht="24" customHeight="1" x14ac:dyDescent="0.2">
      <c r="A20" s="550" t="s">
        <v>836</v>
      </c>
      <c r="B20" s="636">
        <v>6832220</v>
      </c>
      <c r="C20" s="550">
        <v>553932</v>
      </c>
      <c r="D20" s="636">
        <f>SUM(B20:C20)</f>
        <v>7386152</v>
      </c>
      <c r="E20" s="26"/>
      <c r="F20" s="550" t="s">
        <v>74</v>
      </c>
      <c r="G20" s="537">
        <v>188840</v>
      </c>
      <c r="H20" s="550"/>
      <c r="I20" s="550">
        <f t="shared" si="1"/>
        <v>188840</v>
      </c>
    </row>
    <row r="21" spans="1:9" ht="22.5" customHeight="1" x14ac:dyDescent="0.2">
      <c r="A21" s="550" t="s">
        <v>837</v>
      </c>
      <c r="B21" s="550">
        <v>12975995</v>
      </c>
      <c r="C21" s="550">
        <v>15000</v>
      </c>
      <c r="D21" s="636">
        <f>SUM(B21:C21)</f>
        <v>12990995</v>
      </c>
      <c r="E21" s="26"/>
      <c r="F21" s="678" t="s">
        <v>114</v>
      </c>
      <c r="G21" s="678">
        <f>SUM(G13+G15+G17+G19+G20)</f>
        <v>26430607</v>
      </c>
      <c r="H21" s="678">
        <f>SUM(H13+H15+H17+H19+H20)</f>
        <v>1806252</v>
      </c>
      <c r="I21" s="678">
        <f>SUM(I13+I15+I17+I19+I20)</f>
        <v>28236859</v>
      </c>
    </row>
    <row r="22" spans="1:9" ht="24.9" customHeight="1" x14ac:dyDescent="0.2">
      <c r="A22" s="550"/>
      <c r="B22" s="550"/>
      <c r="C22" s="550"/>
      <c r="D22" s="636"/>
      <c r="E22" s="26"/>
      <c r="F22" s="550" t="s">
        <v>73</v>
      </c>
      <c r="G22" s="537"/>
      <c r="H22" s="678"/>
      <c r="I22" s="537"/>
    </row>
    <row r="23" spans="1:9" ht="12.9" customHeight="1" x14ac:dyDescent="0.2">
      <c r="A23" s="683"/>
      <c r="B23" s="535"/>
      <c r="C23" s="683"/>
      <c r="D23" s="535"/>
      <c r="E23" s="26"/>
      <c r="F23" s="550" t="s">
        <v>110</v>
      </c>
      <c r="G23" s="537">
        <v>122216</v>
      </c>
      <c r="H23" s="550"/>
      <c r="I23" s="537">
        <f>SUM(G23:H23)</f>
        <v>122216</v>
      </c>
    </row>
    <row r="24" spans="1:9" ht="23.1" customHeight="1" thickBot="1" x14ac:dyDescent="0.25">
      <c r="A24" s="59" t="s">
        <v>106</v>
      </c>
      <c r="B24" s="60">
        <f>SUM(B17:B23)</f>
        <v>26552823</v>
      </c>
      <c r="C24" s="60">
        <f t="shared" ref="C24:D24" si="3">SUM(C17:C23)</f>
        <v>1806252</v>
      </c>
      <c r="D24" s="60">
        <f t="shared" si="3"/>
        <v>28359075</v>
      </c>
      <c r="E24" s="25"/>
      <c r="F24" s="61" t="s">
        <v>107</v>
      </c>
      <c r="G24" s="60">
        <f>SUM(G21:G23)</f>
        <v>26552823</v>
      </c>
      <c r="H24" s="60">
        <f>SUM(H21:H23)</f>
        <v>1806252</v>
      </c>
      <c r="I24" s="60">
        <f>SUM(I21:I23)</f>
        <v>28359075</v>
      </c>
    </row>
    <row r="25" spans="1:9" ht="23.1" customHeight="1" thickBot="1" x14ac:dyDescent="0.25">
      <c r="A25" s="27" t="s">
        <v>193</v>
      </c>
      <c r="B25" s="29">
        <f>SUM(B11+B24)</f>
        <v>50571074</v>
      </c>
      <c r="C25" s="29">
        <f>SUM(C11+C24)</f>
        <v>2783160</v>
      </c>
      <c r="D25" s="29">
        <f>SUM(D11+D24)</f>
        <v>53354234</v>
      </c>
      <c r="E25" s="25"/>
      <c r="F25" s="27" t="s">
        <v>193</v>
      </c>
      <c r="G25" s="28">
        <f>SUM(G11+G24)</f>
        <v>50571074</v>
      </c>
      <c r="H25" s="28">
        <f>SUM(H11+H24)</f>
        <v>2783160</v>
      </c>
      <c r="I25" s="28">
        <f>SUM(I11+I24)</f>
        <v>53354234</v>
      </c>
    </row>
    <row r="26" spans="1:9" ht="23.1" customHeight="1" x14ac:dyDescent="0.2">
      <c r="A26" s="550" t="s">
        <v>838</v>
      </c>
      <c r="B26" s="537">
        <v>7000000</v>
      </c>
      <c r="C26" s="550">
        <v>205000</v>
      </c>
      <c r="D26" s="537">
        <f>SUM(B26:C26)</f>
        <v>7205000</v>
      </c>
      <c r="E26" s="26"/>
      <c r="F26" s="550" t="s">
        <v>1090</v>
      </c>
      <c r="G26" s="537">
        <v>7000000</v>
      </c>
      <c r="H26" s="550">
        <v>205000</v>
      </c>
      <c r="I26" s="537">
        <f>SUM(G26:H26)</f>
        <v>7205000</v>
      </c>
    </row>
    <row r="27" spans="1:9" ht="20.100000000000001" customHeight="1" x14ac:dyDescent="0.2">
      <c r="A27" s="682" t="s">
        <v>2</v>
      </c>
      <c r="B27" s="684">
        <f>SUM(B25:B26)</f>
        <v>57571074</v>
      </c>
      <c r="C27" s="682">
        <f>SUM(C25:C26)</f>
        <v>2988160</v>
      </c>
      <c r="D27" s="684">
        <f>SUM(D25:D26)</f>
        <v>60559234</v>
      </c>
      <c r="E27" s="26"/>
      <c r="F27" s="682" t="s">
        <v>2</v>
      </c>
      <c r="G27" s="682">
        <f>SUM(G25:G26)</f>
        <v>57571074</v>
      </c>
      <c r="H27" s="682">
        <f>SUM(H25:H26)</f>
        <v>2988160</v>
      </c>
      <c r="I27" s="682">
        <f>SUM(I25:I26)</f>
        <v>60559234</v>
      </c>
    </row>
    <row r="30" spans="1:9" x14ac:dyDescent="0.2">
      <c r="D30" s="1" t="s">
        <v>86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2023.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9"/>
  <sheetViews>
    <sheetView topLeftCell="A16" zoomScaleNormal="100" workbookViewId="0">
      <selection activeCell="D22" sqref="D22"/>
    </sheetView>
  </sheetViews>
  <sheetFormatPr defaultColWidth="9.33203125" defaultRowHeight="11.4" x14ac:dyDescent="0.2"/>
  <cols>
    <col min="1" max="1" width="7.44140625" style="14" customWidth="1"/>
    <col min="2" max="2" width="65.44140625" style="13" customWidth="1"/>
    <col min="3" max="5" width="14.44140625" style="13" customWidth="1"/>
    <col min="6" max="16384" width="9.33203125" style="11"/>
  </cols>
  <sheetData>
    <row r="1" spans="1:5" ht="55.5" customHeight="1" thickBot="1" x14ac:dyDescent="0.25">
      <c r="A1" s="32" t="s">
        <v>137</v>
      </c>
      <c r="B1" s="474" t="s">
        <v>124</v>
      </c>
      <c r="C1" s="476" t="s">
        <v>938</v>
      </c>
      <c r="D1" s="476" t="s">
        <v>930</v>
      </c>
      <c r="E1" s="476" t="s">
        <v>939</v>
      </c>
    </row>
    <row r="2" spans="1:5" s="12" customFormat="1" ht="14.4" customHeight="1" x14ac:dyDescent="0.2">
      <c r="A2" s="685" t="s">
        <v>23</v>
      </c>
      <c r="B2" s="686" t="s">
        <v>108</v>
      </c>
      <c r="C2" s="475"/>
      <c r="D2" s="475"/>
      <c r="E2" s="475"/>
    </row>
    <row r="3" spans="1:5" ht="14.4" customHeight="1" x14ac:dyDescent="0.2">
      <c r="A3" s="685" t="s">
        <v>24</v>
      </c>
      <c r="B3" s="686" t="s">
        <v>25</v>
      </c>
      <c r="C3" s="686"/>
      <c r="D3" s="686"/>
      <c r="E3" s="687"/>
    </row>
    <row r="4" spans="1:5" ht="27.75" customHeight="1" x14ac:dyDescent="0.2">
      <c r="A4" s="688" t="s">
        <v>26</v>
      </c>
      <c r="B4" s="523" t="s">
        <v>826</v>
      </c>
      <c r="C4" s="687">
        <v>5370126</v>
      </c>
      <c r="D4" s="523">
        <v>568661</v>
      </c>
      <c r="E4" s="687">
        <f>SUM(C4:D4)</f>
        <v>5938787</v>
      </c>
    </row>
    <row r="5" spans="1:5" ht="16.5" hidden="1" customHeight="1" x14ac:dyDescent="0.2">
      <c r="A5" s="689" t="s">
        <v>27</v>
      </c>
      <c r="B5" s="687" t="s">
        <v>94</v>
      </c>
      <c r="C5" s="687"/>
      <c r="D5" s="687"/>
      <c r="E5" s="687">
        <f>SUM(C5:D5)</f>
        <v>0</v>
      </c>
    </row>
    <row r="6" spans="1:5" ht="16.5" customHeight="1" x14ac:dyDescent="0.2">
      <c r="A6" s="688" t="s">
        <v>1088</v>
      </c>
      <c r="B6" s="687" t="s">
        <v>1089</v>
      </c>
      <c r="C6" s="687"/>
      <c r="D6" s="687">
        <v>24716</v>
      </c>
      <c r="E6" s="687">
        <f>SUM(C6:D6)</f>
        <v>24716</v>
      </c>
    </row>
    <row r="7" spans="1:5" ht="24.75" customHeight="1" x14ac:dyDescent="0.2">
      <c r="A7" s="688" t="s">
        <v>0</v>
      </c>
      <c r="B7" s="687" t="s">
        <v>1</v>
      </c>
      <c r="C7" s="687">
        <v>29700</v>
      </c>
      <c r="D7" s="687"/>
      <c r="E7" s="687">
        <f>SUM(C7:D7)</f>
        <v>29700</v>
      </c>
    </row>
    <row r="8" spans="1:5" ht="18.75" customHeight="1" x14ac:dyDescent="0.2">
      <c r="A8" s="688" t="s">
        <v>118</v>
      </c>
      <c r="B8" s="687" t="s">
        <v>119</v>
      </c>
      <c r="C8" s="687">
        <v>1961422</v>
      </c>
      <c r="D8" s="687">
        <v>-431569</v>
      </c>
      <c r="E8" s="687">
        <f>SUM(C8:D8)</f>
        <v>1529853</v>
      </c>
    </row>
    <row r="9" spans="1:5" s="12" customFormat="1" ht="22.5" customHeight="1" x14ac:dyDescent="0.2">
      <c r="A9" s="690"/>
      <c r="B9" s="691" t="s">
        <v>28</v>
      </c>
      <c r="C9" s="691">
        <f>SUM(C4:C8)</f>
        <v>7361248</v>
      </c>
      <c r="D9" s="691">
        <f>SUM(D4:D8)</f>
        <v>161808</v>
      </c>
      <c r="E9" s="691">
        <f>SUM(E4:E8)</f>
        <v>7523056</v>
      </c>
    </row>
    <row r="10" spans="1:5" ht="14.4" customHeight="1" x14ac:dyDescent="0.2">
      <c r="A10" s="685" t="s">
        <v>29</v>
      </c>
      <c r="B10" s="686" t="s">
        <v>30</v>
      </c>
      <c r="C10" s="687"/>
      <c r="D10" s="686"/>
      <c r="E10" s="687"/>
    </row>
    <row r="11" spans="1:5" ht="14.4" customHeight="1" x14ac:dyDescent="0.2">
      <c r="A11" s="688" t="s">
        <v>31</v>
      </c>
      <c r="B11" s="687" t="s">
        <v>32</v>
      </c>
      <c r="C11" s="687"/>
      <c r="D11" s="687"/>
      <c r="E11" s="687"/>
    </row>
    <row r="12" spans="1:5" ht="17.25" customHeight="1" x14ac:dyDescent="0.2">
      <c r="A12" s="688" t="s">
        <v>33</v>
      </c>
      <c r="B12" s="687" t="s">
        <v>34</v>
      </c>
      <c r="C12" s="687">
        <v>5453580</v>
      </c>
      <c r="D12" s="687">
        <v>1026506</v>
      </c>
      <c r="E12" s="687">
        <f>SUM(C12:D12)</f>
        <v>6480086</v>
      </c>
    </row>
    <row r="13" spans="1:5" s="12" customFormat="1" ht="18.75" customHeight="1" x14ac:dyDescent="0.2">
      <c r="A13" s="690"/>
      <c r="B13" s="691" t="s">
        <v>35</v>
      </c>
      <c r="C13" s="691">
        <f>SUM(C11:C12)</f>
        <v>5453580</v>
      </c>
      <c r="D13" s="691">
        <f>SUM(D11:D12)</f>
        <v>1026506</v>
      </c>
      <c r="E13" s="691">
        <f>SUM(E11:E12)</f>
        <v>6480086</v>
      </c>
    </row>
    <row r="14" spans="1:5" ht="14.4" customHeight="1" x14ac:dyDescent="0.2">
      <c r="A14" s="685" t="s">
        <v>36</v>
      </c>
      <c r="B14" s="686" t="s">
        <v>14</v>
      </c>
      <c r="C14" s="687"/>
      <c r="D14" s="686"/>
      <c r="E14" s="687"/>
    </row>
    <row r="15" spans="1:5" ht="14.4" customHeight="1" x14ac:dyDescent="0.25">
      <c r="A15" s="692" t="s">
        <v>95</v>
      </c>
      <c r="B15" s="693" t="s">
        <v>96</v>
      </c>
      <c r="C15" s="687">
        <v>1128000</v>
      </c>
      <c r="D15" s="693"/>
      <c r="E15" s="687">
        <f>SUM(C15:D15)</f>
        <v>1128000</v>
      </c>
    </row>
    <row r="16" spans="1:5" ht="14.4" customHeight="1" x14ac:dyDescent="0.2">
      <c r="A16" s="688" t="s">
        <v>37</v>
      </c>
      <c r="B16" s="687" t="s">
        <v>39</v>
      </c>
      <c r="C16" s="687"/>
      <c r="D16" s="687"/>
      <c r="E16" s="687">
        <f>SUM(C16:D16)</f>
        <v>0</v>
      </c>
    </row>
    <row r="17" spans="1:5" ht="14.4" customHeight="1" x14ac:dyDescent="0.2">
      <c r="A17" s="689" t="s">
        <v>38</v>
      </c>
      <c r="B17" s="687" t="s">
        <v>6</v>
      </c>
      <c r="C17" s="687">
        <v>5600000</v>
      </c>
      <c r="D17" s="687">
        <v>645000</v>
      </c>
      <c r="E17" s="687">
        <f>SUM(C17:D17)</f>
        <v>6245000</v>
      </c>
    </row>
    <row r="18" spans="1:5" ht="22.5" customHeight="1" x14ac:dyDescent="0.2">
      <c r="A18" s="689" t="s">
        <v>43</v>
      </c>
      <c r="B18" s="687" t="s">
        <v>1127</v>
      </c>
      <c r="C18" s="687">
        <v>35000</v>
      </c>
      <c r="D18" s="687"/>
      <c r="E18" s="687">
        <f>SUM(C18:D18)</f>
        <v>35000</v>
      </c>
    </row>
    <row r="19" spans="1:5" ht="14.4" customHeight="1" x14ac:dyDescent="0.2">
      <c r="A19" s="688" t="s">
        <v>44</v>
      </c>
      <c r="B19" s="687" t="s">
        <v>1128</v>
      </c>
      <c r="C19" s="687">
        <v>36400</v>
      </c>
      <c r="D19" s="687">
        <v>50675</v>
      </c>
      <c r="E19" s="687">
        <f>SUM(C19:D19)</f>
        <v>87075</v>
      </c>
    </row>
    <row r="20" spans="1:5" ht="15" customHeight="1" x14ac:dyDescent="0.2">
      <c r="A20" s="690"/>
      <c r="B20" s="691" t="s">
        <v>45</v>
      </c>
      <c r="C20" s="691">
        <f>SUM(C14:C19)</f>
        <v>6799400</v>
      </c>
      <c r="D20" s="691">
        <f>SUM(D14:D19)</f>
        <v>695675</v>
      </c>
      <c r="E20" s="691">
        <f>SUM(E14:E19)</f>
        <v>7495075</v>
      </c>
    </row>
    <row r="21" spans="1:5" ht="15" customHeight="1" x14ac:dyDescent="0.2">
      <c r="A21" s="690" t="s">
        <v>46</v>
      </c>
      <c r="B21" s="691" t="s">
        <v>184</v>
      </c>
      <c r="C21" s="691">
        <v>5553400</v>
      </c>
      <c r="D21" s="691">
        <v>664702</v>
      </c>
      <c r="E21" s="691">
        <f>SUM(C21:D21)</f>
        <v>6218102</v>
      </c>
    </row>
    <row r="22" spans="1:5" ht="15" customHeight="1" x14ac:dyDescent="0.2">
      <c r="A22" s="685" t="s">
        <v>47</v>
      </c>
      <c r="B22" s="686" t="s">
        <v>185</v>
      </c>
      <c r="C22" s="687"/>
      <c r="D22" s="686"/>
      <c r="E22" s="687"/>
    </row>
    <row r="23" spans="1:5" ht="15" customHeight="1" x14ac:dyDescent="0.2">
      <c r="A23" s="524" t="s">
        <v>48</v>
      </c>
      <c r="B23" s="687" t="s">
        <v>49</v>
      </c>
      <c r="C23" s="687">
        <v>338743</v>
      </c>
      <c r="D23" s="687">
        <v>-103999</v>
      </c>
      <c r="E23" s="687">
        <f>SUM(C23:D23)</f>
        <v>234744</v>
      </c>
    </row>
    <row r="24" spans="1:5" ht="15" customHeight="1" x14ac:dyDescent="0.2">
      <c r="A24" s="524" t="s">
        <v>97</v>
      </c>
      <c r="B24" s="687" t="s">
        <v>98</v>
      </c>
      <c r="C24" s="687"/>
      <c r="D24" s="687">
        <v>5064</v>
      </c>
      <c r="E24" s="687">
        <f>SUM(C24:D24)</f>
        <v>5064</v>
      </c>
    </row>
    <row r="25" spans="1:5" ht="15" customHeight="1" x14ac:dyDescent="0.2">
      <c r="A25" s="524" t="s">
        <v>932</v>
      </c>
      <c r="B25" s="687" t="s">
        <v>933</v>
      </c>
      <c r="C25" s="687"/>
      <c r="D25" s="687"/>
      <c r="E25" s="687">
        <f>SUM(C25:D25)</f>
        <v>0</v>
      </c>
    </row>
    <row r="26" spans="1:5" ht="15" customHeight="1" x14ac:dyDescent="0.2">
      <c r="A26" s="694"/>
      <c r="B26" s="691" t="s">
        <v>50</v>
      </c>
      <c r="C26" s="691">
        <f>SUM(C23:C25)</f>
        <v>338743</v>
      </c>
      <c r="D26" s="691">
        <f t="shared" ref="D26:E26" si="0">SUM(D23:D25)</f>
        <v>-98935</v>
      </c>
      <c r="E26" s="691">
        <f t="shared" si="0"/>
        <v>239808</v>
      </c>
    </row>
    <row r="27" spans="1:5" ht="15" customHeight="1" x14ac:dyDescent="0.2">
      <c r="A27" s="690" t="s">
        <v>51</v>
      </c>
      <c r="B27" s="691" t="s">
        <v>186</v>
      </c>
      <c r="C27" s="691"/>
      <c r="D27" s="691">
        <v>58895</v>
      </c>
      <c r="E27" s="691">
        <f>SUM(C27:D27)</f>
        <v>58895</v>
      </c>
    </row>
    <row r="28" spans="1:5" ht="15" customHeight="1" x14ac:dyDescent="0.2">
      <c r="A28" s="685" t="s">
        <v>52</v>
      </c>
      <c r="B28" s="686" t="s">
        <v>187</v>
      </c>
      <c r="C28" s="686"/>
      <c r="D28" s="686"/>
      <c r="E28" s="686"/>
    </row>
    <row r="29" spans="1:5" ht="24.9" customHeight="1" x14ac:dyDescent="0.2">
      <c r="A29" s="524" t="s">
        <v>921</v>
      </c>
      <c r="B29" s="687" t="s">
        <v>53</v>
      </c>
      <c r="C29" s="687">
        <v>2000</v>
      </c>
      <c r="D29" s="687"/>
      <c r="E29" s="687">
        <f>SUM(C29:D29)</f>
        <v>2000</v>
      </c>
    </row>
    <row r="30" spans="1:5" ht="15" customHeight="1" x14ac:dyDescent="0.2">
      <c r="A30" s="524" t="s">
        <v>922</v>
      </c>
      <c r="B30" s="687" t="s">
        <v>54</v>
      </c>
      <c r="C30" s="687"/>
      <c r="D30" s="687">
        <v>8230</v>
      </c>
      <c r="E30" s="687">
        <f>SUM(C30:D30)</f>
        <v>8230</v>
      </c>
    </row>
    <row r="31" spans="1:5" ht="15" customHeight="1" x14ac:dyDescent="0.2">
      <c r="A31" s="694"/>
      <c r="B31" s="691" t="s">
        <v>55</v>
      </c>
      <c r="C31" s="691">
        <f>SUM(C29:C30)</f>
        <v>2000</v>
      </c>
      <c r="D31" s="691">
        <f>SUM(D29:D30)</f>
        <v>8230</v>
      </c>
      <c r="E31" s="691">
        <f>SUM(E29:E30)</f>
        <v>10230</v>
      </c>
    </row>
    <row r="32" spans="1:5" ht="15" customHeight="1" x14ac:dyDescent="0.2">
      <c r="A32" s="690" t="s">
        <v>56</v>
      </c>
      <c r="B32" s="691" t="s">
        <v>131</v>
      </c>
      <c r="C32" s="691">
        <f>SUM(C9+C13+C20+C21+C26+C27+C31)</f>
        <v>25508371</v>
      </c>
      <c r="D32" s="691">
        <f>SUM(D9+D13+D20+D21+D26+D27+D31)</f>
        <v>2516881</v>
      </c>
      <c r="E32" s="691">
        <f>SUM(E9+E13+E20+E21+E26+E27+E31)</f>
        <v>28025252</v>
      </c>
    </row>
    <row r="33" spans="1:5" ht="15.9" customHeight="1" x14ac:dyDescent="0.2">
      <c r="A33" s="685" t="s">
        <v>57</v>
      </c>
      <c r="B33" s="686" t="s">
        <v>188</v>
      </c>
      <c r="C33" s="686"/>
      <c r="D33" s="686"/>
      <c r="E33" s="686"/>
    </row>
    <row r="34" spans="1:5" ht="14.4" customHeight="1" x14ac:dyDescent="0.2">
      <c r="A34" s="688" t="s">
        <v>58</v>
      </c>
      <c r="B34" s="687" t="s">
        <v>59</v>
      </c>
      <c r="C34" s="687"/>
      <c r="D34" s="687"/>
      <c r="E34" s="687"/>
    </row>
    <row r="35" spans="1:5" ht="14.4" customHeight="1" x14ac:dyDescent="0.2">
      <c r="A35" s="695" t="s">
        <v>60</v>
      </c>
      <c r="B35" s="696" t="s">
        <v>61</v>
      </c>
      <c r="C35" s="687"/>
      <c r="D35" s="696"/>
      <c r="E35" s="687"/>
    </row>
    <row r="36" spans="1:5" ht="14.4" customHeight="1" x14ac:dyDescent="0.2">
      <c r="A36" s="695" t="s">
        <v>197</v>
      </c>
      <c r="B36" s="697" t="s">
        <v>196</v>
      </c>
      <c r="C36" s="687">
        <v>21277995</v>
      </c>
      <c r="D36" s="695">
        <v>220000</v>
      </c>
      <c r="E36" s="687">
        <f>SUM(C36:D36)</f>
        <v>21497995</v>
      </c>
    </row>
    <row r="37" spans="1:5" ht="14.4" customHeight="1" x14ac:dyDescent="0.2">
      <c r="A37" s="695" t="s">
        <v>62</v>
      </c>
      <c r="B37" s="696" t="s">
        <v>133</v>
      </c>
      <c r="C37" s="687">
        <v>10784708</v>
      </c>
      <c r="D37" s="696">
        <v>251279</v>
      </c>
      <c r="E37" s="687">
        <f>SUM(C37:D37)</f>
        <v>11035987</v>
      </c>
    </row>
    <row r="38" spans="1:5" ht="14.4" customHeight="1" x14ac:dyDescent="0.2">
      <c r="A38" s="698"/>
      <c r="B38" s="691" t="s">
        <v>63</v>
      </c>
      <c r="C38" s="691">
        <f>SUM(C35:C37)</f>
        <v>32062703</v>
      </c>
      <c r="D38" s="691">
        <f>SUM(D35:D37)</f>
        <v>471279</v>
      </c>
      <c r="E38" s="691">
        <f>SUM(E35:E37)</f>
        <v>32533982</v>
      </c>
    </row>
    <row r="39" spans="1:5" ht="15.9" customHeight="1" x14ac:dyDescent="0.2">
      <c r="A39" s="690"/>
      <c r="B39" s="691" t="s">
        <v>64</v>
      </c>
      <c r="C39" s="691">
        <f>SUM(C32+C38)</f>
        <v>57571074</v>
      </c>
      <c r="D39" s="691">
        <f>SUM(D32+D38)</f>
        <v>2988160</v>
      </c>
      <c r="E39" s="691">
        <f>SUM(E32+E38)</f>
        <v>60559234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2023.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3"/>
  <sheetViews>
    <sheetView zoomScale="96" zoomScaleNormal="96" workbookViewId="0">
      <pane xSplit="1" ySplit="2" topLeftCell="B68" activePane="bottomRight" state="frozen"/>
      <selection activeCell="A30" sqref="A30"/>
      <selection pane="topRight" activeCell="A30" sqref="A30"/>
      <selection pane="bottomLeft" activeCell="A30" sqref="A30"/>
      <selection pane="bottomRight" activeCell="J1" sqref="J1:J1048576"/>
    </sheetView>
  </sheetViews>
  <sheetFormatPr defaultColWidth="9.109375" defaultRowHeight="11.4" x14ac:dyDescent="0.25"/>
  <cols>
    <col min="1" max="1" width="108.33203125" style="93" customWidth="1"/>
    <col min="2" max="2" width="10.109375" style="93" customWidth="1"/>
    <col min="3" max="3" width="11.109375" style="93" customWidth="1"/>
    <col min="4" max="4" width="11.44140625" style="93" customWidth="1"/>
    <col min="5" max="5" width="13.109375" style="93" customWidth="1"/>
    <col min="6" max="6" width="7.77734375" style="93" customWidth="1"/>
    <col min="7" max="7" width="9.44140625" style="93" customWidth="1"/>
    <col min="8" max="8" width="9.77734375" style="93" customWidth="1"/>
    <col min="9" max="9" width="16.109375" style="93" customWidth="1"/>
    <col min="10" max="10" width="16.109375" style="93" hidden="1" customWidth="1"/>
    <col min="11" max="11" width="16.109375" style="93" customWidth="1"/>
    <col min="12" max="16384" width="9.109375" style="93"/>
  </cols>
  <sheetData>
    <row r="1" spans="1:10" ht="21" customHeight="1" x14ac:dyDescent="0.25">
      <c r="A1" s="92"/>
      <c r="B1" s="827" t="s">
        <v>783</v>
      </c>
      <c r="C1" s="828"/>
      <c r="D1" s="829" t="s">
        <v>940</v>
      </c>
      <c r="E1" s="830"/>
      <c r="F1" s="827" t="s">
        <v>783</v>
      </c>
      <c r="G1" s="828"/>
      <c r="H1" s="829" t="s">
        <v>941</v>
      </c>
      <c r="I1" s="830"/>
      <c r="J1" s="334"/>
    </row>
    <row r="2" spans="1:10" ht="32.25" customHeight="1" x14ac:dyDescent="0.25">
      <c r="A2" s="94" t="s">
        <v>198</v>
      </c>
      <c r="B2" s="368" t="s">
        <v>203</v>
      </c>
      <c r="C2" s="368" t="s">
        <v>204</v>
      </c>
      <c r="D2" s="368" t="s">
        <v>200</v>
      </c>
      <c r="E2" s="214" t="s">
        <v>201</v>
      </c>
      <c r="F2" s="368" t="s">
        <v>203</v>
      </c>
      <c r="G2" s="368" t="s">
        <v>204</v>
      </c>
      <c r="H2" s="368" t="s">
        <v>200</v>
      </c>
      <c r="I2" s="214" t="s">
        <v>201</v>
      </c>
      <c r="J2" s="335" t="s">
        <v>199</v>
      </c>
    </row>
    <row r="3" spans="1:10" ht="16.2" customHeight="1" x14ac:dyDescent="0.25">
      <c r="A3" s="491" t="s">
        <v>202</v>
      </c>
      <c r="B3" s="490"/>
      <c r="C3" s="492"/>
      <c r="D3" s="492"/>
      <c r="E3" s="493"/>
      <c r="F3" s="494"/>
      <c r="G3" s="493"/>
      <c r="H3" s="336"/>
      <c r="I3" s="336"/>
      <c r="J3" s="337"/>
    </row>
    <row r="4" spans="1:10" ht="16.2" customHeight="1" x14ac:dyDescent="0.25">
      <c r="A4" s="451" t="s">
        <v>784</v>
      </c>
      <c r="B4" s="490"/>
      <c r="C4" s="453"/>
      <c r="D4" s="453"/>
      <c r="E4" s="453"/>
      <c r="F4" s="495"/>
      <c r="G4" s="453"/>
      <c r="H4" s="215"/>
      <c r="I4" s="215"/>
      <c r="J4" s="337"/>
    </row>
    <row r="5" spans="1:10" ht="16.2" customHeight="1" x14ac:dyDescent="0.25">
      <c r="A5" s="490" t="s">
        <v>785</v>
      </c>
      <c r="B5" s="453">
        <v>55384</v>
      </c>
      <c r="C5" s="457">
        <v>127.84</v>
      </c>
      <c r="D5" s="453">
        <v>5537000</v>
      </c>
      <c r="E5" s="453">
        <v>707850</v>
      </c>
      <c r="F5" s="495">
        <v>55384</v>
      </c>
      <c r="G5" s="457">
        <v>127.84</v>
      </c>
      <c r="H5" s="215">
        <v>5537000</v>
      </c>
      <c r="I5" s="215">
        <v>707850</v>
      </c>
      <c r="J5" s="656">
        <v>707850080</v>
      </c>
    </row>
    <row r="6" spans="1:10" ht="16.2" customHeight="1" x14ac:dyDescent="0.25">
      <c r="A6" s="490" t="s">
        <v>1033</v>
      </c>
      <c r="B6" s="646"/>
      <c r="C6" s="647"/>
      <c r="D6" s="646"/>
      <c r="E6" s="646"/>
      <c r="F6" s="495">
        <v>55384</v>
      </c>
      <c r="G6" s="457">
        <v>127.84</v>
      </c>
      <c r="H6" s="646">
        <v>336000</v>
      </c>
      <c r="I6" s="646">
        <v>42954</v>
      </c>
      <c r="J6" s="657">
        <v>42954240</v>
      </c>
    </row>
    <row r="7" spans="1:10" ht="16.2" customHeight="1" x14ac:dyDescent="0.25">
      <c r="A7" s="490" t="s">
        <v>786</v>
      </c>
      <c r="B7" s="453"/>
      <c r="C7" s="453"/>
      <c r="D7" s="651"/>
      <c r="E7" s="456"/>
      <c r="F7" s="456"/>
      <c r="G7" s="456"/>
      <c r="H7" s="651"/>
      <c r="I7" s="338"/>
      <c r="J7" s="656"/>
    </row>
    <row r="8" spans="1:10" ht="16.2" customHeight="1" x14ac:dyDescent="0.25">
      <c r="A8" s="490" t="s">
        <v>787</v>
      </c>
      <c r="B8" s="453"/>
      <c r="C8" s="455">
        <v>2381.9</v>
      </c>
      <c r="D8" s="497">
        <v>26000</v>
      </c>
      <c r="E8" s="453">
        <v>61929</v>
      </c>
      <c r="F8" s="495"/>
      <c r="G8" s="453">
        <v>2381.9</v>
      </c>
      <c r="H8" s="339">
        <v>26000</v>
      </c>
      <c r="I8" s="215">
        <v>61929</v>
      </c>
      <c r="J8" s="656">
        <v>61929400</v>
      </c>
    </row>
    <row r="9" spans="1:10" ht="16.2" customHeight="1" x14ac:dyDescent="0.25">
      <c r="A9" s="490" t="s">
        <v>788</v>
      </c>
      <c r="B9" s="453"/>
      <c r="C9" s="455">
        <v>406.4</v>
      </c>
      <c r="D9" s="497">
        <v>425000</v>
      </c>
      <c r="E9" s="453">
        <v>172720</v>
      </c>
      <c r="F9" s="495"/>
      <c r="G9" s="453">
        <v>406.4</v>
      </c>
      <c r="H9" s="339">
        <v>425000</v>
      </c>
      <c r="I9" s="215">
        <v>172720</v>
      </c>
      <c r="J9" s="656">
        <v>172720000</v>
      </c>
    </row>
    <row r="10" spans="1:10" ht="16.2" customHeight="1" x14ac:dyDescent="0.25">
      <c r="A10" s="490" t="s">
        <v>789</v>
      </c>
      <c r="B10" s="453"/>
      <c r="C10" s="453">
        <v>323258</v>
      </c>
      <c r="D10" s="497">
        <v>85</v>
      </c>
      <c r="E10" s="453">
        <v>27477</v>
      </c>
      <c r="F10" s="495"/>
      <c r="G10" s="453">
        <v>323258</v>
      </c>
      <c r="H10" s="339">
        <v>85</v>
      </c>
      <c r="I10" s="215">
        <v>27477</v>
      </c>
      <c r="J10" s="656">
        <v>27476930</v>
      </c>
    </row>
    <row r="11" spans="1:10" ht="16.2" customHeight="1" x14ac:dyDescent="0.25">
      <c r="A11" s="490" t="s">
        <v>790</v>
      </c>
      <c r="B11" s="453"/>
      <c r="C11" s="457">
        <v>211.77</v>
      </c>
      <c r="D11" s="497">
        <v>485000</v>
      </c>
      <c r="E11" s="453">
        <v>102709</v>
      </c>
      <c r="F11" s="495"/>
      <c r="G11" s="453">
        <v>211.77</v>
      </c>
      <c r="H11" s="339">
        <v>485000</v>
      </c>
      <c r="I11" s="215">
        <v>102709</v>
      </c>
      <c r="J11" s="656">
        <v>102708450</v>
      </c>
    </row>
    <row r="12" spans="1:10" ht="16.2" customHeight="1" x14ac:dyDescent="0.25">
      <c r="A12" s="490" t="s">
        <v>791</v>
      </c>
      <c r="B12" s="453">
        <v>55384</v>
      </c>
      <c r="C12" s="453"/>
      <c r="D12" s="497">
        <v>2800</v>
      </c>
      <c r="E12" s="497">
        <v>155075</v>
      </c>
      <c r="F12" s="498">
        <v>55384</v>
      </c>
      <c r="G12" s="497"/>
      <c r="H12" s="339">
        <v>2800</v>
      </c>
      <c r="I12" s="339">
        <v>155075</v>
      </c>
      <c r="J12" s="656">
        <v>155075200</v>
      </c>
    </row>
    <row r="13" spans="1:10" ht="16.2" customHeight="1" x14ac:dyDescent="0.25">
      <c r="A13" s="490" t="s">
        <v>792</v>
      </c>
      <c r="B13" s="453">
        <v>4595</v>
      </c>
      <c r="C13" s="453"/>
      <c r="D13" s="497">
        <v>2550</v>
      </c>
      <c r="E13" s="497">
        <v>11717</v>
      </c>
      <c r="F13" s="498">
        <v>4595</v>
      </c>
      <c r="G13" s="497"/>
      <c r="H13" s="339">
        <v>2550</v>
      </c>
      <c r="I13" s="339">
        <v>11717</v>
      </c>
      <c r="J13" s="656">
        <v>11717250</v>
      </c>
    </row>
    <row r="14" spans="1:10" ht="16.2" customHeight="1" x14ac:dyDescent="0.25">
      <c r="A14" s="490" t="s">
        <v>793</v>
      </c>
      <c r="B14" s="453"/>
      <c r="C14" s="453">
        <v>1000</v>
      </c>
      <c r="D14" s="453">
        <v>100</v>
      </c>
      <c r="E14" s="453">
        <v>100</v>
      </c>
      <c r="F14" s="495"/>
      <c r="G14" s="453">
        <v>1000</v>
      </c>
      <c r="H14" s="215">
        <v>100</v>
      </c>
      <c r="I14" s="215">
        <v>100</v>
      </c>
      <c r="J14" s="656">
        <v>100000</v>
      </c>
    </row>
    <row r="15" spans="1:10" ht="16.2" customHeight="1" x14ac:dyDescent="0.25">
      <c r="A15" s="451" t="s">
        <v>794</v>
      </c>
      <c r="B15" s="453"/>
      <c r="C15" s="453"/>
      <c r="D15" s="454"/>
      <c r="E15" s="454"/>
      <c r="F15" s="499"/>
      <c r="G15" s="454"/>
      <c r="H15" s="453"/>
      <c r="I15" s="453"/>
      <c r="J15" s="656"/>
    </row>
    <row r="16" spans="1:10" ht="16.2" customHeight="1" x14ac:dyDescent="0.25">
      <c r="A16" s="490" t="s">
        <v>795</v>
      </c>
      <c r="B16" s="453"/>
      <c r="C16" s="455">
        <v>1412.3</v>
      </c>
      <c r="D16" s="453">
        <v>130000</v>
      </c>
      <c r="E16" s="453">
        <v>183599</v>
      </c>
      <c r="F16" s="495"/>
      <c r="G16" s="455">
        <v>1390.7</v>
      </c>
      <c r="H16" s="215">
        <v>130000</v>
      </c>
      <c r="I16" s="215">
        <v>180791</v>
      </c>
      <c r="J16" s="656">
        <v>180791000</v>
      </c>
    </row>
    <row r="17" spans="1:10" ht="16.2" customHeight="1" x14ac:dyDescent="0.25">
      <c r="A17" s="490" t="s">
        <v>1013</v>
      </c>
      <c r="B17" s="646"/>
      <c r="C17" s="649"/>
      <c r="D17" s="646"/>
      <c r="E17" s="646"/>
      <c r="F17" s="648"/>
      <c r="G17" s="455">
        <v>1390.7</v>
      </c>
      <c r="H17" s="646">
        <v>7000</v>
      </c>
      <c r="I17" s="646">
        <v>9735</v>
      </c>
      <c r="J17" s="657">
        <v>9734900</v>
      </c>
    </row>
    <row r="18" spans="1:10" ht="16.2" customHeight="1" x14ac:dyDescent="0.25">
      <c r="A18" s="452" t="s">
        <v>796</v>
      </c>
      <c r="B18" s="453"/>
      <c r="C18" s="455">
        <v>130</v>
      </c>
      <c r="D18" s="453">
        <v>5262900</v>
      </c>
      <c r="E18" s="453">
        <v>684177</v>
      </c>
      <c r="F18" s="495"/>
      <c r="G18" s="455">
        <v>128.4</v>
      </c>
      <c r="H18" s="215">
        <v>5262900</v>
      </c>
      <c r="I18" s="215">
        <v>675756</v>
      </c>
      <c r="J18" s="656">
        <v>675756360</v>
      </c>
    </row>
    <row r="19" spans="1:10" ht="16.2" customHeight="1" x14ac:dyDescent="0.25">
      <c r="A19" s="452" t="s">
        <v>1014</v>
      </c>
      <c r="B19" s="646"/>
      <c r="C19" s="649"/>
      <c r="D19" s="646"/>
      <c r="E19" s="646"/>
      <c r="F19" s="648"/>
      <c r="G19" s="455">
        <v>128.4</v>
      </c>
      <c r="H19" s="646">
        <v>944620</v>
      </c>
      <c r="I19" s="646">
        <v>121289</v>
      </c>
      <c r="J19" s="657">
        <v>121289208</v>
      </c>
    </row>
    <row r="20" spans="1:10" ht="16.2" customHeight="1" x14ac:dyDescent="0.25">
      <c r="A20" s="490" t="s">
        <v>797</v>
      </c>
      <c r="B20" s="453"/>
      <c r="C20" s="453"/>
      <c r="D20" s="453"/>
      <c r="E20" s="453"/>
      <c r="F20" s="495"/>
      <c r="G20" s="453"/>
      <c r="H20" s="453"/>
      <c r="I20" s="453"/>
      <c r="J20" s="656"/>
    </row>
    <row r="21" spans="1:10" ht="16.2" customHeight="1" x14ac:dyDescent="0.25">
      <c r="A21" s="490" t="s">
        <v>798</v>
      </c>
      <c r="B21" s="453"/>
      <c r="C21" s="455">
        <v>39.799999999999997</v>
      </c>
      <c r="D21" s="453">
        <v>467690</v>
      </c>
      <c r="E21" s="453">
        <v>18614</v>
      </c>
      <c r="F21" s="495"/>
      <c r="G21" s="455">
        <v>40</v>
      </c>
      <c r="H21" s="215">
        <v>467690</v>
      </c>
      <c r="I21" s="215">
        <v>18708</v>
      </c>
      <c r="J21" s="656">
        <v>18707600</v>
      </c>
    </row>
    <row r="22" spans="1:10" ht="16.2" customHeight="1" x14ac:dyDescent="0.25">
      <c r="A22" s="490" t="s">
        <v>1015</v>
      </c>
      <c r="B22" s="646"/>
      <c r="C22" s="649"/>
      <c r="D22" s="646"/>
      <c r="E22" s="646"/>
      <c r="F22" s="648"/>
      <c r="G22" s="455">
        <v>40</v>
      </c>
      <c r="H22" s="646">
        <v>66178</v>
      </c>
      <c r="I22" s="646">
        <v>2647</v>
      </c>
      <c r="J22" s="657">
        <v>2647120</v>
      </c>
    </row>
    <row r="23" spans="1:10" ht="16.2" customHeight="1" x14ac:dyDescent="0.25">
      <c r="A23" s="452" t="s">
        <v>799</v>
      </c>
      <c r="B23" s="453"/>
      <c r="C23" s="453">
        <v>2</v>
      </c>
      <c r="D23" s="453">
        <v>1743970</v>
      </c>
      <c r="E23" s="453">
        <v>3488</v>
      </c>
      <c r="F23" s="495"/>
      <c r="G23" s="453">
        <v>2</v>
      </c>
      <c r="H23" s="215">
        <v>1743970</v>
      </c>
      <c r="I23" s="215">
        <v>3488</v>
      </c>
      <c r="J23" s="658">
        <v>3487940</v>
      </c>
    </row>
    <row r="24" spans="1:10" ht="16.2" customHeight="1" x14ac:dyDescent="0.25">
      <c r="A24" s="452" t="s">
        <v>1016</v>
      </c>
      <c r="B24" s="646"/>
      <c r="C24" s="646"/>
      <c r="D24" s="646"/>
      <c r="E24" s="646"/>
      <c r="F24" s="648"/>
      <c r="G24" s="453">
        <v>2</v>
      </c>
      <c r="H24" s="646">
        <v>246772</v>
      </c>
      <c r="I24" s="646">
        <v>493</v>
      </c>
      <c r="J24" s="659">
        <v>493544</v>
      </c>
    </row>
    <row r="25" spans="1:10" ht="16.2" customHeight="1" x14ac:dyDescent="0.25">
      <c r="A25" s="452" t="s">
        <v>942</v>
      </c>
      <c r="B25" s="453"/>
      <c r="C25" s="453">
        <v>1</v>
      </c>
      <c r="D25" s="453">
        <v>562960</v>
      </c>
      <c r="E25" s="453">
        <v>563</v>
      </c>
      <c r="F25" s="495"/>
      <c r="G25" s="453">
        <v>1</v>
      </c>
      <c r="H25" s="215">
        <v>562960</v>
      </c>
      <c r="I25" s="215">
        <v>563</v>
      </c>
      <c r="J25" s="658">
        <v>562950</v>
      </c>
    </row>
    <row r="26" spans="1:10" ht="21.6" customHeight="1" x14ac:dyDescent="0.25">
      <c r="A26" s="452" t="s">
        <v>1017</v>
      </c>
      <c r="B26" s="646"/>
      <c r="C26" s="646"/>
      <c r="D26" s="646"/>
      <c r="E26" s="646"/>
      <c r="F26" s="648"/>
      <c r="G26" s="453">
        <v>1</v>
      </c>
      <c r="H26" s="646">
        <v>79658</v>
      </c>
      <c r="I26" s="646">
        <v>80</v>
      </c>
      <c r="J26" s="659">
        <v>79658</v>
      </c>
    </row>
    <row r="27" spans="1:10" ht="16.2" customHeight="1" x14ac:dyDescent="0.25">
      <c r="A27" s="747" t="s">
        <v>1086</v>
      </c>
      <c r="B27" s="748"/>
      <c r="C27" s="748"/>
      <c r="D27" s="748"/>
      <c r="E27" s="748"/>
      <c r="F27" s="749"/>
      <c r="G27" s="748">
        <v>7</v>
      </c>
      <c r="H27" s="748">
        <v>428720</v>
      </c>
      <c r="I27" s="748">
        <v>3001</v>
      </c>
      <c r="J27" s="750">
        <v>3001040</v>
      </c>
    </row>
    <row r="28" spans="1:10" ht="24.6" customHeight="1" x14ac:dyDescent="0.25">
      <c r="A28" s="747" t="s">
        <v>1087</v>
      </c>
      <c r="B28" s="748"/>
      <c r="C28" s="748"/>
      <c r="D28" s="748"/>
      <c r="E28" s="748"/>
      <c r="F28" s="749"/>
      <c r="G28" s="748">
        <v>7</v>
      </c>
      <c r="H28" s="748">
        <v>60662</v>
      </c>
      <c r="I28" s="748">
        <v>425</v>
      </c>
      <c r="J28" s="750">
        <v>424634</v>
      </c>
    </row>
    <row r="29" spans="1:10" ht="16.2" customHeight="1" x14ac:dyDescent="0.25">
      <c r="A29" s="452" t="s">
        <v>800</v>
      </c>
      <c r="B29" s="456"/>
      <c r="C29" s="455">
        <v>86</v>
      </c>
      <c r="D29" s="453">
        <v>3878000</v>
      </c>
      <c r="E29" s="453">
        <v>333508</v>
      </c>
      <c r="F29" s="495"/>
      <c r="G29" s="453">
        <v>85</v>
      </c>
      <c r="H29" s="215">
        <v>3878000</v>
      </c>
      <c r="I29" s="215">
        <v>329630</v>
      </c>
      <c r="J29" s="656">
        <v>329630000</v>
      </c>
    </row>
    <row r="30" spans="1:10" ht="26.4" customHeight="1" x14ac:dyDescent="0.25">
      <c r="A30" s="452" t="s">
        <v>1018</v>
      </c>
      <c r="B30" s="651"/>
      <c r="C30" s="649"/>
      <c r="D30" s="646"/>
      <c r="E30" s="646"/>
      <c r="F30" s="648"/>
      <c r="G30" s="453">
        <v>85</v>
      </c>
      <c r="H30" s="646">
        <v>543000</v>
      </c>
      <c r="I30" s="646">
        <v>46155</v>
      </c>
      <c r="J30" s="657">
        <v>46155000</v>
      </c>
    </row>
    <row r="31" spans="1:10" ht="16.2" customHeight="1" x14ac:dyDescent="0.25">
      <c r="A31" s="500" t="s">
        <v>870</v>
      </c>
      <c r="B31" s="456"/>
      <c r="C31" s="455">
        <v>5</v>
      </c>
      <c r="D31" s="453">
        <v>480000</v>
      </c>
      <c r="E31" s="453">
        <v>2400</v>
      </c>
      <c r="F31" s="495"/>
      <c r="G31" s="453">
        <v>2</v>
      </c>
      <c r="H31" s="453">
        <v>480000</v>
      </c>
      <c r="I31" s="453">
        <v>960</v>
      </c>
      <c r="J31" s="656">
        <v>960000</v>
      </c>
    </row>
    <row r="32" spans="1:10" ht="16.2" customHeight="1" x14ac:dyDescent="0.25">
      <c r="A32" s="451" t="s">
        <v>801</v>
      </c>
      <c r="B32" s="453"/>
      <c r="C32" s="453"/>
      <c r="D32" s="453"/>
      <c r="E32" s="453"/>
      <c r="F32" s="495"/>
      <c r="G32" s="453"/>
      <c r="H32" s="215"/>
      <c r="I32" s="215"/>
      <c r="J32" s="656"/>
    </row>
    <row r="33" spans="1:10" ht="16.2" customHeight="1" x14ac:dyDescent="0.25">
      <c r="A33" s="490" t="s">
        <v>802</v>
      </c>
      <c r="B33" s="453"/>
      <c r="C33" s="455">
        <v>8.4</v>
      </c>
      <c r="D33" s="453">
        <v>5128940</v>
      </c>
      <c r="E33" s="453">
        <v>43083</v>
      </c>
      <c r="F33" s="495"/>
      <c r="G33" s="455">
        <v>8.4</v>
      </c>
      <c r="H33" s="453">
        <v>5128940</v>
      </c>
      <c r="I33" s="453">
        <v>43083</v>
      </c>
      <c r="J33" s="656">
        <v>43083096</v>
      </c>
    </row>
    <row r="34" spans="1:10" ht="16.2" customHeight="1" x14ac:dyDescent="0.25">
      <c r="A34" s="490" t="s">
        <v>1019</v>
      </c>
      <c r="B34" s="646"/>
      <c r="C34" s="649"/>
      <c r="D34" s="646"/>
      <c r="E34" s="646"/>
      <c r="F34" s="648"/>
      <c r="G34" s="455">
        <v>8.4</v>
      </c>
      <c r="H34" s="646">
        <v>799060</v>
      </c>
      <c r="I34" s="646">
        <v>6712</v>
      </c>
      <c r="J34" s="657">
        <v>6712104</v>
      </c>
    </row>
    <row r="35" spans="1:10" ht="16.2" customHeight="1" x14ac:dyDescent="0.25">
      <c r="A35" s="490" t="s">
        <v>803</v>
      </c>
      <c r="B35" s="453"/>
      <c r="C35" s="455">
        <v>22.8</v>
      </c>
      <c r="D35" s="453">
        <v>4843970</v>
      </c>
      <c r="E35" s="453">
        <v>110443</v>
      </c>
      <c r="F35" s="495"/>
      <c r="G35" s="455">
        <v>22.8</v>
      </c>
      <c r="H35" s="215">
        <v>4843970</v>
      </c>
      <c r="I35" s="215">
        <v>110443</v>
      </c>
      <c r="J35" s="656">
        <v>110442516</v>
      </c>
    </row>
    <row r="36" spans="1:10" ht="16.2" customHeight="1" x14ac:dyDescent="0.25">
      <c r="A36" s="490" t="s">
        <v>1020</v>
      </c>
      <c r="B36" s="646"/>
      <c r="C36" s="649"/>
      <c r="D36" s="646"/>
      <c r="E36" s="646"/>
      <c r="F36" s="648"/>
      <c r="G36" s="455">
        <v>22.8</v>
      </c>
      <c r="H36" s="646">
        <v>966330</v>
      </c>
      <c r="I36" s="646">
        <v>22032</v>
      </c>
      <c r="J36" s="657">
        <v>22032324</v>
      </c>
    </row>
    <row r="37" spans="1:10" ht="22.2" customHeight="1" x14ac:dyDescent="0.25">
      <c r="A37" s="490" t="s">
        <v>871</v>
      </c>
      <c r="B37" s="453"/>
      <c r="C37" s="455">
        <v>1</v>
      </c>
      <c r="D37" s="453">
        <v>11440000</v>
      </c>
      <c r="E37" s="453">
        <v>11440</v>
      </c>
      <c r="F37" s="495"/>
      <c r="G37" s="453">
        <v>1</v>
      </c>
      <c r="H37" s="453">
        <v>11440000</v>
      </c>
      <c r="I37" s="453">
        <v>11440</v>
      </c>
      <c r="J37" s="656">
        <v>11440000</v>
      </c>
    </row>
    <row r="38" spans="1:10" ht="16.2" customHeight="1" x14ac:dyDescent="0.25">
      <c r="A38" s="490" t="s">
        <v>804</v>
      </c>
      <c r="B38" s="453"/>
      <c r="C38" s="453">
        <v>310</v>
      </c>
      <c r="D38" s="453">
        <v>81190</v>
      </c>
      <c r="E38" s="453">
        <v>25169</v>
      </c>
      <c r="F38" s="495"/>
      <c r="G38" s="453">
        <v>310</v>
      </c>
      <c r="H38" s="215">
        <v>81190</v>
      </c>
      <c r="I38" s="215">
        <v>25169</v>
      </c>
      <c r="J38" s="656">
        <v>25168900</v>
      </c>
    </row>
    <row r="39" spans="1:10" ht="16.2" customHeight="1" x14ac:dyDescent="0.25">
      <c r="A39" s="490" t="s">
        <v>1034</v>
      </c>
      <c r="B39" s="646"/>
      <c r="C39" s="646"/>
      <c r="D39" s="646"/>
      <c r="E39" s="646"/>
      <c r="F39" s="648"/>
      <c r="G39" s="453">
        <v>310</v>
      </c>
      <c r="H39" s="646">
        <v>6380</v>
      </c>
      <c r="I39" s="646">
        <v>1978</v>
      </c>
      <c r="J39" s="657">
        <v>1977800</v>
      </c>
    </row>
    <row r="40" spans="1:10" ht="16.2" customHeight="1" x14ac:dyDescent="0.25">
      <c r="A40" s="490" t="s">
        <v>805</v>
      </c>
      <c r="B40" s="453"/>
      <c r="C40" s="453"/>
      <c r="D40" s="453"/>
      <c r="E40" s="453"/>
      <c r="F40" s="495"/>
      <c r="G40" s="453"/>
      <c r="H40" s="215"/>
      <c r="I40" s="215"/>
      <c r="J40" s="656"/>
    </row>
    <row r="41" spans="1:10" ht="16.2" customHeight="1" x14ac:dyDescent="0.25">
      <c r="A41" s="490" t="s">
        <v>806</v>
      </c>
      <c r="B41" s="453"/>
      <c r="C41" s="453">
        <v>2</v>
      </c>
      <c r="D41" s="453">
        <v>25000</v>
      </c>
      <c r="E41" s="453">
        <v>50</v>
      </c>
      <c r="F41" s="495"/>
      <c r="G41" s="453">
        <v>2</v>
      </c>
      <c r="H41" s="215">
        <v>25000</v>
      </c>
      <c r="I41" s="215">
        <v>50</v>
      </c>
      <c r="J41" s="656">
        <v>50000</v>
      </c>
    </row>
    <row r="42" spans="1:10" ht="16.2" customHeight="1" x14ac:dyDescent="0.25">
      <c r="A42" s="490" t="s">
        <v>807</v>
      </c>
      <c r="B42" s="453"/>
      <c r="C42" s="453">
        <v>55</v>
      </c>
      <c r="D42" s="453">
        <v>602080</v>
      </c>
      <c r="E42" s="453">
        <v>33114</v>
      </c>
      <c r="F42" s="495"/>
      <c r="G42" s="453">
        <v>55</v>
      </c>
      <c r="H42" s="453">
        <v>602080</v>
      </c>
      <c r="I42" s="453">
        <v>33114</v>
      </c>
      <c r="J42" s="656">
        <v>33114400</v>
      </c>
    </row>
    <row r="43" spans="1:10" ht="16.2" customHeight="1" x14ac:dyDescent="0.25">
      <c r="A43" s="490" t="s">
        <v>1021</v>
      </c>
      <c r="B43" s="646"/>
      <c r="C43" s="646"/>
      <c r="D43" s="646"/>
      <c r="E43" s="646"/>
      <c r="F43" s="648"/>
      <c r="G43" s="453">
        <v>55</v>
      </c>
      <c r="H43" s="646">
        <v>96080</v>
      </c>
      <c r="I43" s="646">
        <v>5285</v>
      </c>
      <c r="J43" s="657">
        <v>5284400</v>
      </c>
    </row>
    <row r="44" spans="1:10" ht="16.2" customHeight="1" x14ac:dyDescent="0.25">
      <c r="A44" s="452" t="s">
        <v>808</v>
      </c>
      <c r="B44" s="453"/>
      <c r="C44" s="453">
        <v>53</v>
      </c>
      <c r="D44" s="453">
        <v>423940</v>
      </c>
      <c r="E44" s="453">
        <v>22469</v>
      </c>
      <c r="F44" s="495"/>
      <c r="G44" s="453">
        <v>53</v>
      </c>
      <c r="H44" s="215">
        <v>423940</v>
      </c>
      <c r="I44" s="215">
        <v>22469</v>
      </c>
      <c r="J44" s="658">
        <v>22468820</v>
      </c>
    </row>
    <row r="45" spans="1:10" ht="16.2" customHeight="1" x14ac:dyDescent="0.25">
      <c r="A45" s="452" t="s">
        <v>1022</v>
      </c>
      <c r="B45" s="646"/>
      <c r="C45" s="646"/>
      <c r="D45" s="646"/>
      <c r="E45" s="646"/>
      <c r="F45" s="648"/>
      <c r="G45" s="453">
        <v>53</v>
      </c>
      <c r="H45" s="646">
        <v>54000</v>
      </c>
      <c r="I45" s="646">
        <v>2862</v>
      </c>
      <c r="J45" s="659">
        <v>2862000</v>
      </c>
    </row>
    <row r="46" spans="1:10" ht="16.2" customHeight="1" x14ac:dyDescent="0.25">
      <c r="A46" s="452" t="s">
        <v>809</v>
      </c>
      <c r="B46" s="453"/>
      <c r="C46" s="453">
        <v>3</v>
      </c>
      <c r="D46" s="453">
        <v>912400</v>
      </c>
      <c r="E46" s="453">
        <v>2737</v>
      </c>
      <c r="F46" s="495"/>
      <c r="G46" s="453">
        <v>3</v>
      </c>
      <c r="H46" s="453">
        <v>912400</v>
      </c>
      <c r="I46" s="453">
        <v>2737</v>
      </c>
      <c r="J46" s="656">
        <v>2737200</v>
      </c>
    </row>
    <row r="47" spans="1:10" ht="20.25" customHeight="1" x14ac:dyDescent="0.25">
      <c r="A47" s="452" t="s">
        <v>1023</v>
      </c>
      <c r="B47" s="646"/>
      <c r="C47" s="646"/>
      <c r="D47" s="646"/>
      <c r="E47" s="646"/>
      <c r="F47" s="648"/>
      <c r="G47" s="453">
        <v>3</v>
      </c>
      <c r="H47" s="646">
        <v>83500</v>
      </c>
      <c r="I47" s="646">
        <v>251</v>
      </c>
      <c r="J47" s="657">
        <v>250500</v>
      </c>
    </row>
    <row r="48" spans="1:10" ht="16.2" customHeight="1" x14ac:dyDescent="0.25">
      <c r="A48" s="452" t="s">
        <v>810</v>
      </c>
      <c r="B48" s="453"/>
      <c r="C48" s="453">
        <v>20</v>
      </c>
      <c r="D48" s="453">
        <v>505900</v>
      </c>
      <c r="E48" s="453">
        <v>10118</v>
      </c>
      <c r="F48" s="495"/>
      <c r="G48" s="453">
        <v>20</v>
      </c>
      <c r="H48" s="215">
        <v>505900</v>
      </c>
      <c r="I48" s="215">
        <v>10118</v>
      </c>
      <c r="J48" s="656">
        <v>10118000</v>
      </c>
    </row>
    <row r="49" spans="1:10" ht="21" customHeight="1" x14ac:dyDescent="0.25">
      <c r="A49" s="452" t="s">
        <v>1024</v>
      </c>
      <c r="B49" s="646"/>
      <c r="C49" s="646"/>
      <c r="D49" s="646"/>
      <c r="E49" s="646"/>
      <c r="F49" s="648"/>
      <c r="G49" s="453">
        <v>20</v>
      </c>
      <c r="H49" s="646">
        <v>41040</v>
      </c>
      <c r="I49" s="646">
        <v>821</v>
      </c>
      <c r="J49" s="657">
        <v>820800</v>
      </c>
    </row>
    <row r="50" spans="1:10" ht="16.2" customHeight="1" x14ac:dyDescent="0.25">
      <c r="A50" s="452" t="s">
        <v>811</v>
      </c>
      <c r="B50" s="453"/>
      <c r="C50" s="453">
        <v>8</v>
      </c>
      <c r="D50" s="453">
        <v>511900</v>
      </c>
      <c r="E50" s="453">
        <v>4095</v>
      </c>
      <c r="F50" s="495"/>
      <c r="G50" s="453">
        <v>8</v>
      </c>
      <c r="H50" s="215">
        <v>511900</v>
      </c>
      <c r="I50" s="215">
        <v>4095</v>
      </c>
      <c r="J50" s="658">
        <v>4095200</v>
      </c>
    </row>
    <row r="51" spans="1:10" ht="22.5" customHeight="1" x14ac:dyDescent="0.25">
      <c r="A51" s="452" t="s">
        <v>1025</v>
      </c>
      <c r="B51" s="646"/>
      <c r="C51" s="646"/>
      <c r="D51" s="646"/>
      <c r="E51" s="646"/>
      <c r="F51" s="648"/>
      <c r="G51" s="453">
        <v>8</v>
      </c>
      <c r="H51" s="646">
        <v>28560</v>
      </c>
      <c r="I51" s="646">
        <v>228</v>
      </c>
      <c r="J51" s="659">
        <v>228480</v>
      </c>
    </row>
    <row r="52" spans="1:10" ht="16.2" customHeight="1" x14ac:dyDescent="0.25">
      <c r="A52" s="501" t="s">
        <v>943</v>
      </c>
      <c r="B52" s="453"/>
      <c r="C52" s="453"/>
      <c r="D52" s="453"/>
      <c r="E52" s="453"/>
      <c r="F52" s="495"/>
      <c r="G52" s="453"/>
      <c r="H52" s="453"/>
      <c r="I52" s="453"/>
      <c r="J52" s="656"/>
    </row>
    <row r="53" spans="1:10" ht="16.2" customHeight="1" x14ac:dyDescent="0.25">
      <c r="A53" s="490" t="s">
        <v>812</v>
      </c>
      <c r="B53" s="453"/>
      <c r="C53" s="453"/>
      <c r="D53" s="453"/>
      <c r="E53" s="453"/>
      <c r="F53" s="495"/>
      <c r="G53" s="453"/>
      <c r="H53" s="215"/>
      <c r="I53" s="215"/>
      <c r="J53" s="656"/>
    </row>
    <row r="54" spans="1:10" ht="16.2" customHeight="1" x14ac:dyDescent="0.25">
      <c r="A54" s="490" t="s">
        <v>813</v>
      </c>
      <c r="B54" s="490"/>
      <c r="C54" s="490">
        <v>24.1</v>
      </c>
      <c r="D54" s="453">
        <v>6990700</v>
      </c>
      <c r="E54" s="453">
        <v>168476</v>
      </c>
      <c r="F54" s="495"/>
      <c r="G54" s="455">
        <v>26</v>
      </c>
      <c r="H54" s="215">
        <v>6990700</v>
      </c>
      <c r="I54" s="215">
        <v>181758</v>
      </c>
      <c r="J54" s="656">
        <v>181758200</v>
      </c>
    </row>
    <row r="55" spans="1:10" ht="16.2" customHeight="1" x14ac:dyDescent="0.25">
      <c r="A55" s="490" t="s">
        <v>1026</v>
      </c>
      <c r="B55" s="646"/>
      <c r="C55" s="649"/>
      <c r="D55" s="646"/>
      <c r="E55" s="646"/>
      <c r="F55" s="648"/>
      <c r="G55" s="455">
        <v>26</v>
      </c>
      <c r="H55" s="646">
        <v>796930</v>
      </c>
      <c r="I55" s="646">
        <v>20720</v>
      </c>
      <c r="J55" s="657">
        <v>20720180</v>
      </c>
    </row>
    <row r="56" spans="1:10" ht="16.2" customHeight="1" x14ac:dyDescent="0.25">
      <c r="A56" s="452" t="s">
        <v>814</v>
      </c>
      <c r="B56" s="453"/>
      <c r="C56" s="455">
        <v>56.6</v>
      </c>
      <c r="D56" s="453">
        <v>5453000</v>
      </c>
      <c r="E56" s="453">
        <v>308640</v>
      </c>
      <c r="F56" s="495"/>
      <c r="G56" s="455">
        <v>54.5</v>
      </c>
      <c r="H56" s="215">
        <v>5453000</v>
      </c>
      <c r="I56" s="215">
        <v>297188</v>
      </c>
      <c r="J56" s="656">
        <v>297188500</v>
      </c>
    </row>
    <row r="57" spans="1:10" ht="20.25" customHeight="1" x14ac:dyDescent="0.25">
      <c r="A57" s="452" t="s">
        <v>1027</v>
      </c>
      <c r="B57" s="646"/>
      <c r="C57" s="649"/>
      <c r="D57" s="646"/>
      <c r="E57" s="646"/>
      <c r="F57" s="648"/>
      <c r="G57" s="455">
        <v>54.5</v>
      </c>
      <c r="H57" s="646">
        <v>823200</v>
      </c>
      <c r="I57" s="646">
        <v>44864</v>
      </c>
      <c r="J57" s="657">
        <v>44864400</v>
      </c>
    </row>
    <row r="58" spans="1:10" ht="16.2" customHeight="1" x14ac:dyDescent="0.25">
      <c r="A58" s="490" t="s">
        <v>815</v>
      </c>
      <c r="B58" s="453"/>
      <c r="C58" s="453"/>
      <c r="D58" s="453"/>
      <c r="E58" s="453">
        <v>73839</v>
      </c>
      <c r="F58" s="495"/>
      <c r="G58" s="453"/>
      <c r="H58" s="453"/>
      <c r="I58" s="453">
        <v>76700</v>
      </c>
      <c r="J58" s="656">
        <v>76700000</v>
      </c>
    </row>
    <row r="59" spans="1:10" ht="22.5" customHeight="1" x14ac:dyDescent="0.25">
      <c r="A59" s="501" t="s">
        <v>944</v>
      </c>
      <c r="B59" s="453"/>
      <c r="C59" s="453"/>
      <c r="D59" s="453"/>
      <c r="E59" s="453"/>
      <c r="F59" s="495"/>
      <c r="G59" s="453"/>
      <c r="H59" s="215"/>
      <c r="I59" s="215"/>
      <c r="J59" s="656"/>
    </row>
    <row r="60" spans="1:10" ht="16.2" customHeight="1" x14ac:dyDescent="0.25">
      <c r="A60" s="452" t="s">
        <v>945</v>
      </c>
      <c r="B60" s="453"/>
      <c r="C60" s="455">
        <v>34.200000000000003</v>
      </c>
      <c r="D60" s="453">
        <v>5439900</v>
      </c>
      <c r="E60" s="453">
        <v>186044</v>
      </c>
      <c r="F60" s="495"/>
      <c r="G60" s="455">
        <v>34.200000000000003</v>
      </c>
      <c r="H60" s="453">
        <v>5439900</v>
      </c>
      <c r="I60" s="453">
        <v>186044</v>
      </c>
      <c r="J60" s="656">
        <v>186044580</v>
      </c>
    </row>
    <row r="61" spans="1:10" ht="16.2" customHeight="1" x14ac:dyDescent="0.25">
      <c r="A61" s="452" t="s">
        <v>1028</v>
      </c>
      <c r="B61" s="646"/>
      <c r="C61" s="649"/>
      <c r="D61" s="646"/>
      <c r="E61" s="646"/>
      <c r="F61" s="648"/>
      <c r="G61" s="455">
        <v>34.200000000000003</v>
      </c>
      <c r="H61" s="646">
        <v>960000</v>
      </c>
      <c r="I61" s="646">
        <v>32832</v>
      </c>
      <c r="J61" s="657">
        <v>32832000</v>
      </c>
    </row>
    <row r="62" spans="1:10" ht="16.2" customHeight="1" x14ac:dyDescent="0.25">
      <c r="A62" s="490" t="s">
        <v>816</v>
      </c>
      <c r="B62" s="453"/>
      <c r="C62" s="453"/>
      <c r="D62" s="453"/>
      <c r="E62" s="453">
        <v>33570</v>
      </c>
      <c r="F62" s="495"/>
      <c r="G62" s="453"/>
      <c r="H62" s="215"/>
      <c r="I62" s="215">
        <v>32890</v>
      </c>
      <c r="J62" s="656">
        <v>32889634</v>
      </c>
    </row>
    <row r="63" spans="1:10" ht="19.95" customHeight="1" x14ac:dyDescent="0.25">
      <c r="A63" s="503" t="s">
        <v>817</v>
      </c>
      <c r="B63" s="453"/>
      <c r="C63" s="453"/>
      <c r="D63" s="453"/>
      <c r="E63" s="453"/>
      <c r="F63" s="495"/>
      <c r="G63" s="453"/>
      <c r="H63" s="453"/>
      <c r="I63" s="453"/>
      <c r="J63" s="656"/>
    </row>
    <row r="64" spans="1:10" ht="16.2" customHeight="1" x14ac:dyDescent="0.25">
      <c r="A64" s="490" t="s">
        <v>818</v>
      </c>
      <c r="B64" s="453"/>
      <c r="C64" s="457">
        <v>105.13</v>
      </c>
      <c r="D64" s="453">
        <v>2700300</v>
      </c>
      <c r="E64" s="453">
        <v>283882</v>
      </c>
      <c r="F64" s="495"/>
      <c r="G64" s="457">
        <v>96.14</v>
      </c>
      <c r="H64" s="215">
        <v>2700300</v>
      </c>
      <c r="I64" s="215">
        <v>259607</v>
      </c>
      <c r="J64" s="656">
        <v>259606842</v>
      </c>
    </row>
    <row r="65" spans="1:10" ht="16.2" customHeight="1" x14ac:dyDescent="0.25">
      <c r="A65" s="490" t="s">
        <v>1029</v>
      </c>
      <c r="B65" s="646"/>
      <c r="C65" s="647"/>
      <c r="D65" s="646"/>
      <c r="E65" s="646"/>
      <c r="F65" s="648"/>
      <c r="G65" s="457">
        <v>96.14</v>
      </c>
      <c r="H65" s="646">
        <v>260700</v>
      </c>
      <c r="I65" s="646">
        <v>25064</v>
      </c>
      <c r="J65" s="646">
        <v>25063698</v>
      </c>
    </row>
    <row r="66" spans="1:10" ht="22.2" customHeight="1" x14ac:dyDescent="0.25">
      <c r="A66" s="490" t="s">
        <v>819</v>
      </c>
      <c r="B66" s="453"/>
      <c r="C66" s="453"/>
      <c r="D66" s="453"/>
      <c r="E66" s="453">
        <v>466704</v>
      </c>
      <c r="F66" s="495"/>
      <c r="G66" s="453"/>
      <c r="H66" s="453"/>
      <c r="I66" s="453">
        <v>448919</v>
      </c>
      <c r="J66" s="656">
        <v>448919523</v>
      </c>
    </row>
    <row r="67" spans="1:10" ht="16.2" customHeight="1" x14ac:dyDescent="0.25">
      <c r="A67" s="490" t="s">
        <v>820</v>
      </c>
      <c r="B67" s="453"/>
      <c r="C67" s="453">
        <v>1182</v>
      </c>
      <c r="D67" s="453">
        <v>285</v>
      </c>
      <c r="E67" s="453">
        <v>337</v>
      </c>
      <c r="F67" s="499"/>
      <c r="G67" s="453">
        <v>757</v>
      </c>
      <c r="H67" s="215">
        <v>285</v>
      </c>
      <c r="I67" s="215">
        <v>216</v>
      </c>
      <c r="J67" s="656">
        <v>215745</v>
      </c>
    </row>
    <row r="68" spans="1:10" ht="24" customHeight="1" x14ac:dyDescent="0.25">
      <c r="A68" s="451" t="s">
        <v>821</v>
      </c>
      <c r="B68" s="453"/>
      <c r="C68" s="453"/>
      <c r="D68" s="453"/>
      <c r="E68" s="453"/>
      <c r="F68" s="499"/>
      <c r="G68" s="453"/>
      <c r="H68" s="453"/>
      <c r="I68" s="453"/>
      <c r="J68" s="656"/>
    </row>
    <row r="69" spans="1:10" ht="16.2" customHeight="1" x14ac:dyDescent="0.25">
      <c r="A69" s="452" t="s">
        <v>822</v>
      </c>
      <c r="B69" s="453">
        <v>55384</v>
      </c>
      <c r="C69" s="453"/>
      <c r="D69" s="453">
        <v>964</v>
      </c>
      <c r="E69" s="453">
        <v>53390</v>
      </c>
      <c r="F69" s="495">
        <v>55384</v>
      </c>
      <c r="G69" s="453"/>
      <c r="H69" s="215">
        <v>964</v>
      </c>
      <c r="I69" s="215">
        <v>53390</v>
      </c>
      <c r="J69" s="656">
        <v>53390176</v>
      </c>
    </row>
    <row r="70" spans="1:10" ht="16.2" customHeight="1" x14ac:dyDescent="0.25">
      <c r="A70" s="452" t="s">
        <v>823</v>
      </c>
      <c r="B70" s="502"/>
      <c r="C70" s="453"/>
      <c r="D70" s="453"/>
      <c r="E70" s="453">
        <v>175869</v>
      </c>
      <c r="F70" s="495"/>
      <c r="G70" s="453"/>
      <c r="H70" s="215"/>
      <c r="I70" s="215">
        <v>175869</v>
      </c>
      <c r="J70" s="656">
        <v>175868460</v>
      </c>
    </row>
    <row r="71" spans="1:10" ht="16.2" customHeight="1" x14ac:dyDescent="0.25">
      <c r="A71" s="504" t="s">
        <v>824</v>
      </c>
      <c r="B71" s="496"/>
      <c r="C71" s="453"/>
      <c r="D71" s="453"/>
      <c r="E71" s="453"/>
      <c r="F71" s="495"/>
      <c r="G71" s="453"/>
      <c r="H71" s="215"/>
      <c r="I71" s="215"/>
      <c r="J71" s="656"/>
    </row>
    <row r="72" spans="1:10" ht="16.2" customHeight="1" x14ac:dyDescent="0.25">
      <c r="A72" s="650" t="s">
        <v>1032</v>
      </c>
      <c r="B72" s="655"/>
      <c r="C72" s="646"/>
      <c r="D72" s="646"/>
      <c r="E72" s="646"/>
      <c r="F72" s="648"/>
      <c r="G72" s="646"/>
      <c r="H72" s="646"/>
      <c r="I72" s="646">
        <v>186322</v>
      </c>
      <c r="J72" s="657">
        <v>186321619</v>
      </c>
    </row>
    <row r="73" spans="1:10" ht="16.2" customHeight="1" x14ac:dyDescent="0.25">
      <c r="A73" s="452" t="s">
        <v>825</v>
      </c>
      <c r="B73" s="502"/>
      <c r="C73" s="453"/>
      <c r="D73" s="453"/>
      <c r="E73" s="453">
        <v>54059</v>
      </c>
      <c r="F73" s="495"/>
      <c r="G73" s="453"/>
      <c r="H73" s="453"/>
      <c r="I73" s="453">
        <v>54059</v>
      </c>
      <c r="J73" s="656">
        <v>54058736</v>
      </c>
    </row>
    <row r="74" spans="1:10" ht="16.2" customHeight="1" x14ac:dyDescent="0.25">
      <c r="A74" s="452" t="s">
        <v>1030</v>
      </c>
      <c r="B74" s="652"/>
      <c r="C74" s="646"/>
      <c r="D74" s="646"/>
      <c r="E74" s="646"/>
      <c r="F74" s="648"/>
      <c r="G74" s="646"/>
      <c r="H74" s="646"/>
      <c r="I74" s="646">
        <v>6781</v>
      </c>
      <c r="J74" s="657">
        <v>6781000</v>
      </c>
    </row>
    <row r="75" spans="1:10" ht="16.2" customHeight="1" x14ac:dyDescent="0.25">
      <c r="A75" s="452" t="s">
        <v>909</v>
      </c>
      <c r="B75" s="502"/>
      <c r="C75" s="453"/>
      <c r="D75" s="453"/>
      <c r="E75" s="493">
        <v>110200</v>
      </c>
      <c r="F75" s="494"/>
      <c r="G75" s="493"/>
      <c r="H75" s="215"/>
      <c r="I75" s="215">
        <v>110200</v>
      </c>
      <c r="J75" s="656">
        <v>110200000</v>
      </c>
    </row>
    <row r="76" spans="1:10" ht="24" customHeight="1" x14ac:dyDescent="0.25">
      <c r="A76" s="452" t="s">
        <v>908</v>
      </c>
      <c r="B76" s="502"/>
      <c r="C76" s="453"/>
      <c r="D76" s="453"/>
      <c r="E76" s="493">
        <v>135000</v>
      </c>
      <c r="F76" s="494"/>
      <c r="G76" s="493"/>
      <c r="H76" s="453"/>
      <c r="I76" s="453">
        <v>135000</v>
      </c>
      <c r="J76" s="656">
        <v>135000000</v>
      </c>
    </row>
    <row r="77" spans="1:10" ht="15.6" customHeight="1" x14ac:dyDescent="0.25">
      <c r="A77" s="747" t="s">
        <v>1132</v>
      </c>
      <c r="B77" s="760"/>
      <c r="C77" s="748"/>
      <c r="D77" s="748"/>
      <c r="E77" s="761"/>
      <c r="F77" s="762"/>
      <c r="G77" s="761"/>
      <c r="H77" s="748"/>
      <c r="I77" s="748">
        <v>636</v>
      </c>
      <c r="J77" s="763">
        <v>636000</v>
      </c>
    </row>
    <row r="78" spans="1:10" ht="16.2" customHeight="1" x14ac:dyDescent="0.25">
      <c r="A78" s="452" t="s">
        <v>946</v>
      </c>
      <c r="B78" s="502"/>
      <c r="C78" s="453"/>
      <c r="D78" s="453"/>
      <c r="E78" s="493">
        <v>224943</v>
      </c>
      <c r="F78" s="494"/>
      <c r="G78" s="493"/>
      <c r="H78" s="215"/>
      <c r="I78" s="215">
        <v>224943</v>
      </c>
      <c r="J78" s="656">
        <v>224943217</v>
      </c>
    </row>
    <row r="79" spans="1:10" ht="16.2" customHeight="1" x14ac:dyDescent="0.25">
      <c r="A79" s="650" t="s">
        <v>1031</v>
      </c>
      <c r="B79" s="652"/>
      <c r="C79" s="646"/>
      <c r="D79" s="646"/>
      <c r="E79" s="653"/>
      <c r="F79" s="654"/>
      <c r="G79" s="653"/>
      <c r="H79" s="646"/>
      <c r="I79" s="646">
        <v>39117</v>
      </c>
      <c r="J79" s="657">
        <v>39117000</v>
      </c>
    </row>
    <row r="80" spans="1:10" ht="26.4" customHeight="1" x14ac:dyDescent="0.25">
      <c r="A80" s="452" t="s">
        <v>947</v>
      </c>
      <c r="B80" s="502"/>
      <c r="C80" s="453"/>
      <c r="D80" s="453"/>
      <c r="E80" s="493">
        <v>366529</v>
      </c>
      <c r="F80" s="494"/>
      <c r="G80" s="493"/>
      <c r="H80" s="215"/>
      <c r="I80" s="215">
        <v>366529</v>
      </c>
      <c r="J80" s="656">
        <v>366528881</v>
      </c>
    </row>
    <row r="81" spans="1:10" ht="16.2" customHeight="1" x14ac:dyDescent="0.25">
      <c r="A81" s="340"/>
      <c r="B81" s="216"/>
      <c r="C81" s="216"/>
      <c r="D81" s="216"/>
      <c r="E81" s="216">
        <f>SUM(E5:E80)</f>
        <v>5370126</v>
      </c>
      <c r="F81" s="216"/>
      <c r="G81" s="216"/>
      <c r="H81" s="216"/>
      <c r="I81" s="216">
        <f>SUM(I5:I80)</f>
        <v>5938787</v>
      </c>
      <c r="J81" s="459">
        <f>SUM(J5:J80)</f>
        <v>5938787435</v>
      </c>
    </row>
    <row r="82" spans="1:10" ht="12.75" customHeight="1" x14ac:dyDescent="0.25">
      <c r="A82" s="369"/>
      <c r="B82" s="369"/>
      <c r="C82" s="369"/>
      <c r="D82" s="369"/>
      <c r="E82" s="369"/>
      <c r="F82" s="370"/>
      <c r="G82" s="370"/>
      <c r="H82" s="371"/>
      <c r="I82" s="371"/>
      <c r="J82" s="458"/>
    </row>
    <row r="83" spans="1:10" ht="12.75" customHeight="1" x14ac:dyDescent="0.25">
      <c r="I83" s="341"/>
      <c r="J83" s="341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2023.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E15" sqref="E15"/>
    </sheetView>
  </sheetViews>
  <sheetFormatPr defaultColWidth="9.33203125" defaultRowHeight="11.4" x14ac:dyDescent="0.2"/>
  <cols>
    <col min="1" max="1" width="9.33203125" style="11"/>
    <col min="2" max="2" width="50.44140625" style="11" customWidth="1"/>
    <col min="3" max="3" width="16.44140625" style="11" customWidth="1"/>
    <col min="4" max="4" width="16.6640625" style="11" customWidth="1"/>
    <col min="5" max="5" width="16.33203125" style="11" customWidth="1"/>
    <col min="6" max="16384" width="9.33203125" style="11"/>
  </cols>
  <sheetData>
    <row r="1" spans="1:5" s="19" customFormat="1" ht="50.1" customHeight="1" thickBot="1" x14ac:dyDescent="0.3">
      <c r="A1" s="42" t="s">
        <v>137</v>
      </c>
      <c r="B1" s="42" t="s">
        <v>124</v>
      </c>
      <c r="C1" s="42" t="s">
        <v>938</v>
      </c>
      <c r="D1" s="42" t="s">
        <v>928</v>
      </c>
      <c r="E1" s="42" t="s">
        <v>939</v>
      </c>
    </row>
    <row r="2" spans="1:5" s="19" customFormat="1" ht="19.5" customHeight="1" x14ac:dyDescent="0.25">
      <c r="A2" s="68"/>
      <c r="B2" s="69" t="s">
        <v>130</v>
      </c>
      <c r="C2" s="69"/>
      <c r="D2" s="69"/>
      <c r="E2" s="68"/>
    </row>
    <row r="3" spans="1:5" s="20" customFormat="1" ht="13.2" x14ac:dyDescent="0.25">
      <c r="A3" s="44" t="s">
        <v>138</v>
      </c>
      <c r="B3" s="45" t="s">
        <v>111</v>
      </c>
      <c r="C3" s="445">
        <v>5998210</v>
      </c>
      <c r="D3" s="445">
        <f>221696+táj2!G619</f>
        <v>308344</v>
      </c>
      <c r="E3" s="55">
        <f>SUM(C3:D3)</f>
        <v>6306554</v>
      </c>
    </row>
    <row r="4" spans="1:5" s="20" customFormat="1" ht="13.2" x14ac:dyDescent="0.25">
      <c r="A4" s="44" t="s">
        <v>139</v>
      </c>
      <c r="B4" s="45" t="s">
        <v>180</v>
      </c>
      <c r="C4" s="445">
        <v>887697</v>
      </c>
      <c r="D4" s="445">
        <f>29759+táj2!H619</f>
        <v>26123</v>
      </c>
      <c r="E4" s="55">
        <f t="shared" ref="E4:E7" si="0">SUM(C4:D4)</f>
        <v>913820</v>
      </c>
    </row>
    <row r="5" spans="1:5" s="20" customFormat="1" ht="13.2" x14ac:dyDescent="0.25">
      <c r="A5" s="44" t="s">
        <v>140</v>
      </c>
      <c r="B5" s="48" t="s">
        <v>181</v>
      </c>
      <c r="C5" s="446">
        <v>11431545</v>
      </c>
      <c r="D5" s="445">
        <f>122588+táj2!I619</f>
        <v>303661</v>
      </c>
      <c r="E5" s="55">
        <f t="shared" si="0"/>
        <v>11735206</v>
      </c>
    </row>
    <row r="6" spans="1:5" s="20" customFormat="1" ht="13.2" x14ac:dyDescent="0.25">
      <c r="A6" s="44" t="s">
        <v>141</v>
      </c>
      <c r="B6" s="48" t="s">
        <v>15</v>
      </c>
      <c r="C6" s="446">
        <v>113070</v>
      </c>
      <c r="D6" s="445">
        <f>2409+táj2!J619</f>
        <v>-7342</v>
      </c>
      <c r="E6" s="55">
        <f t="shared" si="0"/>
        <v>105728</v>
      </c>
    </row>
    <row r="7" spans="1:5" s="20" customFormat="1" ht="13.2" x14ac:dyDescent="0.25">
      <c r="A7" s="44" t="s">
        <v>142</v>
      </c>
      <c r="B7" s="48" t="s">
        <v>22</v>
      </c>
      <c r="C7" s="446">
        <v>5595231</v>
      </c>
      <c r="D7" s="445">
        <f>203403+táj2!K619</f>
        <v>346122</v>
      </c>
      <c r="E7" s="55">
        <f t="shared" si="0"/>
        <v>5941353</v>
      </c>
    </row>
    <row r="8" spans="1:5" s="20" customFormat="1" ht="13.8" x14ac:dyDescent="0.25">
      <c r="A8" s="44"/>
      <c r="B8" s="43" t="s">
        <v>191</v>
      </c>
      <c r="C8" s="447">
        <v>24025753</v>
      </c>
      <c r="D8" s="449">
        <f>SUM(D3:D7)</f>
        <v>976908</v>
      </c>
      <c r="E8" s="56">
        <f>SUM(E3:E7)</f>
        <v>25002661</v>
      </c>
    </row>
    <row r="9" spans="1:5" s="20" customFormat="1" ht="13.2" x14ac:dyDescent="0.25">
      <c r="A9" s="46" t="s">
        <v>143</v>
      </c>
      <c r="B9" s="47" t="s">
        <v>20</v>
      </c>
      <c r="C9" s="446">
        <v>19666785</v>
      </c>
      <c r="D9" s="446">
        <f>-1394108+táj2!L619</f>
        <v>-1404379</v>
      </c>
      <c r="E9" s="47">
        <f>SUM(C9:D9)</f>
        <v>18262406</v>
      </c>
    </row>
    <row r="10" spans="1:5" s="20" customFormat="1" ht="13.2" x14ac:dyDescent="0.25">
      <c r="A10" s="46" t="s">
        <v>144</v>
      </c>
      <c r="B10" s="47" t="s">
        <v>19</v>
      </c>
      <c r="C10" s="446">
        <v>5888452</v>
      </c>
      <c r="D10" s="446">
        <f>391026+táj2!M619</f>
        <v>742966</v>
      </c>
      <c r="E10" s="47">
        <f t="shared" ref="E10:E11" si="1">SUM(C10:D10)</f>
        <v>6631418</v>
      </c>
    </row>
    <row r="11" spans="1:5" s="20" customFormat="1" ht="13.2" x14ac:dyDescent="0.25">
      <c r="A11" s="46" t="s">
        <v>145</v>
      </c>
      <c r="B11" s="47" t="s">
        <v>75</v>
      </c>
      <c r="C11" s="446">
        <v>686530</v>
      </c>
      <c r="D11" s="446">
        <f>2023637+táj2!N619</f>
        <v>2467665</v>
      </c>
      <c r="E11" s="47">
        <f t="shared" si="1"/>
        <v>3154195</v>
      </c>
    </row>
    <row r="12" spans="1:5" s="20" customFormat="1" ht="13.8" x14ac:dyDescent="0.25">
      <c r="A12" s="46"/>
      <c r="B12" s="43" t="s">
        <v>192</v>
      </c>
      <c r="C12" s="447">
        <v>26241767</v>
      </c>
      <c r="D12" s="449">
        <f>SUM(D9:D11)</f>
        <v>1806252</v>
      </c>
      <c r="E12" s="56">
        <f>SUM(E9:E11)</f>
        <v>28048019</v>
      </c>
    </row>
    <row r="13" spans="1:5" s="20" customFormat="1" ht="18" customHeight="1" x14ac:dyDescent="0.25">
      <c r="A13" s="46" t="s">
        <v>76</v>
      </c>
      <c r="B13" s="43" t="s">
        <v>77</v>
      </c>
      <c r="C13" s="447">
        <v>50267520</v>
      </c>
      <c r="D13" s="449">
        <f>SUM(D8+D12)</f>
        <v>2783160</v>
      </c>
      <c r="E13" s="56">
        <f>SUM(E8+E12)</f>
        <v>53050680</v>
      </c>
    </row>
    <row r="14" spans="1:5" s="20" customFormat="1" ht="16.5" customHeight="1" x14ac:dyDescent="0.25">
      <c r="A14" s="46" t="s">
        <v>78</v>
      </c>
      <c r="B14" s="43" t="s">
        <v>129</v>
      </c>
      <c r="C14" s="447">
        <v>7303554</v>
      </c>
      <c r="D14" s="447">
        <f>205000+táj2!O619+táj2!P619</f>
        <v>205000</v>
      </c>
      <c r="E14" s="56">
        <f>SUM(C14:D14)</f>
        <v>7508554</v>
      </c>
    </row>
    <row r="15" spans="1:5" s="20" customFormat="1" ht="18.75" customHeight="1" x14ac:dyDescent="0.25">
      <c r="A15" s="49"/>
      <c r="B15" s="50" t="s">
        <v>117</v>
      </c>
      <c r="C15" s="448">
        <v>57571074</v>
      </c>
      <c r="D15" s="51">
        <f>SUM(D13:D14)</f>
        <v>2988160</v>
      </c>
      <c r="E15" s="51">
        <f>SUM(E13:E14)</f>
        <v>60559234</v>
      </c>
    </row>
    <row r="16" spans="1:5" s="1" customFormat="1" ht="13.2" x14ac:dyDescent="0.25">
      <c r="A16" s="52"/>
      <c r="B16" s="52"/>
      <c r="C16" s="52"/>
      <c r="D16" s="52"/>
      <c r="E16" s="52"/>
    </row>
    <row r="17" spans="1:5" s="1" customFormat="1" ht="13.2" x14ac:dyDescent="0.25">
      <c r="A17" s="52"/>
      <c r="B17" s="52"/>
      <c r="C17" s="52"/>
      <c r="D17" s="52"/>
      <c r="E17" s="52"/>
    </row>
    <row r="18" spans="1:5" s="1" customFormat="1" ht="13.2" x14ac:dyDescent="0.25">
      <c r="A18" s="52"/>
      <c r="B18" s="52"/>
      <c r="C18" s="52"/>
      <c r="D18" s="52"/>
      <c r="E18" s="52"/>
    </row>
    <row r="19" spans="1:5" s="1" customFormat="1" ht="13.2" x14ac:dyDescent="0.25">
      <c r="A19" s="52"/>
      <c r="B19" s="52"/>
      <c r="C19" s="52"/>
      <c r="D19" s="52"/>
      <c r="E19" s="52"/>
    </row>
    <row r="20" spans="1:5" s="1" customFormat="1" ht="13.2" x14ac:dyDescent="0.25">
      <c r="A20" s="52"/>
      <c r="B20" s="52"/>
      <c r="C20" s="52"/>
      <c r="D20" s="52"/>
      <c r="E20" s="52"/>
    </row>
    <row r="21" spans="1:5" s="1" customFormat="1" ht="13.2" x14ac:dyDescent="0.25">
      <c r="A21" s="52"/>
      <c r="B21" s="52"/>
      <c r="C21" s="52"/>
      <c r="D21" s="52"/>
      <c r="E21" s="52"/>
    </row>
    <row r="22" spans="1:5" s="1" customFormat="1" ht="13.2" x14ac:dyDescent="0.25">
      <c r="A22" s="52"/>
      <c r="B22" s="52"/>
      <c r="C22" s="52"/>
      <c r="D22" s="52"/>
      <c r="E22" s="52"/>
    </row>
    <row r="23" spans="1:5" s="1" customFormat="1" ht="13.2" x14ac:dyDescent="0.25">
      <c r="A23" s="52"/>
      <c r="B23" s="52"/>
      <c r="C23" s="52"/>
      <c r="D23" s="52"/>
      <c r="E23" s="52"/>
    </row>
    <row r="24" spans="1:5" s="1" customFormat="1" ht="13.2" x14ac:dyDescent="0.25">
      <c r="A24" s="52"/>
      <c r="B24" s="52"/>
      <c r="C24" s="52"/>
      <c r="D24" s="52"/>
      <c r="E24" s="52"/>
    </row>
    <row r="25" spans="1:5" s="1" customFormat="1" ht="13.2" x14ac:dyDescent="0.25">
      <c r="A25" s="52"/>
      <c r="B25" s="52"/>
      <c r="C25" s="52"/>
      <c r="D25" s="52"/>
      <c r="E25" s="52"/>
    </row>
    <row r="26" spans="1:5" s="1" customFormat="1" ht="13.2" x14ac:dyDescent="0.25">
      <c r="A26" s="53"/>
      <c r="B26" s="52"/>
      <c r="C26" s="52"/>
      <c r="D26" s="52"/>
      <c r="E26" s="52"/>
    </row>
    <row r="27" spans="1:5" ht="13.2" x14ac:dyDescent="0.25">
      <c r="A27" s="53"/>
      <c r="B27" s="53"/>
      <c r="C27" s="53"/>
      <c r="D27" s="53"/>
      <c r="E27" s="53"/>
    </row>
    <row r="28" spans="1:5" ht="13.2" x14ac:dyDescent="0.25">
      <c r="A28" s="53"/>
      <c r="B28" s="53"/>
      <c r="C28" s="53"/>
      <c r="D28" s="53"/>
      <c r="E28" s="53"/>
    </row>
    <row r="29" spans="1:5" ht="13.2" x14ac:dyDescent="0.25">
      <c r="A29" s="53"/>
      <c r="B29" s="53"/>
      <c r="C29" s="53"/>
      <c r="D29" s="53"/>
      <c r="E29" s="53"/>
    </row>
    <row r="30" spans="1:5" ht="13.2" x14ac:dyDescent="0.25">
      <c r="A30" s="53"/>
      <c r="B30" s="53"/>
      <c r="C30" s="53"/>
      <c r="D30" s="53"/>
      <c r="E30" s="53"/>
    </row>
    <row r="31" spans="1:5" ht="13.2" x14ac:dyDescent="0.25">
      <c r="A31" s="53"/>
      <c r="B31" s="53"/>
      <c r="C31" s="53"/>
      <c r="D31" s="53"/>
      <c r="E31" s="53"/>
    </row>
    <row r="32" spans="1:5" ht="13.2" x14ac:dyDescent="0.25">
      <c r="B32" s="53"/>
      <c r="C32" s="53"/>
      <c r="D32" s="53"/>
      <c r="E32" s="53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2023.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A30" sqref="A30"/>
      <selection pane="bottomLeft" activeCell="F28" sqref="F28"/>
    </sheetView>
  </sheetViews>
  <sheetFormatPr defaultColWidth="9.33203125" defaultRowHeight="12.6" x14ac:dyDescent="0.25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77734375" style="15" customWidth="1"/>
    <col min="7" max="7" width="10.33203125" style="15" customWidth="1"/>
    <col min="8" max="8" width="12" style="15" customWidth="1"/>
    <col min="9" max="9" width="13.44140625" style="15" customWidth="1"/>
    <col min="10" max="10" width="14.77734375" style="15" customWidth="1"/>
    <col min="11" max="11" width="12.44140625" style="15" customWidth="1"/>
    <col min="12" max="12" width="14.77734375" style="15" customWidth="1"/>
    <col min="13" max="13" width="13.6640625" style="15" customWidth="1"/>
    <col min="14" max="14" width="12.109375" style="15" customWidth="1"/>
    <col min="15" max="16384" width="9.33203125" style="15"/>
  </cols>
  <sheetData>
    <row r="1" spans="1:14" x14ac:dyDescent="0.25">
      <c r="A1" s="835" t="s">
        <v>87</v>
      </c>
      <c r="B1" s="835" t="s">
        <v>88</v>
      </c>
      <c r="C1" s="836" t="s">
        <v>124</v>
      </c>
      <c r="D1" s="833" t="s">
        <v>131</v>
      </c>
      <c r="E1" s="833"/>
      <c r="F1" s="833"/>
      <c r="G1" s="833"/>
      <c r="H1" s="833"/>
      <c r="I1" s="833"/>
      <c r="J1" s="833"/>
      <c r="K1" s="833" t="s">
        <v>188</v>
      </c>
      <c r="L1" s="833"/>
      <c r="M1" s="834"/>
      <c r="N1" s="831" t="s">
        <v>125</v>
      </c>
    </row>
    <row r="2" spans="1:14" s="16" customFormat="1" ht="54.9" customHeight="1" thickBot="1" x14ac:dyDescent="0.3">
      <c r="A2" s="835"/>
      <c r="B2" s="835"/>
      <c r="C2" s="836"/>
      <c r="D2" s="67" t="s">
        <v>12</v>
      </c>
      <c r="E2" s="67" t="s">
        <v>13</v>
      </c>
      <c r="F2" s="66" t="s">
        <v>14</v>
      </c>
      <c r="G2" s="64" t="s">
        <v>184</v>
      </c>
      <c r="H2" s="66" t="s">
        <v>185</v>
      </c>
      <c r="I2" s="66" t="s">
        <v>186</v>
      </c>
      <c r="J2" s="66" t="s">
        <v>187</v>
      </c>
      <c r="K2" s="66" t="s">
        <v>132</v>
      </c>
      <c r="L2" s="66" t="s">
        <v>133</v>
      </c>
      <c r="M2" s="72" t="s">
        <v>135</v>
      </c>
      <c r="N2" s="832"/>
    </row>
    <row r="3" spans="1:14" ht="17.100000000000001" customHeight="1" x14ac:dyDescent="0.25">
      <c r="A3" s="33">
        <v>1</v>
      </c>
      <c r="B3" s="33"/>
      <c r="C3" s="33" t="s">
        <v>173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73"/>
    </row>
    <row r="4" spans="1:14" ht="24.9" customHeight="1" x14ac:dyDescent="0.25">
      <c r="A4" s="34"/>
      <c r="B4" s="34">
        <v>12</v>
      </c>
      <c r="C4" s="71" t="s">
        <v>99</v>
      </c>
      <c r="D4" s="35">
        <f>'6'!E8</f>
        <v>0</v>
      </c>
      <c r="E4" s="35">
        <f>'6'!F8</f>
        <v>0</v>
      </c>
      <c r="F4" s="35">
        <f>'6'!G8</f>
        <v>0</v>
      </c>
      <c r="G4" s="35">
        <f>'6'!H8</f>
        <v>22760</v>
      </c>
      <c r="H4" s="35">
        <f>'6'!I8</f>
        <v>0</v>
      </c>
      <c r="I4" s="35">
        <f>'6'!J8</f>
        <v>0</v>
      </c>
      <c r="J4" s="35">
        <f>'6'!K8</f>
        <v>0</v>
      </c>
      <c r="K4" s="35">
        <f>'6'!L8</f>
        <v>0</v>
      </c>
      <c r="L4" s="35">
        <f>'6'!M8</f>
        <v>0</v>
      </c>
      <c r="M4" s="35">
        <f>'6'!N8</f>
        <v>0</v>
      </c>
      <c r="N4" s="35">
        <f>SUM(D4:M4)</f>
        <v>22760</v>
      </c>
    </row>
    <row r="5" spans="1:14" ht="17.100000000000001" customHeight="1" x14ac:dyDescent="0.25">
      <c r="A5" s="34"/>
      <c r="B5" s="34">
        <v>13</v>
      </c>
      <c r="C5" s="33" t="s">
        <v>100</v>
      </c>
      <c r="D5" s="35">
        <f>'6'!E30</f>
        <v>519812</v>
      </c>
      <c r="E5" s="35">
        <f>'6'!F30</f>
        <v>0</v>
      </c>
      <c r="F5" s="35">
        <f>'6'!G30</f>
        <v>0</v>
      </c>
      <c r="G5" s="35">
        <f>'6'!H30</f>
        <v>8066</v>
      </c>
      <c r="H5" s="35">
        <f>'6'!I30</f>
        <v>0</v>
      </c>
      <c r="I5" s="35">
        <f>'6'!J30</f>
        <v>27151</v>
      </c>
      <c r="J5" s="35">
        <f>'6'!K30</f>
        <v>720</v>
      </c>
      <c r="K5" s="35">
        <f>'6'!L30</f>
        <v>0</v>
      </c>
      <c r="L5" s="35">
        <f>'6'!M30</f>
        <v>0</v>
      </c>
      <c r="M5" s="35">
        <f>'6'!N30</f>
        <v>0</v>
      </c>
      <c r="N5" s="35">
        <f t="shared" ref="N5:N15" si="0">SUM(D5:M5)</f>
        <v>555749</v>
      </c>
    </row>
    <row r="6" spans="1:14" ht="17.100000000000001" customHeight="1" x14ac:dyDescent="0.25">
      <c r="A6" s="57"/>
      <c r="B6" s="57">
        <v>14</v>
      </c>
      <c r="C6" s="10" t="s">
        <v>175</v>
      </c>
      <c r="D6" s="35">
        <f>'6'!E35</f>
        <v>0</v>
      </c>
      <c r="E6" s="35">
        <f>'6'!F35</f>
        <v>0</v>
      </c>
      <c r="F6" s="35">
        <f>'6'!G35</f>
        <v>0</v>
      </c>
      <c r="G6" s="35">
        <f>'6'!H35</f>
        <v>5272</v>
      </c>
      <c r="H6" s="35">
        <f>'6'!I35</f>
        <v>0</v>
      </c>
      <c r="I6" s="35">
        <f>'6'!J35</f>
        <v>0</v>
      </c>
      <c r="J6" s="35">
        <f>'6'!K35</f>
        <v>0</v>
      </c>
      <c r="K6" s="35">
        <f>'6'!L35</f>
        <v>0</v>
      </c>
      <c r="L6" s="35">
        <f>'6'!M35</f>
        <v>6151</v>
      </c>
      <c r="M6" s="35">
        <f>'6'!N35</f>
        <v>0</v>
      </c>
      <c r="N6" s="35">
        <f t="shared" si="0"/>
        <v>11423</v>
      </c>
    </row>
    <row r="7" spans="1:14" ht="17.100000000000001" customHeight="1" x14ac:dyDescent="0.25">
      <c r="A7" s="34"/>
      <c r="B7" s="34">
        <v>15</v>
      </c>
      <c r="C7" s="33" t="s">
        <v>169</v>
      </c>
      <c r="D7" s="35">
        <f>'6'!E58</f>
        <v>0</v>
      </c>
      <c r="E7" s="35">
        <f>'6'!F58</f>
        <v>0</v>
      </c>
      <c r="F7" s="35">
        <f>'6'!G58</f>
        <v>0</v>
      </c>
      <c r="G7" s="35">
        <f>'6'!H58</f>
        <v>707084</v>
      </c>
      <c r="H7" s="35">
        <f>'6'!I58</f>
        <v>0</v>
      </c>
      <c r="I7" s="35">
        <f>'6'!J58</f>
        <v>0</v>
      </c>
      <c r="J7" s="35">
        <f>'6'!K58</f>
        <v>1512</v>
      </c>
      <c r="K7" s="35">
        <f>'6'!L58</f>
        <v>0</v>
      </c>
      <c r="L7" s="35">
        <f>'6'!M58</f>
        <v>30856</v>
      </c>
      <c r="M7" s="35">
        <f>'6'!N58</f>
        <v>0</v>
      </c>
      <c r="N7" s="35">
        <f t="shared" si="0"/>
        <v>739452</v>
      </c>
    </row>
    <row r="8" spans="1:14" ht="17.100000000000001" customHeight="1" x14ac:dyDescent="0.25">
      <c r="A8" s="34"/>
      <c r="B8" s="34">
        <v>16</v>
      </c>
      <c r="C8" s="33" t="s">
        <v>116</v>
      </c>
      <c r="D8" s="35">
        <f>'6'!E112</f>
        <v>95011</v>
      </c>
      <c r="E8" s="35">
        <f>'6'!F112</f>
        <v>6370148</v>
      </c>
      <c r="F8" s="35">
        <f>'6'!G112</f>
        <v>0</v>
      </c>
      <c r="G8" s="35">
        <f>'6'!H112</f>
        <v>2397294</v>
      </c>
      <c r="H8" s="35">
        <f>'6'!I112</f>
        <v>9000</v>
      </c>
      <c r="I8" s="35">
        <f>'6'!J112</f>
        <v>0</v>
      </c>
      <c r="J8" s="35">
        <f>'6'!K112</f>
        <v>0</v>
      </c>
      <c r="K8" s="35">
        <f>'6'!L112</f>
        <v>0</v>
      </c>
      <c r="L8" s="35">
        <f>'6'!M112</f>
        <v>8233686</v>
      </c>
      <c r="M8" s="35">
        <f>'6'!N112</f>
        <v>11647000</v>
      </c>
      <c r="N8" s="35">
        <f t="shared" si="0"/>
        <v>28752139</v>
      </c>
    </row>
    <row r="9" spans="1:14" ht="17.100000000000001" customHeight="1" x14ac:dyDescent="0.25">
      <c r="A9" s="34"/>
      <c r="B9" s="34">
        <v>17</v>
      </c>
      <c r="C9" s="33" t="s">
        <v>170</v>
      </c>
      <c r="D9" s="35">
        <f>'6'!E146</f>
        <v>0</v>
      </c>
      <c r="E9" s="35">
        <f>'6'!F146</f>
        <v>0</v>
      </c>
      <c r="F9" s="35">
        <f>'6'!G146</f>
        <v>0</v>
      </c>
      <c r="G9" s="35">
        <f>'6'!H146</f>
        <v>760375</v>
      </c>
      <c r="H9" s="35">
        <f>'6'!I146</f>
        <v>225744</v>
      </c>
      <c r="I9" s="35">
        <f>'6'!J146</f>
        <v>0</v>
      </c>
      <c r="J9" s="35">
        <f>'6'!K146</f>
        <v>2000</v>
      </c>
      <c r="K9" s="35">
        <f>'6'!L146</f>
        <v>0</v>
      </c>
      <c r="L9" s="35">
        <f>'6'!M146</f>
        <v>857</v>
      </c>
      <c r="M9" s="35">
        <f>'6'!N146</f>
        <v>138244</v>
      </c>
      <c r="N9" s="35">
        <f t="shared" si="0"/>
        <v>1127220</v>
      </c>
    </row>
    <row r="10" spans="1:14" ht="17.100000000000001" customHeight="1" x14ac:dyDescent="0.25">
      <c r="A10" s="34"/>
      <c r="B10" s="34">
        <v>18</v>
      </c>
      <c r="C10" s="33" t="s">
        <v>171</v>
      </c>
      <c r="D10" s="35">
        <f>'6'!E155</f>
        <v>0</v>
      </c>
      <c r="E10" s="35">
        <f>'6'!F155</f>
        <v>0</v>
      </c>
      <c r="F10" s="35">
        <f>'6'!G155</f>
        <v>75400</v>
      </c>
      <c r="G10" s="35">
        <f>'6'!H155</f>
        <v>43734</v>
      </c>
      <c r="H10" s="35">
        <f>'6'!I155</f>
        <v>0</v>
      </c>
      <c r="I10" s="35">
        <f>'6'!J155</f>
        <v>0</v>
      </c>
      <c r="J10" s="35">
        <f>'6'!K155</f>
        <v>0</v>
      </c>
      <c r="K10" s="35">
        <f>'6'!L155</f>
        <v>0</v>
      </c>
      <c r="L10" s="35">
        <f>'6'!M155</f>
        <v>8386</v>
      </c>
      <c r="M10" s="35">
        <f>'6'!N155</f>
        <v>0</v>
      </c>
      <c r="N10" s="35">
        <f t="shared" si="0"/>
        <v>127520</v>
      </c>
    </row>
    <row r="11" spans="1:14" ht="17.100000000000001" customHeight="1" x14ac:dyDescent="0.25">
      <c r="A11" s="34"/>
      <c r="B11" s="34">
        <v>19</v>
      </c>
      <c r="C11" s="33" t="s">
        <v>85</v>
      </c>
      <c r="D11" s="35">
        <f>'6'!E187</f>
        <v>5993204</v>
      </c>
      <c r="E11" s="35">
        <f>'6'!F187</f>
        <v>0</v>
      </c>
      <c r="F11" s="35">
        <f>'6'!G187</f>
        <v>7414000</v>
      </c>
      <c r="G11" s="35">
        <f>'6'!H187</f>
        <v>142776</v>
      </c>
      <c r="H11" s="35">
        <f>'6'!I187</f>
        <v>0</v>
      </c>
      <c r="I11" s="35">
        <f>'6'!J187</f>
        <v>25300</v>
      </c>
      <c r="J11" s="35">
        <f>'6'!K187</f>
        <v>500</v>
      </c>
      <c r="K11" s="35">
        <f>'6'!L187</f>
        <v>0</v>
      </c>
      <c r="L11" s="35">
        <f>'6'!M187</f>
        <v>1581288</v>
      </c>
      <c r="M11" s="35">
        <f>'6'!N187</f>
        <v>9507751</v>
      </c>
      <c r="N11" s="35">
        <f t="shared" si="0"/>
        <v>24664819</v>
      </c>
    </row>
    <row r="12" spans="1:14" ht="17.100000000000001" customHeight="1" x14ac:dyDescent="0.25">
      <c r="A12" s="34"/>
      <c r="B12" s="34">
        <v>22</v>
      </c>
      <c r="C12" s="450" t="s">
        <v>7</v>
      </c>
      <c r="D12" s="35">
        <f>'6'!E198</f>
        <v>0</v>
      </c>
      <c r="E12" s="35">
        <f>'6'!F198</f>
        <v>0</v>
      </c>
      <c r="F12" s="35">
        <f>'6'!G198</f>
        <v>0</v>
      </c>
      <c r="G12" s="35">
        <f>'6'!H198</f>
        <v>302</v>
      </c>
      <c r="H12" s="35">
        <f>'6'!I198</f>
        <v>0</v>
      </c>
      <c r="I12" s="35">
        <f>'6'!J198</f>
        <v>3517</v>
      </c>
      <c r="J12" s="35">
        <f>'6'!K198</f>
        <v>4074</v>
      </c>
      <c r="K12" s="35">
        <f>'6'!L198</f>
        <v>0</v>
      </c>
      <c r="L12" s="35">
        <f>'6'!M198</f>
        <v>0</v>
      </c>
      <c r="M12" s="35">
        <f>'6'!N198</f>
        <v>0</v>
      </c>
      <c r="N12" s="35">
        <f t="shared" si="0"/>
        <v>7893</v>
      </c>
    </row>
    <row r="13" spans="1:14" ht="36" customHeight="1" x14ac:dyDescent="0.25">
      <c r="A13" s="36"/>
      <c r="B13" s="36"/>
      <c r="C13" s="62" t="s">
        <v>10</v>
      </c>
      <c r="D13" s="54">
        <f t="shared" ref="D13:M13" si="1">SUM(D4:D12)</f>
        <v>6608027</v>
      </c>
      <c r="E13" s="54">
        <f t="shared" si="1"/>
        <v>6370148</v>
      </c>
      <c r="F13" s="54">
        <f t="shared" si="1"/>
        <v>7489400</v>
      </c>
      <c r="G13" s="54">
        <f t="shared" si="1"/>
        <v>4087663</v>
      </c>
      <c r="H13" s="54">
        <f t="shared" si="1"/>
        <v>234744</v>
      </c>
      <c r="I13" s="54">
        <f t="shared" si="1"/>
        <v>55968</v>
      </c>
      <c r="J13" s="54">
        <f t="shared" si="1"/>
        <v>8806</v>
      </c>
      <c r="K13" s="54">
        <f t="shared" si="1"/>
        <v>0</v>
      </c>
      <c r="L13" s="54">
        <f t="shared" si="1"/>
        <v>9861224</v>
      </c>
      <c r="M13" s="54">
        <f t="shared" si="1"/>
        <v>21292995</v>
      </c>
      <c r="N13" s="54">
        <f t="shared" si="0"/>
        <v>56008975</v>
      </c>
    </row>
    <row r="14" spans="1:14" ht="17.100000000000001" customHeight="1" x14ac:dyDescent="0.25">
      <c r="A14" s="38">
        <v>2</v>
      </c>
      <c r="B14" s="38"/>
      <c r="C14" s="33" t="s">
        <v>174</v>
      </c>
      <c r="D14" s="35">
        <f>'9'!F23</f>
        <v>915029</v>
      </c>
      <c r="E14" s="35">
        <f>'9'!G23</f>
        <v>109938</v>
      </c>
      <c r="F14" s="35">
        <f>'9'!H23</f>
        <v>5675</v>
      </c>
      <c r="G14" s="35">
        <f>'9'!I23</f>
        <v>2130439</v>
      </c>
      <c r="H14" s="35">
        <f>'9'!J23</f>
        <v>5064</v>
      </c>
      <c r="I14" s="35">
        <f>'9'!K23</f>
        <v>2927</v>
      </c>
      <c r="J14" s="35">
        <f>'9'!L23</f>
        <v>1424</v>
      </c>
      <c r="K14" s="35">
        <f>'6'!L200</f>
        <v>0</v>
      </c>
      <c r="L14" s="35">
        <f>'9'!M23</f>
        <v>1174763</v>
      </c>
      <c r="M14" s="35">
        <f>'6'!N200</f>
        <v>205000</v>
      </c>
      <c r="N14" s="35">
        <f t="shared" si="0"/>
        <v>4550259</v>
      </c>
    </row>
    <row r="15" spans="1:14" ht="17.100000000000001" customHeight="1" x14ac:dyDescent="0.25">
      <c r="A15" s="36"/>
      <c r="B15" s="36"/>
      <c r="C15" s="37" t="s">
        <v>164</v>
      </c>
      <c r="D15" s="54">
        <f t="shared" ref="D15:M15" si="2">SUM(D13:D14)</f>
        <v>7523056</v>
      </c>
      <c r="E15" s="54">
        <f t="shared" si="2"/>
        <v>6480086</v>
      </c>
      <c r="F15" s="54">
        <f t="shared" si="2"/>
        <v>7495075</v>
      </c>
      <c r="G15" s="54">
        <f t="shared" si="2"/>
        <v>6218102</v>
      </c>
      <c r="H15" s="54">
        <f t="shared" si="2"/>
        <v>239808</v>
      </c>
      <c r="I15" s="54">
        <f t="shared" si="2"/>
        <v>58895</v>
      </c>
      <c r="J15" s="54">
        <f t="shared" si="2"/>
        <v>10230</v>
      </c>
      <c r="K15" s="54">
        <f t="shared" si="2"/>
        <v>0</v>
      </c>
      <c r="L15" s="54">
        <f t="shared" si="2"/>
        <v>11035987</v>
      </c>
      <c r="M15" s="54">
        <f t="shared" si="2"/>
        <v>21497995</v>
      </c>
      <c r="N15" s="54">
        <f t="shared" si="0"/>
        <v>60559234</v>
      </c>
    </row>
    <row r="16" spans="1:14" ht="17.100000000000001" customHeight="1" x14ac:dyDescent="0.25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5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5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5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5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5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5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5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5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5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2023.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01"/>
  <sheetViews>
    <sheetView zoomScaleNormal="100" workbookViewId="0">
      <pane ySplit="2" topLeftCell="A62" activePane="bottomLeft" state="frozen"/>
      <selection activeCell="A30" sqref="A30"/>
      <selection pane="bottomLeft" activeCell="D62" sqref="D62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21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839" t="s">
        <v>87</v>
      </c>
      <c r="B1" s="839" t="s">
        <v>88</v>
      </c>
      <c r="C1" s="837" t="s">
        <v>124</v>
      </c>
      <c r="D1" s="839" t="s">
        <v>205</v>
      </c>
      <c r="E1" s="841" t="s">
        <v>131</v>
      </c>
      <c r="F1" s="841"/>
      <c r="G1" s="841"/>
      <c r="H1" s="841"/>
      <c r="I1" s="841"/>
      <c r="J1" s="841"/>
      <c r="K1" s="841"/>
      <c r="L1" s="838" t="s">
        <v>188</v>
      </c>
      <c r="M1" s="838"/>
      <c r="N1" s="838"/>
      <c r="O1" s="837" t="s">
        <v>11</v>
      </c>
    </row>
    <row r="2" spans="1:15" s="98" customFormat="1" ht="69" customHeight="1" x14ac:dyDescent="0.25">
      <c r="A2" s="839"/>
      <c r="B2" s="839"/>
      <c r="C2" s="837"/>
      <c r="D2" s="840"/>
      <c r="E2" s="96" t="s">
        <v>12</v>
      </c>
      <c r="F2" s="96" t="s">
        <v>13</v>
      </c>
      <c r="G2" s="342" t="s">
        <v>14</v>
      </c>
      <c r="H2" s="97" t="s">
        <v>184</v>
      </c>
      <c r="I2" s="342" t="s">
        <v>185</v>
      </c>
      <c r="J2" s="342" t="s">
        <v>186</v>
      </c>
      <c r="K2" s="342" t="s">
        <v>187</v>
      </c>
      <c r="L2" s="342" t="s">
        <v>132</v>
      </c>
      <c r="M2" s="342" t="s">
        <v>133</v>
      </c>
      <c r="N2" s="342" t="s">
        <v>135</v>
      </c>
      <c r="O2" s="837"/>
    </row>
    <row r="3" spans="1:15" s="98" customFormat="1" ht="12.9" customHeight="1" x14ac:dyDescent="0.25">
      <c r="A3" s="99">
        <v>1</v>
      </c>
      <c r="B3" s="99"/>
      <c r="C3" s="222" t="s">
        <v>173</v>
      </c>
      <c r="D3" s="223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</row>
    <row r="4" spans="1:15" s="98" customFormat="1" ht="12.9" customHeight="1" x14ac:dyDescent="0.25">
      <c r="A4" s="100">
        <v>1</v>
      </c>
      <c r="B4" s="100">
        <v>1</v>
      </c>
      <c r="C4" s="225" t="s">
        <v>3</v>
      </c>
      <c r="D4" s="101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</row>
    <row r="5" spans="1:15" s="103" customFormat="1" ht="13.5" customHeight="1" x14ac:dyDescent="0.25">
      <c r="A5" s="102">
        <v>1</v>
      </c>
      <c r="B5" s="102">
        <v>12</v>
      </c>
      <c r="C5" s="227" t="s">
        <v>99</v>
      </c>
      <c r="D5" s="228"/>
      <c r="E5" s="229"/>
      <c r="F5" s="229"/>
      <c r="G5" s="230"/>
      <c r="H5" s="230"/>
      <c r="I5" s="230"/>
      <c r="J5" s="230"/>
      <c r="K5" s="230"/>
      <c r="L5" s="230"/>
      <c r="M5" s="230"/>
      <c r="N5" s="230"/>
      <c r="O5" s="230"/>
    </row>
    <row r="6" spans="1:15" s="103" customFormat="1" ht="24.9" customHeight="1" x14ac:dyDescent="0.25">
      <c r="A6" s="102"/>
      <c r="B6" s="102"/>
      <c r="C6" s="231" t="s">
        <v>206</v>
      </c>
      <c r="D6" s="232"/>
      <c r="E6" s="229"/>
      <c r="F6" s="229"/>
      <c r="G6" s="230"/>
      <c r="H6" s="230"/>
      <c r="I6" s="230"/>
      <c r="J6" s="230"/>
      <c r="K6" s="230"/>
      <c r="L6" s="230"/>
      <c r="M6" s="230"/>
      <c r="N6" s="230"/>
      <c r="O6" s="230"/>
    </row>
    <row r="7" spans="1:15" s="103" customFormat="1" ht="17.100000000000001" customHeight="1" x14ac:dyDescent="0.25">
      <c r="A7" s="100"/>
      <c r="B7" s="100"/>
      <c r="C7" s="233" t="s">
        <v>207</v>
      </c>
      <c r="D7" s="234" t="s">
        <v>208</v>
      </c>
      <c r="E7" s="230"/>
      <c r="F7" s="230"/>
      <c r="G7" s="230"/>
      <c r="H7" s="230">
        <f>22760+táj1!H7</f>
        <v>22760</v>
      </c>
      <c r="I7" s="230"/>
      <c r="J7" s="230"/>
      <c r="K7" s="230"/>
      <c r="L7" s="230"/>
      <c r="M7" s="230"/>
      <c r="N7" s="230"/>
      <c r="O7" s="230">
        <f>SUM(H7:N7)</f>
        <v>22760</v>
      </c>
    </row>
    <row r="8" spans="1:15" s="103" customFormat="1" ht="13.5" customHeight="1" x14ac:dyDescent="0.25">
      <c r="A8" s="104"/>
      <c r="B8" s="104"/>
      <c r="C8" s="235" t="s">
        <v>209</v>
      </c>
      <c r="D8" s="236"/>
      <c r="E8" s="236">
        <f t="shared" ref="E8:K8" si="0">SUM(E5:E7)</f>
        <v>0</v>
      </c>
      <c r="F8" s="236">
        <f t="shared" si="0"/>
        <v>0</v>
      </c>
      <c r="G8" s="236">
        <f t="shared" si="0"/>
        <v>0</v>
      </c>
      <c r="H8" s="236">
        <f t="shared" si="0"/>
        <v>22760</v>
      </c>
      <c r="I8" s="236">
        <f t="shared" si="0"/>
        <v>0</v>
      </c>
      <c r="J8" s="236">
        <f t="shared" si="0"/>
        <v>0</v>
      </c>
      <c r="K8" s="236">
        <f t="shared" si="0"/>
        <v>0</v>
      </c>
      <c r="L8" s="236"/>
      <c r="M8" s="236"/>
      <c r="N8" s="236">
        <f>SUM(N7:N7)</f>
        <v>0</v>
      </c>
      <c r="O8" s="236">
        <f>SUM(O7:O7)</f>
        <v>22760</v>
      </c>
    </row>
    <row r="9" spans="1:15" s="103" customFormat="1" ht="13.5" customHeight="1" x14ac:dyDescent="0.25">
      <c r="A9" s="101">
        <v>1</v>
      </c>
      <c r="B9" s="101">
        <v>13</v>
      </c>
      <c r="C9" s="227" t="s">
        <v>100</v>
      </c>
      <c r="D9" s="234"/>
      <c r="E9" s="105"/>
      <c r="F9" s="237"/>
      <c r="G9" s="237"/>
      <c r="H9" s="237"/>
      <c r="I9" s="237"/>
      <c r="J9" s="237"/>
      <c r="K9" s="237"/>
      <c r="L9" s="237"/>
      <c r="M9" s="237"/>
      <c r="N9" s="237"/>
      <c r="O9" s="237"/>
    </row>
    <row r="10" spans="1:15" s="103" customFormat="1" ht="13.5" customHeight="1" x14ac:dyDescent="0.25">
      <c r="A10" s="101"/>
      <c r="B10" s="101"/>
      <c r="C10" s="231" t="s">
        <v>210</v>
      </c>
      <c r="D10" s="234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</row>
    <row r="11" spans="1:15" s="103" customFormat="1" ht="24.9" customHeight="1" x14ac:dyDescent="0.25">
      <c r="A11" s="101"/>
      <c r="B11" s="101"/>
      <c r="C11" s="231" t="s">
        <v>211</v>
      </c>
      <c r="D11" s="238">
        <v>131705</v>
      </c>
      <c r="E11" s="230">
        <f>47652+táj1!E11</f>
        <v>47652</v>
      </c>
      <c r="F11" s="343"/>
      <c r="G11" s="343"/>
      <c r="H11" s="343"/>
      <c r="I11" s="230"/>
      <c r="J11" s="230"/>
      <c r="K11" s="230"/>
      <c r="L11" s="230"/>
      <c r="M11" s="230"/>
      <c r="N11" s="230"/>
      <c r="O11" s="230">
        <f>SUM(E11:N11)</f>
        <v>47652</v>
      </c>
    </row>
    <row r="12" spans="1:15" s="103" customFormat="1" ht="24.9" customHeight="1" x14ac:dyDescent="0.25">
      <c r="A12" s="725"/>
      <c r="B12" s="725"/>
      <c r="C12" s="528" t="s">
        <v>384</v>
      </c>
      <c r="D12" s="663"/>
      <c r="E12" s="230"/>
      <c r="F12" s="522"/>
      <c r="G12" s="522"/>
      <c r="H12" s="522"/>
      <c r="I12" s="508"/>
      <c r="J12" s="508"/>
      <c r="K12" s="508"/>
      <c r="L12" s="508"/>
      <c r="M12" s="508"/>
      <c r="N12" s="508"/>
      <c r="O12" s="230"/>
    </row>
    <row r="13" spans="1:15" s="103" customFormat="1" ht="24.9" customHeight="1" x14ac:dyDescent="0.25">
      <c r="A13" s="725"/>
      <c r="B13" s="725"/>
      <c r="C13" s="527" t="s">
        <v>1073</v>
      </c>
      <c r="D13" s="663">
        <v>131718</v>
      </c>
      <c r="E13" s="230">
        <f>2280+táj1!E13</f>
        <v>2430</v>
      </c>
      <c r="F13" s="522"/>
      <c r="G13" s="522"/>
      <c r="H13" s="522"/>
      <c r="I13" s="508"/>
      <c r="J13" s="508"/>
      <c r="K13" s="508"/>
      <c r="L13" s="508"/>
      <c r="M13" s="508"/>
      <c r="N13" s="508"/>
      <c r="O13" s="230">
        <f t="shared" ref="O13" si="1">SUM(E13:N13)</f>
        <v>2430</v>
      </c>
    </row>
    <row r="14" spans="1:15" s="103" customFormat="1" ht="24.9" customHeight="1" x14ac:dyDescent="0.25">
      <c r="A14" s="101"/>
      <c r="B14" s="101"/>
      <c r="C14" s="240" t="s">
        <v>212</v>
      </c>
      <c r="D14" s="234" t="s">
        <v>86</v>
      </c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41"/>
    </row>
    <row r="15" spans="1:15" s="103" customFormat="1" ht="24.9" customHeight="1" x14ac:dyDescent="0.25">
      <c r="A15" s="101"/>
      <c r="B15" s="101"/>
      <c r="C15" s="240" t="s">
        <v>213</v>
      </c>
      <c r="D15" s="238">
        <v>131703</v>
      </c>
      <c r="E15" s="230"/>
      <c r="F15" s="230"/>
      <c r="G15" s="230"/>
      <c r="H15" s="230">
        <f>7366+táj1!H15</f>
        <v>7366</v>
      </c>
      <c r="I15" s="230"/>
      <c r="J15" s="230"/>
      <c r="K15" s="230"/>
      <c r="L15" s="230"/>
      <c r="M15" s="230"/>
      <c r="N15" s="230"/>
      <c r="O15" s="230">
        <f>SUM(E15:N15)</f>
        <v>7366</v>
      </c>
    </row>
    <row r="16" spans="1:15" s="103" customFormat="1" ht="24.9" customHeight="1" x14ac:dyDescent="0.25">
      <c r="A16" s="725"/>
      <c r="B16" s="725"/>
      <c r="C16" s="612" t="s">
        <v>1091</v>
      </c>
      <c r="D16" s="663">
        <v>121319</v>
      </c>
      <c r="E16" s="508"/>
      <c r="F16" s="508"/>
      <c r="G16" s="508"/>
      <c r="H16" s="230"/>
      <c r="I16" s="230"/>
      <c r="J16" s="230">
        <f>1825+táj1!J16</f>
        <v>1825</v>
      </c>
      <c r="K16" s="508"/>
      <c r="L16" s="508"/>
      <c r="M16" s="508"/>
      <c r="N16" s="508"/>
      <c r="O16" s="230">
        <f>SUM(E16:N16)</f>
        <v>1825</v>
      </c>
    </row>
    <row r="17" spans="1:15" s="103" customFormat="1" ht="24.9" customHeight="1" x14ac:dyDescent="0.25">
      <c r="A17" s="465"/>
      <c r="B17" s="465"/>
      <c r="C17" s="488" t="s">
        <v>215</v>
      </c>
      <c r="D17" s="505"/>
      <c r="E17" s="461"/>
      <c r="F17" s="461"/>
      <c r="G17" s="461"/>
      <c r="H17" s="461"/>
      <c r="I17" s="461"/>
      <c r="J17" s="461"/>
      <c r="K17" s="461"/>
      <c r="L17" s="461"/>
      <c r="M17" s="461"/>
      <c r="N17" s="461"/>
      <c r="O17" s="230"/>
    </row>
    <row r="18" spans="1:15" s="103" customFormat="1" ht="24.9" customHeight="1" x14ac:dyDescent="0.25">
      <c r="A18" s="465"/>
      <c r="B18" s="465"/>
      <c r="C18" s="467" t="s">
        <v>948</v>
      </c>
      <c r="D18" s="489">
        <v>132937</v>
      </c>
      <c r="E18" s="230"/>
      <c r="F18" s="230">
        <f>0+táj1!F18</f>
        <v>0</v>
      </c>
      <c r="G18" s="230"/>
      <c r="H18" s="230"/>
      <c r="I18" s="230"/>
      <c r="J18" s="230"/>
      <c r="K18" s="230"/>
      <c r="L18" s="230"/>
      <c r="M18" s="230">
        <f>0+táj1!M18</f>
        <v>0</v>
      </c>
      <c r="N18" s="461"/>
      <c r="O18" s="230">
        <f t="shared" ref="O18" si="2">SUM(E18:N18)</f>
        <v>0</v>
      </c>
    </row>
    <row r="19" spans="1:15" s="103" customFormat="1" ht="25.5" customHeight="1" x14ac:dyDescent="0.25">
      <c r="A19" s="101"/>
      <c r="B19" s="101"/>
      <c r="C19" s="231" t="s">
        <v>740</v>
      </c>
      <c r="D19" s="238"/>
      <c r="E19" s="230"/>
      <c r="F19" s="343"/>
      <c r="G19" s="343"/>
      <c r="H19" s="343"/>
      <c r="I19" s="230"/>
      <c r="J19" s="230"/>
      <c r="K19" s="230"/>
      <c r="L19" s="230"/>
      <c r="M19" s="230"/>
      <c r="N19" s="230"/>
      <c r="O19" s="230"/>
    </row>
    <row r="20" spans="1:15" s="103" customFormat="1" ht="24.9" customHeight="1" x14ac:dyDescent="0.25">
      <c r="A20" s="101"/>
      <c r="B20" s="101"/>
      <c r="C20" s="242" t="s">
        <v>741</v>
      </c>
      <c r="D20" s="238">
        <v>131508</v>
      </c>
      <c r="E20" s="230">
        <f>288500+táj1!E20</f>
        <v>288500</v>
      </c>
      <c r="F20" s="343"/>
      <c r="G20" s="343"/>
      <c r="H20" s="343"/>
      <c r="I20" s="230"/>
      <c r="J20" s="230"/>
      <c r="K20" s="230"/>
      <c r="L20" s="230"/>
      <c r="M20" s="230"/>
      <c r="N20" s="230"/>
      <c r="O20" s="230">
        <f t="shared" ref="O20:O29" si="3">SUM(E20:N20)</f>
        <v>288500</v>
      </c>
    </row>
    <row r="21" spans="1:15" s="103" customFormat="1" ht="24.75" customHeight="1" x14ac:dyDescent="0.25">
      <c r="A21" s="101"/>
      <c r="B21" s="101"/>
      <c r="C21" s="242" t="s">
        <v>742</v>
      </c>
      <c r="D21" s="238">
        <v>131509</v>
      </c>
      <c r="E21" s="230">
        <f>65000+táj1!E21</f>
        <v>65000</v>
      </c>
      <c r="F21" s="343"/>
      <c r="G21" s="343"/>
      <c r="H21" s="343"/>
      <c r="I21" s="230"/>
      <c r="J21" s="230"/>
      <c r="K21" s="230"/>
      <c r="L21" s="230"/>
      <c r="M21" s="230"/>
      <c r="N21" s="230"/>
      <c r="O21" s="230">
        <f t="shared" si="3"/>
        <v>65000</v>
      </c>
    </row>
    <row r="22" spans="1:15" s="103" customFormat="1" ht="24.75" customHeight="1" x14ac:dyDescent="0.25">
      <c r="A22" s="465"/>
      <c r="B22" s="465"/>
      <c r="C22" s="468" t="s">
        <v>426</v>
      </c>
      <c r="D22" s="489"/>
      <c r="E22" s="230"/>
      <c r="F22" s="462"/>
      <c r="G22" s="462"/>
      <c r="H22" s="462"/>
      <c r="I22" s="461"/>
      <c r="J22" s="461"/>
      <c r="K22" s="461"/>
      <c r="L22" s="461"/>
      <c r="M22" s="461"/>
      <c r="N22" s="461"/>
      <c r="O22" s="230"/>
    </row>
    <row r="23" spans="1:15" s="103" customFormat="1" ht="24.75" customHeight="1" x14ac:dyDescent="0.25">
      <c r="A23" s="674"/>
      <c r="B23" s="674"/>
      <c r="C23" s="143" t="s">
        <v>427</v>
      </c>
      <c r="D23" s="675">
        <v>131827</v>
      </c>
      <c r="E23" s="230"/>
      <c r="F23" s="230"/>
      <c r="G23" s="230"/>
      <c r="H23" s="230"/>
      <c r="I23" s="230"/>
      <c r="J23" s="230">
        <f>1444+táj1!J23</f>
        <v>1444</v>
      </c>
      <c r="K23" s="676"/>
      <c r="L23" s="676"/>
      <c r="M23" s="676"/>
      <c r="N23" s="676"/>
      <c r="O23" s="230">
        <f t="shared" si="3"/>
        <v>1444</v>
      </c>
    </row>
    <row r="24" spans="1:15" s="103" customFormat="1" ht="24.75" customHeight="1" x14ac:dyDescent="0.25">
      <c r="A24" s="465"/>
      <c r="B24" s="465"/>
      <c r="C24" s="471" t="s">
        <v>949</v>
      </c>
      <c r="D24" s="489">
        <v>191801</v>
      </c>
      <c r="E24" s="230">
        <f>116230+táj1!E24</f>
        <v>116230</v>
      </c>
      <c r="F24" s="462"/>
      <c r="G24" s="462"/>
      <c r="H24" s="462"/>
      <c r="I24" s="461"/>
      <c r="J24" s="230"/>
      <c r="K24" s="461"/>
      <c r="L24" s="461"/>
      <c r="M24" s="461"/>
      <c r="N24" s="461"/>
      <c r="O24" s="230">
        <f t="shared" si="3"/>
        <v>116230</v>
      </c>
    </row>
    <row r="25" spans="1:15" s="103" customFormat="1" ht="24.75" customHeight="1" x14ac:dyDescent="0.25">
      <c r="A25" s="782"/>
      <c r="B25" s="782"/>
      <c r="C25" s="818" t="s">
        <v>869</v>
      </c>
      <c r="D25" s="784">
        <v>221966</v>
      </c>
      <c r="E25" s="785"/>
      <c r="F25" s="786"/>
      <c r="G25" s="786"/>
      <c r="H25" s="786"/>
      <c r="I25" s="785"/>
      <c r="J25" s="230">
        <f>0+táj1!J25</f>
        <v>9221</v>
      </c>
      <c r="K25" s="785"/>
      <c r="L25" s="785"/>
      <c r="M25" s="785"/>
      <c r="N25" s="785"/>
      <c r="O25" s="230">
        <f t="shared" si="3"/>
        <v>9221</v>
      </c>
    </row>
    <row r="26" spans="1:15" s="103" customFormat="1" ht="24.75" customHeight="1" x14ac:dyDescent="0.25">
      <c r="A26" s="674"/>
      <c r="B26" s="674"/>
      <c r="C26" s="664" t="s">
        <v>359</v>
      </c>
      <c r="D26" s="675"/>
      <c r="E26" s="676"/>
      <c r="F26" s="677"/>
      <c r="G26" s="677"/>
      <c r="H26" s="677"/>
      <c r="I26" s="676"/>
      <c r="J26" s="230"/>
      <c r="K26" s="676"/>
      <c r="L26" s="676"/>
      <c r="M26" s="676"/>
      <c r="N26" s="676"/>
      <c r="O26" s="230"/>
    </row>
    <row r="27" spans="1:15" s="103" customFormat="1" ht="24.75" customHeight="1" x14ac:dyDescent="0.25">
      <c r="A27" s="674"/>
      <c r="B27" s="674"/>
      <c r="C27" s="712" t="s">
        <v>1055</v>
      </c>
      <c r="D27" s="675">
        <v>131313</v>
      </c>
      <c r="E27" s="676"/>
      <c r="F27" s="677"/>
      <c r="G27" s="677"/>
      <c r="H27" s="677"/>
      <c r="I27" s="676"/>
      <c r="J27" s="230">
        <f>10461+táj1!J27</f>
        <v>10461</v>
      </c>
      <c r="K27" s="676"/>
      <c r="L27" s="676"/>
      <c r="M27" s="676"/>
      <c r="N27" s="676"/>
      <c r="O27" s="230">
        <f t="shared" si="3"/>
        <v>10461</v>
      </c>
    </row>
    <row r="28" spans="1:15" s="103" customFormat="1" ht="24.75" customHeight="1" x14ac:dyDescent="0.25">
      <c r="A28" s="782"/>
      <c r="B28" s="782"/>
      <c r="C28" s="783" t="s">
        <v>1134</v>
      </c>
      <c r="D28" s="784">
        <v>132944</v>
      </c>
      <c r="E28" s="785"/>
      <c r="F28" s="786"/>
      <c r="G28" s="786"/>
      <c r="H28" s="786"/>
      <c r="I28" s="785"/>
      <c r="J28" s="230"/>
      <c r="K28" s="230">
        <f>720+táj1!K28</f>
        <v>720</v>
      </c>
      <c r="L28" s="785"/>
      <c r="M28" s="785"/>
      <c r="N28" s="785"/>
      <c r="O28" s="230">
        <f t="shared" si="3"/>
        <v>720</v>
      </c>
    </row>
    <row r="29" spans="1:15" s="103" customFormat="1" ht="24.75" customHeight="1" x14ac:dyDescent="0.25">
      <c r="A29" s="725"/>
      <c r="B29" s="725"/>
      <c r="C29" s="523" t="s">
        <v>1092</v>
      </c>
      <c r="D29" s="751">
        <v>131329</v>
      </c>
      <c r="E29" s="508"/>
      <c r="F29" s="522"/>
      <c r="G29" s="522"/>
      <c r="H29" s="230">
        <f>0+táj1!H29</f>
        <v>700</v>
      </c>
      <c r="I29" s="230"/>
      <c r="J29" s="230">
        <f>1000+táj1!J29</f>
        <v>4200</v>
      </c>
      <c r="K29" s="508"/>
      <c r="L29" s="508"/>
      <c r="M29" s="508"/>
      <c r="N29" s="508"/>
      <c r="O29" s="230">
        <f t="shared" si="3"/>
        <v>4900</v>
      </c>
    </row>
    <row r="30" spans="1:15" s="103" customFormat="1" ht="13.5" customHeight="1" x14ac:dyDescent="0.25">
      <c r="A30" s="104"/>
      <c r="B30" s="104"/>
      <c r="C30" s="235" t="s">
        <v>214</v>
      </c>
      <c r="D30" s="243"/>
      <c r="E30" s="236">
        <f>SUM(E11:E29)</f>
        <v>519812</v>
      </c>
      <c r="F30" s="236">
        <f t="shared" ref="F30:O30" si="4">SUM(F11:F29)</f>
        <v>0</v>
      </c>
      <c r="G30" s="236">
        <f t="shared" si="4"/>
        <v>0</v>
      </c>
      <c r="H30" s="236">
        <f t="shared" si="4"/>
        <v>8066</v>
      </c>
      <c r="I30" s="236">
        <f t="shared" si="4"/>
        <v>0</v>
      </c>
      <c r="J30" s="236">
        <f t="shared" si="4"/>
        <v>27151</v>
      </c>
      <c r="K30" s="236">
        <f t="shared" si="4"/>
        <v>720</v>
      </c>
      <c r="L30" s="236">
        <f t="shared" si="4"/>
        <v>0</v>
      </c>
      <c r="M30" s="236">
        <f t="shared" si="4"/>
        <v>0</v>
      </c>
      <c r="N30" s="236">
        <f t="shared" si="4"/>
        <v>0</v>
      </c>
      <c r="O30" s="236">
        <f t="shared" si="4"/>
        <v>555749</v>
      </c>
    </row>
    <row r="31" spans="1:15" s="103" customFormat="1" ht="13.5" customHeight="1" x14ac:dyDescent="0.25">
      <c r="A31" s="244">
        <v>1</v>
      </c>
      <c r="B31" s="244">
        <v>14</v>
      </c>
      <c r="C31" s="245" t="s">
        <v>175</v>
      </c>
      <c r="D31" s="244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</row>
    <row r="32" spans="1:15" s="103" customFormat="1" ht="25.2" customHeight="1" x14ac:dyDescent="0.25">
      <c r="A32" s="101"/>
      <c r="B32" s="101"/>
      <c r="C32" s="239" t="s">
        <v>215</v>
      </c>
      <c r="D32" s="244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</row>
    <row r="33" spans="1:16" s="103" customFormat="1" ht="19.5" customHeight="1" x14ac:dyDescent="0.25">
      <c r="A33" s="101"/>
      <c r="B33" s="101"/>
      <c r="C33" s="246" t="s">
        <v>216</v>
      </c>
      <c r="D33" s="102">
        <v>171967</v>
      </c>
      <c r="E33" s="230"/>
      <c r="F33" s="230"/>
      <c r="G33" s="230"/>
      <c r="H33" s="230">
        <f>5272+táj1!H33</f>
        <v>5272</v>
      </c>
      <c r="I33" s="230"/>
      <c r="J33" s="230"/>
      <c r="K33" s="230"/>
      <c r="L33" s="230"/>
      <c r="M33" s="230"/>
      <c r="N33" s="230"/>
      <c r="O33" s="230">
        <f>SUM(E33:N33)</f>
        <v>5272</v>
      </c>
    </row>
    <row r="34" spans="1:16" s="103" customFormat="1" ht="15.75" customHeight="1" x14ac:dyDescent="0.25">
      <c r="A34" s="101"/>
      <c r="B34" s="101"/>
      <c r="C34" s="247" t="s">
        <v>743</v>
      </c>
      <c r="D34" s="248">
        <v>164903</v>
      </c>
      <c r="E34" s="217"/>
      <c r="F34" s="217"/>
      <c r="G34" s="217"/>
      <c r="H34" s="217"/>
      <c r="I34" s="217"/>
      <c r="J34" s="217"/>
      <c r="K34" s="217"/>
      <c r="L34" s="217"/>
      <c r="M34" s="217">
        <f>6151+táj1!M34</f>
        <v>6151</v>
      </c>
      <c r="N34" s="217"/>
      <c r="O34" s="217">
        <f>SUM(E34:N34)</f>
        <v>6151</v>
      </c>
      <c r="P34" s="402"/>
    </row>
    <row r="35" spans="1:16" s="103" customFormat="1" ht="13.5" customHeight="1" x14ac:dyDescent="0.25">
      <c r="A35" s="112"/>
      <c r="B35" s="112"/>
      <c r="C35" s="235" t="s">
        <v>217</v>
      </c>
      <c r="D35" s="344"/>
      <c r="E35" s="256"/>
      <c r="F35" s="256"/>
      <c r="G35" s="256"/>
      <c r="H35" s="256">
        <f>SUM(H33:H34)</f>
        <v>5272</v>
      </c>
      <c r="I35" s="256">
        <f t="shared" ref="I35:O35" si="5">SUM(I33:I34)</f>
        <v>0</v>
      </c>
      <c r="J35" s="256">
        <f t="shared" si="5"/>
        <v>0</v>
      </c>
      <c r="K35" s="256">
        <f t="shared" si="5"/>
        <v>0</v>
      </c>
      <c r="L35" s="256">
        <f t="shared" si="5"/>
        <v>0</v>
      </c>
      <c r="M35" s="256">
        <f t="shared" si="5"/>
        <v>6151</v>
      </c>
      <c r="N35" s="256">
        <f t="shared" si="5"/>
        <v>0</v>
      </c>
      <c r="O35" s="256">
        <f t="shared" si="5"/>
        <v>11423</v>
      </c>
    </row>
    <row r="36" spans="1:16" s="98" customFormat="1" ht="13.5" customHeight="1" x14ac:dyDescent="0.25">
      <c r="A36" s="106">
        <v>1</v>
      </c>
      <c r="B36" s="106">
        <v>15</v>
      </c>
      <c r="C36" s="225" t="s">
        <v>127</v>
      </c>
      <c r="D36" s="113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</row>
    <row r="37" spans="1:16" s="98" customFormat="1" ht="29.4" customHeight="1" x14ac:dyDescent="0.25">
      <c r="A37" s="106"/>
      <c r="B37" s="106"/>
      <c r="C37" s="242" t="s">
        <v>218</v>
      </c>
      <c r="D37" s="258"/>
      <c r="E37" s="114"/>
      <c r="F37" s="217"/>
      <c r="G37" s="217"/>
      <c r="H37" s="217"/>
      <c r="I37" s="217"/>
      <c r="J37" s="217"/>
      <c r="K37" s="217"/>
      <c r="L37" s="217"/>
      <c r="M37" s="217"/>
      <c r="N37" s="217"/>
      <c r="O37" s="217"/>
    </row>
    <row r="38" spans="1:16" s="98" customFormat="1" ht="22.95" customHeight="1" x14ac:dyDescent="0.25">
      <c r="A38" s="106"/>
      <c r="B38" s="106"/>
      <c r="C38" s="246" t="s">
        <v>219</v>
      </c>
      <c r="D38" s="258">
        <v>151906</v>
      </c>
      <c r="E38" s="217"/>
      <c r="F38" s="217"/>
      <c r="G38" s="217"/>
      <c r="H38" s="217">
        <f>5080+táj1!H38</f>
        <v>16115</v>
      </c>
      <c r="I38" s="345"/>
      <c r="J38" s="345"/>
      <c r="K38" s="345"/>
      <c r="L38" s="345"/>
      <c r="M38" s="345"/>
      <c r="N38" s="217"/>
      <c r="O38" s="217">
        <f>SUM(E38:N38)</f>
        <v>16115</v>
      </c>
    </row>
    <row r="39" spans="1:16" s="98" customFormat="1" ht="15" customHeight="1" x14ac:dyDescent="0.25">
      <c r="A39" s="106"/>
      <c r="B39" s="106"/>
      <c r="C39" s="233" t="s">
        <v>220</v>
      </c>
      <c r="D39" s="346" t="s">
        <v>221</v>
      </c>
      <c r="E39" s="217"/>
      <c r="F39" s="217"/>
      <c r="G39" s="217"/>
      <c r="H39" s="217">
        <f>175260+táj1!H39</f>
        <v>218403</v>
      </c>
      <c r="I39" s="345"/>
      <c r="J39" s="345"/>
      <c r="K39" s="345"/>
      <c r="L39" s="345"/>
      <c r="M39" s="345"/>
      <c r="N39" s="217"/>
      <c r="O39" s="217">
        <f>SUM(E39:N39)</f>
        <v>218403</v>
      </c>
    </row>
    <row r="40" spans="1:16" s="98" customFormat="1" ht="15" customHeight="1" x14ac:dyDescent="0.25">
      <c r="A40" s="106"/>
      <c r="B40" s="106"/>
      <c r="C40" s="233" t="s">
        <v>222</v>
      </c>
      <c r="D40" s="346" t="s">
        <v>223</v>
      </c>
      <c r="E40" s="217"/>
      <c r="F40" s="217"/>
      <c r="G40" s="217"/>
      <c r="H40" s="217">
        <f>222+táj1!H40</f>
        <v>222</v>
      </c>
      <c r="I40" s="345"/>
      <c r="J40" s="345"/>
      <c r="K40" s="345"/>
      <c r="L40" s="345"/>
      <c r="M40" s="345"/>
      <c r="N40" s="217"/>
      <c r="O40" s="217">
        <f>SUM(E40:N40)</f>
        <v>222</v>
      </c>
    </row>
    <row r="41" spans="1:16" s="98" customFormat="1" ht="25.2" customHeight="1" x14ac:dyDescent="0.25">
      <c r="A41" s="509"/>
      <c r="B41" s="509"/>
      <c r="C41" s="660" t="s">
        <v>1035</v>
      </c>
      <c r="D41" s="661" t="s">
        <v>1036</v>
      </c>
      <c r="E41" s="508"/>
      <c r="F41" s="508"/>
      <c r="G41" s="508"/>
      <c r="H41" s="217">
        <f>3307+táj1!H41</f>
        <v>3307</v>
      </c>
      <c r="I41" s="522"/>
      <c r="J41" s="522"/>
      <c r="K41" s="522"/>
      <c r="L41" s="522"/>
      <c r="M41" s="522"/>
      <c r="N41" s="508"/>
      <c r="O41" s="217">
        <f>SUM(E41:N41)</f>
        <v>3307</v>
      </c>
    </row>
    <row r="42" spans="1:16" s="98" customFormat="1" ht="15" customHeight="1" x14ac:dyDescent="0.25">
      <c r="A42" s="106"/>
      <c r="B42" s="106"/>
      <c r="C42" s="249" t="s">
        <v>224</v>
      </c>
      <c r="D42" s="347"/>
      <c r="E42" s="217"/>
      <c r="F42" s="217"/>
      <c r="G42" s="217"/>
      <c r="H42" s="217"/>
      <c r="I42" s="345"/>
      <c r="J42" s="345"/>
      <c r="K42" s="345"/>
      <c r="L42" s="345"/>
      <c r="M42" s="345"/>
      <c r="N42" s="217"/>
      <c r="O42" s="217"/>
    </row>
    <row r="43" spans="1:16" s="98" customFormat="1" ht="15" customHeight="1" x14ac:dyDescent="0.25">
      <c r="A43" s="106"/>
      <c r="B43" s="106"/>
      <c r="C43" s="233" t="s">
        <v>225</v>
      </c>
      <c r="D43" s="346" t="s">
        <v>226</v>
      </c>
      <c r="E43" s="217"/>
      <c r="F43" s="217"/>
      <c r="G43" s="217"/>
      <c r="H43" s="217">
        <f>3810+táj1!H43</f>
        <v>3810</v>
      </c>
      <c r="I43" s="345"/>
      <c r="J43" s="345"/>
      <c r="K43" s="345"/>
      <c r="L43" s="345"/>
      <c r="M43" s="345"/>
      <c r="N43" s="217"/>
      <c r="O43" s="217">
        <f>SUM(E43:N43)</f>
        <v>3810</v>
      </c>
    </row>
    <row r="44" spans="1:16" s="98" customFormat="1" ht="15" customHeight="1" x14ac:dyDescent="0.25">
      <c r="A44" s="106"/>
      <c r="B44" s="106"/>
      <c r="C44" s="348" t="s">
        <v>227</v>
      </c>
      <c r="D44" s="346" t="s">
        <v>228</v>
      </c>
      <c r="E44" s="217"/>
      <c r="F44" s="217"/>
      <c r="G44" s="217"/>
      <c r="H44" s="217">
        <f>635+táj1!H44</f>
        <v>635</v>
      </c>
      <c r="I44" s="345"/>
      <c r="J44" s="345"/>
      <c r="K44" s="345"/>
      <c r="L44" s="345"/>
      <c r="M44" s="345"/>
      <c r="N44" s="217"/>
      <c r="O44" s="217">
        <f>SUM(E44:N44)</f>
        <v>635</v>
      </c>
    </row>
    <row r="45" spans="1:16" s="98" customFormat="1" ht="18" customHeight="1" x14ac:dyDescent="0.25">
      <c r="A45" s="106"/>
      <c r="B45" s="106"/>
      <c r="C45" s="393" t="s">
        <v>490</v>
      </c>
      <c r="D45" s="349" t="s">
        <v>744</v>
      </c>
      <c r="E45" s="217"/>
      <c r="F45" s="217"/>
      <c r="G45" s="217"/>
      <c r="H45" s="217"/>
      <c r="I45" s="345"/>
      <c r="J45" s="345"/>
      <c r="K45" s="345"/>
      <c r="L45" s="345"/>
      <c r="M45" s="217">
        <f>30856+táj1!M45</f>
        <v>30856</v>
      </c>
      <c r="N45" s="217"/>
      <c r="O45" s="217">
        <f t="shared" ref="O45:O47" si="6">SUM(E45:N45)</f>
        <v>30856</v>
      </c>
    </row>
    <row r="46" spans="1:16" s="98" customFormat="1" ht="18" customHeight="1" x14ac:dyDescent="0.25">
      <c r="A46" s="509"/>
      <c r="B46" s="509"/>
      <c r="C46" s="142" t="s">
        <v>229</v>
      </c>
      <c r="D46" s="753"/>
      <c r="E46" s="508"/>
      <c r="F46" s="508"/>
      <c r="G46" s="508"/>
      <c r="H46" s="508"/>
      <c r="I46" s="522"/>
      <c r="J46" s="522"/>
      <c r="K46" s="522"/>
      <c r="L46" s="522"/>
      <c r="M46" s="508"/>
      <c r="N46" s="508"/>
      <c r="O46" s="508"/>
    </row>
    <row r="47" spans="1:16" s="98" customFormat="1" ht="18" customHeight="1" x14ac:dyDescent="0.25">
      <c r="A47" s="509"/>
      <c r="B47" s="509"/>
      <c r="C47" s="752" t="s">
        <v>1093</v>
      </c>
      <c r="D47" s="753" t="s">
        <v>1094</v>
      </c>
      <c r="E47" s="508"/>
      <c r="F47" s="508"/>
      <c r="G47" s="508"/>
      <c r="H47" s="217">
        <f>3547+táj1!H47</f>
        <v>3547</v>
      </c>
      <c r="I47" s="522"/>
      <c r="J47" s="522"/>
      <c r="K47" s="522"/>
      <c r="L47" s="522"/>
      <c r="M47" s="508"/>
      <c r="N47" s="508"/>
      <c r="O47" s="217">
        <f t="shared" si="6"/>
        <v>3547</v>
      </c>
    </row>
    <row r="48" spans="1:16" s="98" customFormat="1" ht="18.600000000000001" customHeight="1" x14ac:dyDescent="0.25">
      <c r="A48" s="106"/>
      <c r="B48" s="106"/>
      <c r="C48" s="246" t="s">
        <v>230</v>
      </c>
      <c r="D48" s="349"/>
      <c r="E48" s="217"/>
      <c r="F48" s="217"/>
      <c r="G48" s="217"/>
      <c r="H48" s="217"/>
      <c r="I48" s="345"/>
      <c r="J48" s="345"/>
      <c r="K48" s="345"/>
      <c r="L48" s="345"/>
      <c r="M48" s="345"/>
      <c r="N48" s="217"/>
      <c r="O48" s="217"/>
    </row>
    <row r="49" spans="1:15" s="98" customFormat="1" ht="24.9" customHeight="1" x14ac:dyDescent="0.25">
      <c r="A49" s="106"/>
      <c r="B49" s="106"/>
      <c r="C49" s="477" t="s">
        <v>231</v>
      </c>
      <c r="D49" s="478" t="s">
        <v>232</v>
      </c>
      <c r="E49" s="217"/>
      <c r="F49" s="217"/>
      <c r="G49" s="217"/>
      <c r="H49" s="217">
        <f>349250+táj1!H49</f>
        <v>447372</v>
      </c>
      <c r="I49" s="345"/>
      <c r="J49" s="345"/>
      <c r="K49" s="345"/>
      <c r="L49" s="345"/>
      <c r="M49" s="345"/>
      <c r="N49" s="217"/>
      <c r="O49" s="217">
        <f>SUM(E49:N49)</f>
        <v>447372</v>
      </c>
    </row>
    <row r="50" spans="1:15" s="98" customFormat="1" ht="24" customHeight="1" x14ac:dyDescent="0.25">
      <c r="A50" s="713"/>
      <c r="B50" s="713"/>
      <c r="C50" s="772" t="s">
        <v>931</v>
      </c>
      <c r="D50" s="715"/>
      <c r="E50" s="676"/>
      <c r="F50" s="676"/>
      <c r="G50" s="676"/>
      <c r="H50" s="217"/>
      <c r="I50" s="677"/>
      <c r="J50" s="677"/>
      <c r="K50" s="677"/>
      <c r="L50" s="677"/>
      <c r="M50" s="677"/>
      <c r="N50" s="676"/>
      <c r="O50" s="217"/>
    </row>
    <row r="51" spans="1:15" s="98" customFormat="1" ht="16.95" customHeight="1" x14ac:dyDescent="0.25">
      <c r="A51" s="713"/>
      <c r="B51" s="713"/>
      <c r="C51" s="662" t="s">
        <v>1056</v>
      </c>
      <c r="D51" s="715" t="s">
        <v>1057</v>
      </c>
      <c r="E51" s="676"/>
      <c r="F51" s="676"/>
      <c r="G51" s="676"/>
      <c r="H51" s="217"/>
      <c r="I51" s="217"/>
      <c r="J51" s="217"/>
      <c r="K51" s="217">
        <f>1512+táj1!K51</f>
        <v>1512</v>
      </c>
      <c r="L51" s="677"/>
      <c r="M51" s="677"/>
      <c r="N51" s="676"/>
      <c r="O51" s="217">
        <f t="shared" ref="O51:O57" si="7">SUM(E51:N51)</f>
        <v>1512</v>
      </c>
    </row>
    <row r="52" spans="1:15" s="98" customFormat="1" ht="21.75" customHeight="1" x14ac:dyDescent="0.25">
      <c r="A52" s="787"/>
      <c r="B52" s="787"/>
      <c r="C52" s="739" t="s">
        <v>1142</v>
      </c>
      <c r="D52" s="819"/>
      <c r="E52" s="785"/>
      <c r="F52" s="785"/>
      <c r="G52" s="785"/>
      <c r="H52" s="217"/>
      <c r="I52" s="785"/>
      <c r="J52" s="785"/>
      <c r="K52" s="785"/>
      <c r="L52" s="786"/>
      <c r="M52" s="786"/>
      <c r="N52" s="785"/>
      <c r="O52" s="217"/>
    </row>
    <row r="53" spans="1:15" s="98" customFormat="1" ht="16.95" customHeight="1" x14ac:dyDescent="0.25">
      <c r="A53" s="787"/>
      <c r="B53" s="787"/>
      <c r="C53" s="739" t="s">
        <v>1143</v>
      </c>
      <c r="D53" s="819" t="s">
        <v>1144</v>
      </c>
      <c r="E53" s="785"/>
      <c r="F53" s="785"/>
      <c r="G53" s="785"/>
      <c r="H53" s="217">
        <f>0+táj1!H53</f>
        <v>2031</v>
      </c>
      <c r="I53" s="785"/>
      <c r="J53" s="785"/>
      <c r="K53" s="785"/>
      <c r="L53" s="786"/>
      <c r="M53" s="786"/>
      <c r="N53" s="785"/>
      <c r="O53" s="217">
        <f t="shared" si="7"/>
        <v>2031</v>
      </c>
    </row>
    <row r="54" spans="1:15" s="98" customFormat="1" ht="16.95" customHeight="1" x14ac:dyDescent="0.25">
      <c r="A54" s="787"/>
      <c r="B54" s="787"/>
      <c r="C54" s="820" t="s">
        <v>507</v>
      </c>
      <c r="D54" s="819"/>
      <c r="E54" s="785"/>
      <c r="F54" s="785"/>
      <c r="G54" s="785"/>
      <c r="H54" s="217"/>
      <c r="I54" s="785"/>
      <c r="J54" s="785"/>
      <c r="K54" s="785"/>
      <c r="L54" s="786"/>
      <c r="M54" s="786"/>
      <c r="N54" s="785"/>
      <c r="O54" s="217"/>
    </row>
    <row r="55" spans="1:15" s="98" customFormat="1" ht="16.95" customHeight="1" x14ac:dyDescent="0.25">
      <c r="A55" s="787"/>
      <c r="B55" s="787"/>
      <c r="C55" s="820" t="s">
        <v>508</v>
      </c>
      <c r="D55" s="819" t="s">
        <v>1145</v>
      </c>
      <c r="E55" s="785"/>
      <c r="F55" s="785"/>
      <c r="G55" s="785"/>
      <c r="H55" s="217">
        <f>0+táj1!H55</f>
        <v>8890</v>
      </c>
      <c r="I55" s="785"/>
      <c r="J55" s="785"/>
      <c r="K55" s="785"/>
      <c r="L55" s="786"/>
      <c r="M55" s="786"/>
      <c r="N55" s="785"/>
      <c r="O55" s="217">
        <f t="shared" si="7"/>
        <v>8890</v>
      </c>
    </row>
    <row r="56" spans="1:15" s="98" customFormat="1" ht="16.95" customHeight="1" x14ac:dyDescent="0.25">
      <c r="A56" s="787"/>
      <c r="B56" s="787"/>
      <c r="C56" s="820" t="s">
        <v>512</v>
      </c>
      <c r="D56" s="819"/>
      <c r="E56" s="785"/>
      <c r="F56" s="785"/>
      <c r="G56" s="785"/>
      <c r="H56" s="217"/>
      <c r="I56" s="785"/>
      <c r="J56" s="785"/>
      <c r="K56" s="785"/>
      <c r="L56" s="786"/>
      <c r="M56" s="786"/>
      <c r="N56" s="785"/>
      <c r="O56" s="217"/>
    </row>
    <row r="57" spans="1:15" s="98" customFormat="1" ht="16.95" customHeight="1" x14ac:dyDescent="0.25">
      <c r="A57" s="787"/>
      <c r="B57" s="787"/>
      <c r="C57" s="739" t="s">
        <v>1146</v>
      </c>
      <c r="D57" s="819" t="s">
        <v>1147</v>
      </c>
      <c r="E57" s="785"/>
      <c r="F57" s="785"/>
      <c r="G57" s="785"/>
      <c r="H57" s="217">
        <f>0+táj1!H57</f>
        <v>2752</v>
      </c>
      <c r="I57" s="785"/>
      <c r="J57" s="785"/>
      <c r="K57" s="785"/>
      <c r="L57" s="786"/>
      <c r="M57" s="786"/>
      <c r="N57" s="785"/>
      <c r="O57" s="217">
        <f t="shared" si="7"/>
        <v>2752</v>
      </c>
    </row>
    <row r="58" spans="1:15" s="98" customFormat="1" ht="12.9" customHeight="1" x14ac:dyDescent="0.25">
      <c r="A58" s="112"/>
      <c r="B58" s="112"/>
      <c r="C58" s="394" t="s">
        <v>233</v>
      </c>
      <c r="D58" s="112"/>
      <c r="E58" s="256">
        <f>SUM(E37:E57)</f>
        <v>0</v>
      </c>
      <c r="F58" s="256">
        <f t="shared" ref="F58:O58" si="8">SUM(F37:F57)</f>
        <v>0</v>
      </c>
      <c r="G58" s="256">
        <f t="shared" si="8"/>
        <v>0</v>
      </c>
      <c r="H58" s="256">
        <f t="shared" si="8"/>
        <v>707084</v>
      </c>
      <c r="I58" s="256">
        <f t="shared" si="8"/>
        <v>0</v>
      </c>
      <c r="J58" s="256">
        <f t="shared" si="8"/>
        <v>0</v>
      </c>
      <c r="K58" s="256">
        <f t="shared" si="8"/>
        <v>1512</v>
      </c>
      <c r="L58" s="256">
        <f t="shared" si="8"/>
        <v>0</v>
      </c>
      <c r="M58" s="256">
        <f t="shared" si="8"/>
        <v>30856</v>
      </c>
      <c r="N58" s="256">
        <f t="shared" si="8"/>
        <v>0</v>
      </c>
      <c r="O58" s="256">
        <f t="shared" si="8"/>
        <v>739452</v>
      </c>
    </row>
    <row r="59" spans="1:15" s="98" customFormat="1" ht="12.9" customHeight="1" x14ac:dyDescent="0.25">
      <c r="A59" s="106">
        <v>1</v>
      </c>
      <c r="B59" s="106" t="s">
        <v>84</v>
      </c>
      <c r="C59" s="225" t="s">
        <v>116</v>
      </c>
      <c r="D59" s="113"/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7"/>
    </row>
    <row r="60" spans="1:15" s="98" customFormat="1" ht="27" customHeight="1" x14ac:dyDescent="0.25">
      <c r="A60" s="106"/>
      <c r="B60" s="106"/>
      <c r="C60" s="246" t="s">
        <v>234</v>
      </c>
      <c r="D60" s="258"/>
      <c r="E60" s="350"/>
      <c r="F60" s="217"/>
      <c r="G60" s="217"/>
      <c r="H60" s="217"/>
      <c r="I60" s="217"/>
      <c r="J60" s="217"/>
      <c r="K60" s="217"/>
      <c r="L60" s="217"/>
      <c r="M60" s="217"/>
      <c r="N60" s="217"/>
      <c r="O60" s="217"/>
    </row>
    <row r="61" spans="1:15" s="98" customFormat="1" ht="26.25" customHeight="1" x14ac:dyDescent="0.25">
      <c r="A61" s="106"/>
      <c r="B61" s="106"/>
      <c r="C61" s="231" t="s">
        <v>745</v>
      </c>
      <c r="D61" s="269">
        <v>161909</v>
      </c>
      <c r="E61" s="252"/>
      <c r="F61" s="252"/>
      <c r="G61" s="252"/>
      <c r="H61" s="252">
        <f>66340+táj1!H61</f>
        <v>66340</v>
      </c>
      <c r="I61" s="252"/>
      <c r="J61" s="252"/>
      <c r="K61" s="252"/>
      <c r="L61" s="252"/>
      <c r="M61" s="252"/>
      <c r="N61" s="252"/>
      <c r="O61" s="217">
        <f>SUM(E61:N61)</f>
        <v>66340</v>
      </c>
    </row>
    <row r="62" spans="1:15" s="98" customFormat="1" ht="23.25" customHeight="1" x14ac:dyDescent="0.25">
      <c r="A62" s="106"/>
      <c r="B62" s="106"/>
      <c r="C62" s="231" t="s">
        <v>732</v>
      </c>
      <c r="D62" s="269">
        <v>164106</v>
      </c>
      <c r="E62" s="252"/>
      <c r="F62" s="252"/>
      <c r="G62" s="252"/>
      <c r="H62" s="252">
        <f>557540+táj1!H62</f>
        <v>557540</v>
      </c>
      <c r="I62" s="252"/>
      <c r="J62" s="252"/>
      <c r="K62" s="252"/>
      <c r="L62" s="252"/>
      <c r="M62" s="252">
        <f>86046+táj1!M62</f>
        <v>86046</v>
      </c>
      <c r="N62" s="252"/>
      <c r="O62" s="217">
        <f>SUM(E62:N62)</f>
        <v>643586</v>
      </c>
    </row>
    <row r="63" spans="1:15" s="98" customFormat="1" ht="25.95" customHeight="1" x14ac:dyDescent="0.25">
      <c r="A63" s="106"/>
      <c r="B63" s="106"/>
      <c r="C63" s="231" t="s">
        <v>733</v>
      </c>
      <c r="D63" s="269">
        <v>164204</v>
      </c>
      <c r="E63" s="252"/>
      <c r="F63" s="252"/>
      <c r="G63" s="252"/>
      <c r="H63" s="252">
        <f>226346+táj1!H63</f>
        <v>226346</v>
      </c>
      <c r="I63" s="252"/>
      <c r="J63" s="252"/>
      <c r="K63" s="252"/>
      <c r="L63" s="252"/>
      <c r="M63" s="252">
        <f>17263+táj1!M63</f>
        <v>17263</v>
      </c>
      <c r="N63" s="252"/>
      <c r="O63" s="217">
        <f>SUM(E63:N63)</f>
        <v>243609</v>
      </c>
    </row>
    <row r="64" spans="1:15" s="98" customFormat="1" ht="40.950000000000003" customHeight="1" x14ac:dyDescent="0.25">
      <c r="A64" s="106"/>
      <c r="B64" s="106"/>
      <c r="C64" s="250" t="s">
        <v>235</v>
      </c>
      <c r="D64" s="269">
        <v>164205</v>
      </c>
      <c r="E64" s="252">
        <f>4949+táj1!E64</f>
        <v>4949</v>
      </c>
      <c r="F64" s="252">
        <f>1466+táj1!F64</f>
        <v>1466</v>
      </c>
      <c r="G64" s="252"/>
      <c r="H64" s="252">
        <f>2956+táj1!H64</f>
        <v>2956</v>
      </c>
      <c r="I64" s="252"/>
      <c r="J64" s="252"/>
      <c r="K64" s="252"/>
      <c r="L64" s="252"/>
      <c r="M64" s="252">
        <f>9484+táj1!M64</f>
        <v>9484</v>
      </c>
      <c r="N64" s="771"/>
      <c r="O64" s="217">
        <f>SUM(E64:N64)</f>
        <v>18855</v>
      </c>
    </row>
    <row r="65" spans="1:15" s="98" customFormat="1" ht="37.5" customHeight="1" x14ac:dyDescent="0.25">
      <c r="A65" s="106"/>
      <c r="B65" s="106"/>
      <c r="C65" s="250" t="s">
        <v>236</v>
      </c>
      <c r="D65" s="269">
        <v>164206</v>
      </c>
      <c r="E65" s="252">
        <f>500+táj1!E65</f>
        <v>500</v>
      </c>
      <c r="F65" s="252">
        <f>2315+táj1!F65</f>
        <v>2315</v>
      </c>
      <c r="G65" s="252"/>
      <c r="H65" s="252"/>
      <c r="I65" s="252"/>
      <c r="J65" s="252"/>
      <c r="K65" s="252"/>
      <c r="L65" s="252"/>
      <c r="M65" s="252">
        <f>135+táj1!M65</f>
        <v>135</v>
      </c>
      <c r="N65" s="252"/>
      <c r="O65" s="217">
        <f t="shared" ref="O65:O67" si="9">SUM(E65:N65)</f>
        <v>2950</v>
      </c>
    </row>
    <row r="66" spans="1:15" s="98" customFormat="1" ht="24" customHeight="1" x14ac:dyDescent="0.25">
      <c r="A66" s="378"/>
      <c r="B66" s="378"/>
      <c r="C66" s="395" t="s">
        <v>881</v>
      </c>
      <c r="D66" s="380">
        <v>164109</v>
      </c>
      <c r="E66" s="381"/>
      <c r="F66" s="252">
        <f>19173+táj1!F66</f>
        <v>19173</v>
      </c>
      <c r="G66" s="381"/>
      <c r="H66" s="252"/>
      <c r="I66" s="381"/>
      <c r="J66" s="381"/>
      <c r="K66" s="381"/>
      <c r="L66" s="381"/>
      <c r="M66" s="252"/>
      <c r="N66" s="381"/>
      <c r="O66" s="217">
        <f t="shared" si="9"/>
        <v>19173</v>
      </c>
    </row>
    <row r="67" spans="1:15" s="98" customFormat="1" ht="38.4" customHeight="1" x14ac:dyDescent="0.25">
      <c r="A67" s="378"/>
      <c r="B67" s="378"/>
      <c r="C67" s="395" t="s">
        <v>914</v>
      </c>
      <c r="D67" s="380">
        <v>164207</v>
      </c>
      <c r="E67" s="381"/>
      <c r="F67" s="252">
        <f>163853+táj1!F67</f>
        <v>163853</v>
      </c>
      <c r="G67" s="381"/>
      <c r="H67" s="252">
        <f>284897+táj1!H67</f>
        <v>284897</v>
      </c>
      <c r="I67" s="381"/>
      <c r="J67" s="381"/>
      <c r="K67" s="381"/>
      <c r="L67" s="381"/>
      <c r="M67" s="252">
        <f>597354+táj1!M67</f>
        <v>597354</v>
      </c>
      <c r="N67" s="381"/>
      <c r="O67" s="217">
        <f t="shared" si="9"/>
        <v>1046104</v>
      </c>
    </row>
    <row r="68" spans="1:15" s="98" customFormat="1" ht="30" customHeight="1" x14ac:dyDescent="0.25">
      <c r="A68" s="106"/>
      <c r="B68" s="106"/>
      <c r="C68" s="246" t="s">
        <v>237</v>
      </c>
      <c r="D68" s="351"/>
      <c r="E68" s="252"/>
      <c r="F68" s="252"/>
      <c r="G68" s="252"/>
      <c r="H68" s="252"/>
      <c r="I68" s="252"/>
      <c r="J68" s="252"/>
      <c r="K68" s="252"/>
      <c r="L68" s="252"/>
      <c r="M68" s="252"/>
      <c r="N68" s="252"/>
      <c r="O68" s="217"/>
    </row>
    <row r="69" spans="1:15" s="98" customFormat="1" ht="19.5" customHeight="1" x14ac:dyDescent="0.25">
      <c r="A69" s="106"/>
      <c r="B69" s="106"/>
      <c r="C69" s="391" t="s">
        <v>238</v>
      </c>
      <c r="D69" s="251">
        <v>162607</v>
      </c>
      <c r="E69" s="252"/>
      <c r="F69" s="252"/>
      <c r="G69" s="252"/>
      <c r="H69" s="252"/>
      <c r="I69" s="252"/>
      <c r="J69" s="252"/>
      <c r="K69" s="252"/>
      <c r="L69" s="252"/>
      <c r="M69" s="252">
        <f>1095+táj1!M69</f>
        <v>1095</v>
      </c>
      <c r="N69" s="252"/>
      <c r="O69" s="217">
        <f t="shared" ref="O69:O111" si="10">SUM(E69:N69)</f>
        <v>1095</v>
      </c>
    </row>
    <row r="70" spans="1:15" s="98" customFormat="1" ht="25.5" customHeight="1" x14ac:dyDescent="0.25">
      <c r="A70" s="106"/>
      <c r="B70" s="106"/>
      <c r="C70" s="107" t="s">
        <v>239</v>
      </c>
      <c r="D70" s="251">
        <v>162640</v>
      </c>
      <c r="E70" s="252"/>
      <c r="F70" s="252"/>
      <c r="G70" s="252"/>
      <c r="H70" s="252">
        <f>0+táj1!H70</f>
        <v>1194</v>
      </c>
      <c r="I70" s="252"/>
      <c r="J70" s="252"/>
      <c r="K70" s="252"/>
      <c r="L70" s="252"/>
      <c r="M70" s="252">
        <f>137601+táj1!M70</f>
        <v>137601</v>
      </c>
      <c r="N70" s="252"/>
      <c r="O70" s="217">
        <f t="shared" si="10"/>
        <v>138795</v>
      </c>
    </row>
    <row r="71" spans="1:15" s="98" customFormat="1" ht="73.2" customHeight="1" x14ac:dyDescent="0.25">
      <c r="A71" s="106"/>
      <c r="B71" s="106"/>
      <c r="C71" s="386" t="s">
        <v>240</v>
      </c>
      <c r="D71" s="248">
        <v>163607</v>
      </c>
      <c r="E71" s="252"/>
      <c r="F71" s="252">
        <f>0+táj1!F71</f>
        <v>260808</v>
      </c>
      <c r="G71" s="252"/>
      <c r="H71" s="252"/>
      <c r="I71" s="252"/>
      <c r="J71" s="252"/>
      <c r="K71" s="252"/>
      <c r="L71" s="252"/>
      <c r="M71" s="252">
        <f>1812991+táj1!M71</f>
        <v>1812991</v>
      </c>
      <c r="N71" s="252"/>
      <c r="O71" s="217">
        <f t="shared" si="10"/>
        <v>2073799</v>
      </c>
    </row>
    <row r="72" spans="1:15" s="98" customFormat="1" ht="37.5" customHeight="1" x14ac:dyDescent="0.25">
      <c r="A72" s="106"/>
      <c r="B72" s="106"/>
      <c r="C72" s="386" t="s">
        <v>241</v>
      </c>
      <c r="D72" s="248">
        <v>163608</v>
      </c>
      <c r="E72" s="252"/>
      <c r="F72" s="252"/>
      <c r="G72" s="252"/>
      <c r="H72" s="252"/>
      <c r="I72" s="252"/>
      <c r="J72" s="252"/>
      <c r="K72" s="252"/>
      <c r="L72" s="252"/>
      <c r="M72" s="252">
        <f>4102+táj1!M72</f>
        <v>4102</v>
      </c>
      <c r="N72" s="252"/>
      <c r="O72" s="217">
        <f t="shared" si="10"/>
        <v>4102</v>
      </c>
    </row>
    <row r="73" spans="1:15" s="98" customFormat="1" ht="37.5" customHeight="1" x14ac:dyDescent="0.25">
      <c r="A73" s="106"/>
      <c r="B73" s="106"/>
      <c r="C73" s="386" t="s">
        <v>242</v>
      </c>
      <c r="D73" s="248">
        <v>163609</v>
      </c>
      <c r="E73" s="252"/>
      <c r="F73" s="252"/>
      <c r="G73" s="252"/>
      <c r="H73" s="252"/>
      <c r="I73" s="252"/>
      <c r="J73" s="252"/>
      <c r="K73" s="252"/>
      <c r="L73" s="252"/>
      <c r="M73" s="252">
        <f>19178+táj1!M73</f>
        <v>19178</v>
      </c>
      <c r="N73" s="252"/>
      <c r="O73" s="217">
        <f t="shared" si="10"/>
        <v>19178</v>
      </c>
    </row>
    <row r="74" spans="1:15" s="98" customFormat="1" ht="42" customHeight="1" x14ac:dyDescent="0.25">
      <c r="A74" s="106"/>
      <c r="B74" s="106"/>
      <c r="C74" s="387" t="s">
        <v>243</v>
      </c>
      <c r="D74" s="248">
        <v>163611</v>
      </c>
      <c r="E74" s="252"/>
      <c r="F74" s="252"/>
      <c r="G74" s="252"/>
      <c r="H74" s="507">
        <f>178+táj1!H74</f>
        <v>178</v>
      </c>
      <c r="I74" s="252"/>
      <c r="J74" s="252"/>
      <c r="K74" s="252"/>
      <c r="L74" s="252"/>
      <c r="M74" s="252">
        <f>111984+táj1!M74</f>
        <v>111984</v>
      </c>
      <c r="N74" s="252"/>
      <c r="O74" s="217">
        <f t="shared" si="10"/>
        <v>112162</v>
      </c>
    </row>
    <row r="75" spans="1:15" s="98" customFormat="1" ht="49.2" customHeight="1" x14ac:dyDescent="0.25">
      <c r="A75" s="460"/>
      <c r="B75" s="460"/>
      <c r="C75" s="510" t="s">
        <v>830</v>
      </c>
      <c r="D75" s="511">
        <v>163652</v>
      </c>
      <c r="E75" s="507"/>
      <c r="F75" s="507">
        <f>180986+táj1!F75</f>
        <v>180986</v>
      </c>
      <c r="G75" s="507"/>
      <c r="H75" s="507">
        <f>119469+táj1!H75</f>
        <v>119469</v>
      </c>
      <c r="I75" s="507"/>
      <c r="J75" s="507"/>
      <c r="K75" s="507"/>
      <c r="L75" s="507"/>
      <c r="M75" s="252">
        <f>310310+táj1!M75</f>
        <v>310310</v>
      </c>
      <c r="N75" s="507"/>
      <c r="O75" s="217">
        <f t="shared" si="10"/>
        <v>610765</v>
      </c>
    </row>
    <row r="76" spans="1:15" s="98" customFormat="1" ht="40.950000000000003" customHeight="1" x14ac:dyDescent="0.25">
      <c r="A76" s="106"/>
      <c r="B76" s="106"/>
      <c r="C76" s="388" t="s">
        <v>244</v>
      </c>
      <c r="D76" s="248">
        <v>163612</v>
      </c>
      <c r="E76" s="252"/>
      <c r="F76" s="507">
        <f>196209+táj1!F76</f>
        <v>112534</v>
      </c>
      <c r="G76" s="252"/>
      <c r="H76" s="252"/>
      <c r="I76" s="252"/>
      <c r="J76" s="252"/>
      <c r="K76" s="252"/>
      <c r="L76" s="252"/>
      <c r="M76" s="252">
        <f>25895+táj1!M76</f>
        <v>25895</v>
      </c>
      <c r="N76" s="252"/>
      <c r="O76" s="217">
        <f t="shared" si="10"/>
        <v>138429</v>
      </c>
    </row>
    <row r="77" spans="1:15" s="98" customFormat="1" ht="42" customHeight="1" x14ac:dyDescent="0.25">
      <c r="A77" s="106"/>
      <c r="B77" s="106"/>
      <c r="C77" s="483" t="s">
        <v>746</v>
      </c>
      <c r="D77" s="248">
        <v>163613</v>
      </c>
      <c r="E77" s="252"/>
      <c r="F77" s="507">
        <f>4647+táj1!F77</f>
        <v>4647</v>
      </c>
      <c r="G77" s="252"/>
      <c r="H77" s="252">
        <f>3107+táj1!H77</f>
        <v>3400</v>
      </c>
      <c r="I77" s="252"/>
      <c r="J77" s="252"/>
      <c r="K77" s="252"/>
      <c r="L77" s="252"/>
      <c r="M77" s="252">
        <f>6857+táj1!M77</f>
        <v>6857</v>
      </c>
      <c r="N77" s="252"/>
      <c r="O77" s="217">
        <f t="shared" si="10"/>
        <v>14904</v>
      </c>
    </row>
    <row r="78" spans="1:15" s="98" customFormat="1" ht="46.2" customHeight="1" x14ac:dyDescent="0.25">
      <c r="A78" s="509"/>
      <c r="B78" s="509"/>
      <c r="C78" s="773" t="s">
        <v>950</v>
      </c>
      <c r="D78" s="506">
        <v>163615</v>
      </c>
      <c r="E78" s="507"/>
      <c r="F78" s="507"/>
      <c r="G78" s="507"/>
      <c r="H78" s="507"/>
      <c r="I78" s="507"/>
      <c r="J78" s="507"/>
      <c r="K78" s="507"/>
      <c r="L78" s="507"/>
      <c r="M78" s="252">
        <f>17+táj1!M78</f>
        <v>17</v>
      </c>
      <c r="N78" s="507"/>
      <c r="O78" s="217">
        <f t="shared" si="10"/>
        <v>17</v>
      </c>
    </row>
    <row r="79" spans="1:15" s="98" customFormat="1" ht="37.5" customHeight="1" x14ac:dyDescent="0.25">
      <c r="A79" s="106"/>
      <c r="B79" s="106"/>
      <c r="C79" s="483" t="s">
        <v>245</v>
      </c>
      <c r="D79" s="248">
        <v>163616</v>
      </c>
      <c r="E79" s="252"/>
      <c r="F79" s="252"/>
      <c r="G79" s="252"/>
      <c r="H79" s="252"/>
      <c r="I79" s="252"/>
      <c r="J79" s="252"/>
      <c r="K79" s="252"/>
      <c r="L79" s="252"/>
      <c r="M79" s="252">
        <f>8400+táj1!M79</f>
        <v>8400</v>
      </c>
      <c r="N79" s="252"/>
      <c r="O79" s="217">
        <f t="shared" si="10"/>
        <v>8400</v>
      </c>
    </row>
    <row r="80" spans="1:15" s="98" customFormat="1" ht="27" customHeight="1" x14ac:dyDescent="0.25">
      <c r="A80" s="106"/>
      <c r="B80" s="106"/>
      <c r="C80" s="389" t="s">
        <v>829</v>
      </c>
      <c r="D80" s="251">
        <v>163625</v>
      </c>
      <c r="E80" s="252"/>
      <c r="F80" s="252"/>
      <c r="G80" s="252"/>
      <c r="H80" s="252">
        <f>0+táj1!H80</f>
        <v>0</v>
      </c>
      <c r="I80" s="252"/>
      <c r="J80" s="252"/>
      <c r="K80" s="252"/>
      <c r="L80" s="252"/>
      <c r="M80" s="252">
        <f>996821+táj1!M80</f>
        <v>996821</v>
      </c>
      <c r="N80" s="252"/>
      <c r="O80" s="217">
        <f t="shared" si="10"/>
        <v>996821</v>
      </c>
    </row>
    <row r="81" spans="1:15" s="98" customFormat="1" ht="38.25" customHeight="1" x14ac:dyDescent="0.25">
      <c r="A81" s="106"/>
      <c r="B81" s="106"/>
      <c r="C81" s="107" t="s">
        <v>246</v>
      </c>
      <c r="D81" s="251">
        <v>163626</v>
      </c>
      <c r="E81" s="252"/>
      <c r="F81" s="252"/>
      <c r="G81" s="252"/>
      <c r="H81" s="252">
        <f>338+táj1!H81</f>
        <v>338</v>
      </c>
      <c r="I81" s="252"/>
      <c r="J81" s="252"/>
      <c r="K81" s="252"/>
      <c r="L81" s="252"/>
      <c r="M81" s="252">
        <f>16176+táj1!M81</f>
        <v>16176</v>
      </c>
      <c r="N81" s="252"/>
      <c r="O81" s="217">
        <f t="shared" si="10"/>
        <v>16514</v>
      </c>
    </row>
    <row r="82" spans="1:15" s="98" customFormat="1" ht="30.75" customHeight="1" x14ac:dyDescent="0.25">
      <c r="A82" s="106"/>
      <c r="B82" s="106"/>
      <c r="C82" s="484" t="s">
        <v>247</v>
      </c>
      <c r="D82" s="251">
        <v>163629</v>
      </c>
      <c r="E82" s="252"/>
      <c r="F82" s="252"/>
      <c r="G82" s="252"/>
      <c r="H82" s="252"/>
      <c r="I82" s="252"/>
      <c r="J82" s="252"/>
      <c r="K82" s="252"/>
      <c r="L82" s="252"/>
      <c r="M82" s="252">
        <f>6593+táj1!M82</f>
        <v>6593</v>
      </c>
      <c r="N82" s="252"/>
      <c r="O82" s="217">
        <f t="shared" si="10"/>
        <v>6593</v>
      </c>
    </row>
    <row r="83" spans="1:15" s="98" customFormat="1" ht="41.25" customHeight="1" x14ac:dyDescent="0.25">
      <c r="A83" s="106"/>
      <c r="B83" s="106"/>
      <c r="C83" s="109" t="s">
        <v>248</v>
      </c>
      <c r="D83" s="251">
        <v>163633</v>
      </c>
      <c r="E83" s="252"/>
      <c r="F83" s="252"/>
      <c r="G83" s="252"/>
      <c r="H83" s="252"/>
      <c r="I83" s="252"/>
      <c r="J83" s="252"/>
      <c r="K83" s="252"/>
      <c r="L83" s="252"/>
      <c r="M83" s="252">
        <f>52849+táj1!M83</f>
        <v>52849</v>
      </c>
      <c r="N83" s="252"/>
      <c r="O83" s="217">
        <f t="shared" si="10"/>
        <v>52849</v>
      </c>
    </row>
    <row r="84" spans="1:15" s="98" customFormat="1" ht="50.25" customHeight="1" x14ac:dyDescent="0.25">
      <c r="A84" s="106"/>
      <c r="B84" s="106"/>
      <c r="C84" s="107" t="s">
        <v>249</v>
      </c>
      <c r="D84" s="251">
        <v>163637</v>
      </c>
      <c r="E84" s="252"/>
      <c r="F84" s="252">
        <f>11869+táj1!F84</f>
        <v>11869</v>
      </c>
      <c r="G84" s="252"/>
      <c r="H84" s="252">
        <f>5214+táj1!H84</f>
        <v>6337</v>
      </c>
      <c r="I84" s="252"/>
      <c r="J84" s="252"/>
      <c r="K84" s="252"/>
      <c r="L84" s="252"/>
      <c r="M84" s="252">
        <f>7440+táj1!M84</f>
        <v>7440</v>
      </c>
      <c r="N84" s="252"/>
      <c r="O84" s="217">
        <f t="shared" si="10"/>
        <v>25646</v>
      </c>
    </row>
    <row r="85" spans="1:15" s="98" customFormat="1" ht="30" customHeight="1" x14ac:dyDescent="0.25">
      <c r="A85" s="106"/>
      <c r="B85" s="106"/>
      <c r="C85" s="109" t="s">
        <v>250</v>
      </c>
      <c r="D85" s="251">
        <v>163638</v>
      </c>
      <c r="E85" s="252"/>
      <c r="F85" s="252"/>
      <c r="G85" s="252"/>
      <c r="H85" s="252"/>
      <c r="I85" s="252"/>
      <c r="J85" s="252"/>
      <c r="K85" s="252"/>
      <c r="L85" s="252"/>
      <c r="M85" s="252">
        <f>3777+táj1!M85</f>
        <v>3777</v>
      </c>
      <c r="N85" s="252"/>
      <c r="O85" s="217">
        <f t="shared" si="10"/>
        <v>3777</v>
      </c>
    </row>
    <row r="86" spans="1:15" s="98" customFormat="1" ht="28.5" customHeight="1" x14ac:dyDescent="0.25">
      <c r="A86" s="106"/>
      <c r="B86" s="106"/>
      <c r="C86" s="109" t="s">
        <v>251</v>
      </c>
      <c r="D86" s="251">
        <v>163639</v>
      </c>
      <c r="E86" s="252"/>
      <c r="F86" s="252"/>
      <c r="G86" s="252"/>
      <c r="H86" s="252"/>
      <c r="I86" s="252"/>
      <c r="J86" s="252"/>
      <c r="K86" s="252"/>
      <c r="L86" s="252"/>
      <c r="M86" s="252">
        <f>3042+táj1!M86</f>
        <v>3042</v>
      </c>
      <c r="N86" s="252"/>
      <c r="O86" s="217">
        <f t="shared" si="10"/>
        <v>3042</v>
      </c>
    </row>
    <row r="87" spans="1:15" s="98" customFormat="1" ht="28.5" customHeight="1" x14ac:dyDescent="0.25">
      <c r="A87" s="106"/>
      <c r="B87" s="106"/>
      <c r="C87" s="109" t="s">
        <v>252</v>
      </c>
      <c r="D87" s="251">
        <v>163640</v>
      </c>
      <c r="E87" s="252"/>
      <c r="F87" s="252"/>
      <c r="G87" s="252"/>
      <c r="H87" s="252"/>
      <c r="I87" s="252"/>
      <c r="J87" s="252"/>
      <c r="K87" s="252"/>
      <c r="L87" s="252"/>
      <c r="M87" s="252">
        <f>1211+táj1!M87</f>
        <v>1211</v>
      </c>
      <c r="N87" s="252"/>
      <c r="O87" s="217">
        <f t="shared" si="10"/>
        <v>1211</v>
      </c>
    </row>
    <row r="88" spans="1:15" s="98" customFormat="1" ht="28.5" customHeight="1" x14ac:dyDescent="0.25">
      <c r="A88" s="106"/>
      <c r="B88" s="106"/>
      <c r="C88" s="111" t="s">
        <v>747</v>
      </c>
      <c r="D88" s="253">
        <v>163648</v>
      </c>
      <c r="E88" s="252"/>
      <c r="F88" s="252"/>
      <c r="G88" s="252"/>
      <c r="H88" s="252"/>
      <c r="I88" s="252"/>
      <c r="J88" s="252"/>
      <c r="K88" s="252"/>
      <c r="L88" s="252"/>
      <c r="M88" s="252">
        <f>189+táj1!M88</f>
        <v>189</v>
      </c>
      <c r="N88" s="252"/>
      <c r="O88" s="217">
        <f t="shared" si="10"/>
        <v>189</v>
      </c>
    </row>
    <row r="89" spans="1:15" s="98" customFormat="1" ht="27" customHeight="1" x14ac:dyDescent="0.25">
      <c r="A89" s="106"/>
      <c r="B89" s="106"/>
      <c r="C89" s="513" t="s">
        <v>951</v>
      </c>
      <c r="D89" s="514">
        <v>163657</v>
      </c>
      <c r="E89" s="252">
        <f>23409+táj1!E89</f>
        <v>23409</v>
      </c>
      <c r="F89" s="252">
        <f>0+táj1!F89</f>
        <v>0</v>
      </c>
      <c r="G89" s="252"/>
      <c r="H89" s="252"/>
      <c r="I89" s="252"/>
      <c r="J89" s="252"/>
      <c r="K89" s="252"/>
      <c r="L89" s="252"/>
      <c r="M89" s="252">
        <f>17964+táj1!M89</f>
        <v>17964</v>
      </c>
      <c r="N89" s="252"/>
      <c r="O89" s="217">
        <f t="shared" si="10"/>
        <v>41373</v>
      </c>
    </row>
    <row r="90" spans="1:15" s="98" customFormat="1" ht="21.6" customHeight="1" x14ac:dyDescent="0.25">
      <c r="A90" s="106"/>
      <c r="B90" s="106"/>
      <c r="C90" s="517" t="s">
        <v>952</v>
      </c>
      <c r="D90" s="514">
        <v>163658</v>
      </c>
      <c r="E90" s="252">
        <f>404+táj1!E90</f>
        <v>404</v>
      </c>
      <c r="F90" s="252"/>
      <c r="G90" s="252"/>
      <c r="H90" s="252"/>
      <c r="I90" s="252"/>
      <c r="J90" s="252"/>
      <c r="K90" s="252"/>
      <c r="L90" s="252"/>
      <c r="M90" s="252">
        <f>404+táj1!M90</f>
        <v>404</v>
      </c>
      <c r="N90" s="252"/>
      <c r="O90" s="217">
        <f t="shared" si="10"/>
        <v>808</v>
      </c>
    </row>
    <row r="91" spans="1:15" s="98" customFormat="1" ht="26.4" customHeight="1" x14ac:dyDescent="0.25">
      <c r="A91" s="509"/>
      <c r="B91" s="509"/>
      <c r="C91" s="517" t="s">
        <v>953</v>
      </c>
      <c r="D91" s="514">
        <v>163662</v>
      </c>
      <c r="E91" s="507"/>
      <c r="F91" s="507"/>
      <c r="G91" s="507"/>
      <c r="H91" s="507"/>
      <c r="I91" s="507"/>
      <c r="J91" s="507"/>
      <c r="K91" s="507"/>
      <c r="L91" s="507"/>
      <c r="M91" s="252">
        <f>933861+táj1!M91</f>
        <v>933861</v>
      </c>
      <c r="N91" s="507"/>
      <c r="O91" s="217">
        <f t="shared" si="10"/>
        <v>933861</v>
      </c>
    </row>
    <row r="92" spans="1:15" s="98" customFormat="1" ht="44.4" customHeight="1" x14ac:dyDescent="0.25">
      <c r="A92" s="106"/>
      <c r="B92" s="106"/>
      <c r="C92" s="391" t="s">
        <v>253</v>
      </c>
      <c r="D92" s="251">
        <v>163621</v>
      </c>
      <c r="E92" s="252"/>
      <c r="F92" s="252"/>
      <c r="G92" s="252"/>
      <c r="H92" s="252">
        <f>6619+táj1!H92</f>
        <v>6619</v>
      </c>
      <c r="I92" s="252"/>
      <c r="J92" s="252"/>
      <c r="K92" s="252"/>
      <c r="L92" s="252"/>
      <c r="M92" s="252">
        <f>11789+táj1!M92</f>
        <v>11789</v>
      </c>
      <c r="N92" s="252">
        <f>906000+táj1!N92</f>
        <v>906000</v>
      </c>
      <c r="O92" s="217">
        <f t="shared" si="10"/>
        <v>924408</v>
      </c>
    </row>
    <row r="93" spans="1:15" s="98" customFormat="1" ht="29.25" customHeight="1" x14ac:dyDescent="0.25">
      <c r="A93" s="106"/>
      <c r="B93" s="106"/>
      <c r="C93" s="107" t="s">
        <v>254</v>
      </c>
      <c r="D93" s="251">
        <v>163702</v>
      </c>
      <c r="E93" s="252"/>
      <c r="F93" s="252"/>
      <c r="G93" s="252"/>
      <c r="H93" s="252">
        <f>110162+táj1!H93</f>
        <v>128931</v>
      </c>
      <c r="I93" s="252"/>
      <c r="J93" s="252"/>
      <c r="K93" s="252"/>
      <c r="L93" s="252"/>
      <c r="M93" s="252">
        <f>22525+táj1!M93</f>
        <v>22525</v>
      </c>
      <c r="N93" s="252">
        <f>859000+táj1!N93</f>
        <v>859000</v>
      </c>
      <c r="O93" s="217">
        <f t="shared" si="10"/>
        <v>1010456</v>
      </c>
    </row>
    <row r="94" spans="1:15" s="98" customFormat="1" ht="29.25" customHeight="1" x14ac:dyDescent="0.25">
      <c r="A94" s="106"/>
      <c r="B94" s="106"/>
      <c r="C94" s="107" t="s">
        <v>255</v>
      </c>
      <c r="D94" s="251">
        <v>163641</v>
      </c>
      <c r="E94" s="252"/>
      <c r="F94" s="252"/>
      <c r="G94" s="252"/>
      <c r="H94" s="252"/>
      <c r="I94" s="252"/>
      <c r="J94" s="252"/>
      <c r="K94" s="252"/>
      <c r="L94" s="252"/>
      <c r="M94" s="252">
        <f>495+táj1!M94</f>
        <v>495</v>
      </c>
      <c r="N94" s="252"/>
      <c r="O94" s="217">
        <f t="shared" si="10"/>
        <v>495</v>
      </c>
    </row>
    <row r="95" spans="1:15" s="98" customFormat="1" ht="29.25" customHeight="1" x14ac:dyDescent="0.25">
      <c r="A95" s="106"/>
      <c r="B95" s="106"/>
      <c r="C95" s="392" t="s">
        <v>256</v>
      </c>
      <c r="D95" s="251">
        <v>163644</v>
      </c>
      <c r="E95" s="252"/>
      <c r="F95" s="252"/>
      <c r="G95" s="252"/>
      <c r="H95" s="252">
        <f>0+táj1!H95</f>
        <v>8582</v>
      </c>
      <c r="I95" s="252"/>
      <c r="J95" s="252"/>
      <c r="K95" s="252"/>
      <c r="L95" s="252"/>
      <c r="M95" s="252">
        <f>177143+táj1!M95</f>
        <v>177143</v>
      </c>
      <c r="N95" s="252"/>
      <c r="O95" s="217">
        <f t="shared" si="10"/>
        <v>185725</v>
      </c>
    </row>
    <row r="96" spans="1:15" s="98" customFormat="1" ht="29.4" customHeight="1" x14ac:dyDescent="0.25">
      <c r="A96" s="106"/>
      <c r="B96" s="106"/>
      <c r="C96" s="109" t="s">
        <v>879</v>
      </c>
      <c r="D96" s="254">
        <v>163650</v>
      </c>
      <c r="E96" s="252"/>
      <c r="F96" s="252"/>
      <c r="G96" s="252"/>
      <c r="H96" s="252">
        <f>305322+táj1!H96</f>
        <v>461107</v>
      </c>
      <c r="I96" s="252"/>
      <c r="J96" s="252"/>
      <c r="K96" s="252"/>
      <c r="L96" s="252"/>
      <c r="M96" s="252">
        <f>44803+táj1!M96</f>
        <v>44803</v>
      </c>
      <c r="N96" s="252">
        <f>9882000+táj1!N96</f>
        <v>9882000</v>
      </c>
      <c r="O96" s="217">
        <f t="shared" si="10"/>
        <v>10387910</v>
      </c>
    </row>
    <row r="97" spans="1:15" s="98" customFormat="1" ht="48" customHeight="1" x14ac:dyDescent="0.25">
      <c r="A97" s="106"/>
      <c r="B97" s="106"/>
      <c r="C97" s="107" t="s">
        <v>257</v>
      </c>
      <c r="D97" s="251">
        <v>163645</v>
      </c>
      <c r="E97" s="252"/>
      <c r="F97" s="252"/>
      <c r="G97" s="252"/>
      <c r="H97" s="252"/>
      <c r="I97" s="252"/>
      <c r="J97" s="252"/>
      <c r="K97" s="252"/>
      <c r="L97" s="252"/>
      <c r="M97" s="252">
        <f>499+táj1!M97</f>
        <v>499</v>
      </c>
      <c r="N97" s="252"/>
      <c r="O97" s="217">
        <f t="shared" si="10"/>
        <v>499</v>
      </c>
    </row>
    <row r="98" spans="1:15" s="98" customFormat="1" ht="36.75" customHeight="1" x14ac:dyDescent="0.25">
      <c r="A98" s="106"/>
      <c r="B98" s="106"/>
      <c r="C98" s="473" t="s">
        <v>954</v>
      </c>
      <c r="D98" s="519">
        <v>163654</v>
      </c>
      <c r="E98" s="252"/>
      <c r="F98" s="252"/>
      <c r="G98" s="252"/>
      <c r="H98" s="252">
        <f>462176+táj1!H98</f>
        <v>462176</v>
      </c>
      <c r="I98" s="252"/>
      <c r="J98" s="252"/>
      <c r="K98" s="252"/>
      <c r="L98" s="252"/>
      <c r="M98" s="252">
        <f>1711763+táj1!M98</f>
        <v>1711763</v>
      </c>
      <c r="N98" s="252"/>
      <c r="O98" s="217">
        <f t="shared" si="10"/>
        <v>2173939</v>
      </c>
    </row>
    <row r="99" spans="1:15" s="98" customFormat="1" ht="48" customHeight="1" x14ac:dyDescent="0.25">
      <c r="A99" s="106"/>
      <c r="B99" s="106"/>
      <c r="C99" s="473" t="s">
        <v>955</v>
      </c>
      <c r="D99" s="518">
        <v>163659</v>
      </c>
      <c r="E99" s="252">
        <f>10000+táj1!E99</f>
        <v>10000</v>
      </c>
      <c r="F99" s="252"/>
      <c r="G99" s="252"/>
      <c r="H99" s="252"/>
      <c r="I99" s="252"/>
      <c r="J99" s="252"/>
      <c r="K99" s="252"/>
      <c r="L99" s="252"/>
      <c r="M99" s="252"/>
      <c r="N99" s="252"/>
      <c r="O99" s="217">
        <f t="shared" si="10"/>
        <v>10000</v>
      </c>
    </row>
    <row r="100" spans="1:15" s="98" customFormat="1" ht="40.950000000000003" customHeight="1" x14ac:dyDescent="0.25">
      <c r="A100" s="509"/>
      <c r="B100" s="509"/>
      <c r="C100" s="473" t="s">
        <v>956</v>
      </c>
      <c r="D100" s="518">
        <v>163661</v>
      </c>
      <c r="E100" s="507"/>
      <c r="F100" s="252">
        <f>5017295+táj1!F100</f>
        <v>5017295</v>
      </c>
      <c r="G100" s="507"/>
      <c r="H100" s="507"/>
      <c r="I100" s="507"/>
      <c r="J100" s="507"/>
      <c r="K100" s="507"/>
      <c r="L100" s="507"/>
      <c r="M100" s="252">
        <f>963390+táj1!M100</f>
        <v>963390</v>
      </c>
      <c r="N100" s="507"/>
      <c r="O100" s="217">
        <f t="shared" si="10"/>
        <v>5980685</v>
      </c>
    </row>
    <row r="101" spans="1:15" s="98" customFormat="1" ht="17.399999999999999" customHeight="1" x14ac:dyDescent="0.25">
      <c r="A101" s="509"/>
      <c r="B101" s="509"/>
      <c r="C101" s="473" t="s">
        <v>957</v>
      </c>
      <c r="D101" s="518">
        <v>163655</v>
      </c>
      <c r="E101" s="507"/>
      <c r="F101" s="252"/>
      <c r="G101" s="507"/>
      <c r="H101" s="507"/>
      <c r="I101" s="507"/>
      <c r="J101" s="507"/>
      <c r="K101" s="507"/>
      <c r="L101" s="507"/>
      <c r="M101" s="252">
        <f>82256+táj1!M101</f>
        <v>82256</v>
      </c>
      <c r="N101" s="507"/>
      <c r="O101" s="217">
        <f t="shared" si="10"/>
        <v>82256</v>
      </c>
    </row>
    <row r="102" spans="1:15" s="98" customFormat="1" ht="21.75" customHeight="1" x14ac:dyDescent="0.25">
      <c r="A102" s="106"/>
      <c r="B102" s="106"/>
      <c r="C102" s="111" t="s">
        <v>934</v>
      </c>
      <c r="D102" s="254">
        <v>163651</v>
      </c>
      <c r="E102" s="252"/>
      <c r="F102" s="252"/>
      <c r="G102" s="252"/>
      <c r="H102" s="252"/>
      <c r="I102" s="252"/>
      <c r="J102" s="252"/>
      <c r="K102" s="252"/>
      <c r="L102" s="252"/>
      <c r="M102" s="252">
        <f>11382+táj1!M102</f>
        <v>11382</v>
      </c>
      <c r="N102" s="252"/>
      <c r="O102" s="217">
        <f t="shared" si="10"/>
        <v>11382</v>
      </c>
    </row>
    <row r="103" spans="1:15" s="98" customFormat="1" ht="28.95" customHeight="1" x14ac:dyDescent="0.25">
      <c r="A103" s="106"/>
      <c r="B103" s="106"/>
      <c r="C103" s="662" t="s">
        <v>948</v>
      </c>
      <c r="D103" s="663">
        <v>132937</v>
      </c>
      <c r="E103" s="252">
        <f>25463+táj1!E103</f>
        <v>25463</v>
      </c>
      <c r="F103" s="252">
        <f>214537+táj1!F103</f>
        <v>214537</v>
      </c>
      <c r="G103" s="252"/>
      <c r="H103" s="252"/>
      <c r="I103" s="252"/>
      <c r="J103" s="252"/>
      <c r="K103" s="252"/>
      <c r="L103" s="252"/>
      <c r="M103" s="252">
        <f>18602+táj1!M103</f>
        <v>18602</v>
      </c>
      <c r="N103" s="252"/>
      <c r="O103" s="217">
        <f t="shared" si="10"/>
        <v>258602</v>
      </c>
    </row>
    <row r="104" spans="1:15" s="98" customFormat="1" ht="16.2" customHeight="1" x14ac:dyDescent="0.25">
      <c r="A104" s="713"/>
      <c r="B104" s="713"/>
      <c r="C104" s="662" t="s">
        <v>1058</v>
      </c>
      <c r="D104" s="675">
        <v>163663</v>
      </c>
      <c r="E104" s="252">
        <f>10951+táj1!E104</f>
        <v>10951</v>
      </c>
      <c r="F104" s="252"/>
      <c r="G104" s="716"/>
      <c r="H104" s="252"/>
      <c r="I104" s="716"/>
      <c r="J104" s="716"/>
      <c r="K104" s="716"/>
      <c r="L104" s="716"/>
      <c r="M104" s="716"/>
      <c r="N104" s="716"/>
      <c r="O104" s="217">
        <f t="shared" si="10"/>
        <v>10951</v>
      </c>
    </row>
    <row r="105" spans="1:15" s="98" customFormat="1" ht="22.5" customHeight="1" x14ac:dyDescent="0.25">
      <c r="A105" s="787"/>
      <c r="B105" s="787"/>
      <c r="C105" s="825" t="s">
        <v>1165</v>
      </c>
      <c r="D105" s="784">
        <v>163664</v>
      </c>
      <c r="E105" s="252">
        <f>0+táj1!E105</f>
        <v>19335</v>
      </c>
      <c r="F105" s="252">
        <f>0+táj1!F105</f>
        <v>380665</v>
      </c>
      <c r="G105" s="252"/>
      <c r="H105" s="252">
        <f>0+táj1!H105</f>
        <v>28262</v>
      </c>
      <c r="I105" s="788"/>
      <c r="J105" s="788"/>
      <c r="K105" s="788"/>
      <c r="L105" s="788"/>
      <c r="M105" s="788"/>
      <c r="N105" s="788"/>
      <c r="O105" s="217">
        <f t="shared" si="10"/>
        <v>428262</v>
      </c>
    </row>
    <row r="106" spans="1:15" s="98" customFormat="1" ht="21.75" customHeight="1" x14ac:dyDescent="0.25">
      <c r="A106" s="509"/>
      <c r="B106" s="509"/>
      <c r="C106" s="568" t="s">
        <v>1110</v>
      </c>
      <c r="D106" s="663">
        <v>162979</v>
      </c>
      <c r="E106" s="507"/>
      <c r="F106" s="507"/>
      <c r="G106" s="507"/>
      <c r="H106" s="252"/>
      <c r="I106" s="252">
        <f>9000+táj1!I106</f>
        <v>9000</v>
      </c>
      <c r="J106" s="507"/>
      <c r="K106" s="507"/>
      <c r="L106" s="507"/>
      <c r="M106" s="507"/>
      <c r="N106" s="507"/>
      <c r="O106" s="217">
        <f t="shared" si="10"/>
        <v>9000</v>
      </c>
    </row>
    <row r="107" spans="1:15" s="98" customFormat="1" ht="24" customHeight="1" x14ac:dyDescent="0.25">
      <c r="A107" s="509"/>
      <c r="B107" s="509"/>
      <c r="C107" s="545" t="s">
        <v>1111</v>
      </c>
      <c r="D107" s="663">
        <v>162903</v>
      </c>
      <c r="E107" s="507"/>
      <c r="F107" s="507"/>
      <c r="G107" s="507"/>
      <c r="H107" s="252">
        <f>7102+táj1!H107</f>
        <v>18620</v>
      </c>
      <c r="I107" s="507"/>
      <c r="J107" s="507"/>
      <c r="K107" s="507"/>
      <c r="L107" s="507"/>
      <c r="M107" s="507"/>
      <c r="N107" s="507"/>
      <c r="O107" s="217">
        <f t="shared" si="10"/>
        <v>18620</v>
      </c>
    </row>
    <row r="108" spans="1:15" s="98" customFormat="1" ht="16.2" customHeight="1" x14ac:dyDescent="0.25">
      <c r="A108" s="509"/>
      <c r="B108" s="509"/>
      <c r="C108" s="628" t="s">
        <v>1112</v>
      </c>
      <c r="D108" s="663">
        <v>161904</v>
      </c>
      <c r="E108" s="507"/>
      <c r="F108" s="507"/>
      <c r="G108" s="507"/>
      <c r="H108" s="252">
        <f>810+táj1!H108</f>
        <v>810</v>
      </c>
      <c r="I108" s="507"/>
      <c r="J108" s="507"/>
      <c r="K108" s="507"/>
      <c r="L108" s="507"/>
      <c r="M108" s="507"/>
      <c r="N108" s="507"/>
      <c r="O108" s="217">
        <f t="shared" si="10"/>
        <v>810</v>
      </c>
    </row>
    <row r="109" spans="1:15" s="98" customFormat="1" ht="16.2" customHeight="1" x14ac:dyDescent="0.25">
      <c r="A109" s="509"/>
      <c r="B109" s="509"/>
      <c r="C109" s="528" t="s">
        <v>574</v>
      </c>
      <c r="D109" s="663">
        <v>161908</v>
      </c>
      <c r="E109" s="252"/>
      <c r="F109" s="252"/>
      <c r="G109" s="252"/>
      <c r="H109" s="252">
        <f>532+táj1!H109</f>
        <v>532</v>
      </c>
      <c r="I109" s="507"/>
      <c r="J109" s="507"/>
      <c r="K109" s="507"/>
      <c r="L109" s="507"/>
      <c r="M109" s="507"/>
      <c r="N109" s="507"/>
      <c r="O109" s="217">
        <f t="shared" si="10"/>
        <v>532</v>
      </c>
    </row>
    <row r="110" spans="1:15" s="98" customFormat="1" ht="16.2" customHeight="1" x14ac:dyDescent="0.25">
      <c r="A110" s="787"/>
      <c r="B110" s="787"/>
      <c r="C110" s="736" t="s">
        <v>1150</v>
      </c>
      <c r="D110" s="784">
        <v>161940</v>
      </c>
      <c r="E110" s="788"/>
      <c r="F110" s="788"/>
      <c r="G110" s="788"/>
      <c r="H110" s="252">
        <f>0+táj1!H110</f>
        <v>5100</v>
      </c>
      <c r="I110" s="788"/>
      <c r="J110" s="788"/>
      <c r="K110" s="788"/>
      <c r="L110" s="788"/>
      <c r="M110" s="788"/>
      <c r="N110" s="788"/>
      <c r="O110" s="217">
        <f t="shared" si="10"/>
        <v>5100</v>
      </c>
    </row>
    <row r="111" spans="1:15" s="98" customFormat="1" ht="16.2" customHeight="1" x14ac:dyDescent="0.25">
      <c r="A111" s="787"/>
      <c r="B111" s="787"/>
      <c r="C111" s="732" t="s">
        <v>1149</v>
      </c>
      <c r="D111" s="784">
        <v>164945</v>
      </c>
      <c r="E111" s="788"/>
      <c r="F111" s="788"/>
      <c r="G111" s="788"/>
      <c r="H111" s="252">
        <f>0+táj1!H111</f>
        <v>7560</v>
      </c>
      <c r="I111" s="788"/>
      <c r="J111" s="788"/>
      <c r="K111" s="788"/>
      <c r="L111" s="788"/>
      <c r="M111" s="788"/>
      <c r="N111" s="788"/>
      <c r="O111" s="217">
        <f t="shared" si="10"/>
        <v>7560</v>
      </c>
    </row>
    <row r="112" spans="1:15" s="98" customFormat="1" ht="12.9" customHeight="1" x14ac:dyDescent="0.25">
      <c r="A112" s="112"/>
      <c r="B112" s="112"/>
      <c r="C112" s="255" t="s">
        <v>258</v>
      </c>
      <c r="D112" s="112"/>
      <c r="E112" s="256">
        <f>SUM(E60:E111)</f>
        <v>95011</v>
      </c>
      <c r="F112" s="256">
        <f t="shared" ref="F112:O112" si="11">SUM(F60:F111)</f>
        <v>6370148</v>
      </c>
      <c r="G112" s="256">
        <f t="shared" si="11"/>
        <v>0</v>
      </c>
      <c r="H112" s="256">
        <f t="shared" si="11"/>
        <v>2397294</v>
      </c>
      <c r="I112" s="256">
        <f t="shared" si="11"/>
        <v>9000</v>
      </c>
      <c r="J112" s="256">
        <f t="shared" si="11"/>
        <v>0</v>
      </c>
      <c r="K112" s="256">
        <f t="shared" si="11"/>
        <v>0</v>
      </c>
      <c r="L112" s="256">
        <f t="shared" si="11"/>
        <v>0</v>
      </c>
      <c r="M112" s="256">
        <f t="shared" si="11"/>
        <v>8233686</v>
      </c>
      <c r="N112" s="256">
        <f t="shared" si="11"/>
        <v>11647000</v>
      </c>
      <c r="O112" s="256">
        <f t="shared" si="11"/>
        <v>28752139</v>
      </c>
    </row>
    <row r="113" spans="1:15" s="98" customFormat="1" ht="12.9" customHeight="1" x14ac:dyDescent="0.25">
      <c r="A113" s="106">
        <v>1</v>
      </c>
      <c r="B113" s="106">
        <v>17</v>
      </c>
      <c r="C113" s="257" t="s">
        <v>128</v>
      </c>
      <c r="D113" s="113"/>
      <c r="E113" s="217"/>
      <c r="F113" s="217"/>
      <c r="G113" s="217"/>
      <c r="H113" s="217"/>
      <c r="I113" s="217"/>
      <c r="J113" s="217"/>
      <c r="K113" s="217"/>
      <c r="L113" s="217"/>
      <c r="M113" s="217"/>
      <c r="N113" s="217"/>
      <c r="O113" s="217"/>
    </row>
    <row r="114" spans="1:15" s="98" customFormat="1" ht="24" customHeight="1" x14ac:dyDescent="0.25">
      <c r="A114" s="106"/>
      <c r="B114" s="106"/>
      <c r="C114" s="111" t="s">
        <v>237</v>
      </c>
      <c r="D114" s="258"/>
      <c r="E114" s="114"/>
      <c r="F114" s="217"/>
      <c r="G114" s="217"/>
      <c r="H114" s="217"/>
      <c r="I114" s="217"/>
      <c r="J114" s="217"/>
      <c r="K114" s="217"/>
      <c r="L114" s="217"/>
      <c r="M114" s="217"/>
      <c r="N114" s="217"/>
      <c r="O114" s="217"/>
    </row>
    <row r="115" spans="1:15" s="98" customFormat="1" ht="14.1" customHeight="1" x14ac:dyDescent="0.25">
      <c r="A115" s="106"/>
      <c r="B115" s="106"/>
      <c r="C115" s="115" t="s">
        <v>259</v>
      </c>
      <c r="D115" s="259">
        <v>171907</v>
      </c>
      <c r="E115" s="217"/>
      <c r="F115" s="217"/>
      <c r="G115" s="217"/>
      <c r="H115" s="217"/>
      <c r="I115" s="217">
        <f>94128+táj1!I115</f>
        <v>94128</v>
      </c>
      <c r="J115" s="217"/>
      <c r="K115" s="217"/>
      <c r="L115" s="217"/>
      <c r="M115" s="217"/>
      <c r="N115" s="217"/>
      <c r="O115" s="217">
        <f>SUM(E115:N115)</f>
        <v>94128</v>
      </c>
    </row>
    <row r="116" spans="1:15" s="98" customFormat="1" ht="25.2" customHeight="1" x14ac:dyDescent="0.25">
      <c r="A116" s="106"/>
      <c r="B116" s="106"/>
      <c r="C116" s="260" t="s">
        <v>913</v>
      </c>
      <c r="D116" s="259">
        <v>171923</v>
      </c>
      <c r="E116" s="217"/>
      <c r="F116" s="217"/>
      <c r="G116" s="217"/>
      <c r="H116" s="217"/>
      <c r="I116" s="217">
        <f>131473+táj1!I116</f>
        <v>131473</v>
      </c>
      <c r="J116" s="217"/>
      <c r="K116" s="217"/>
      <c r="L116" s="217"/>
      <c r="M116" s="217"/>
      <c r="N116" s="217"/>
      <c r="O116" s="217">
        <f>SUM(E116:N116)</f>
        <v>131473</v>
      </c>
    </row>
    <row r="117" spans="1:15" s="98" customFormat="1" ht="27" customHeight="1" x14ac:dyDescent="0.25">
      <c r="A117" s="399"/>
      <c r="B117" s="399"/>
      <c r="C117" s="406" t="s">
        <v>958</v>
      </c>
      <c r="D117" s="414">
        <v>171983</v>
      </c>
      <c r="E117" s="400"/>
      <c r="F117" s="400"/>
      <c r="G117" s="400"/>
      <c r="H117" s="400">
        <f>0+táj1!H117</f>
        <v>0</v>
      </c>
      <c r="I117" s="400">
        <f>0+táj1!I117</f>
        <v>0</v>
      </c>
      <c r="J117" s="400"/>
      <c r="K117" s="400"/>
      <c r="L117" s="400"/>
      <c r="M117" s="400"/>
      <c r="N117" s="400"/>
      <c r="O117" s="217">
        <f>SUM(E117:N117)</f>
        <v>0</v>
      </c>
    </row>
    <row r="118" spans="1:15" s="98" customFormat="1" ht="25.5" customHeight="1" x14ac:dyDescent="0.25">
      <c r="A118" s="106"/>
      <c r="B118" s="106"/>
      <c r="C118" s="260" t="s">
        <v>260</v>
      </c>
      <c r="D118" s="261"/>
      <c r="E118" s="217"/>
      <c r="F118" s="217"/>
      <c r="G118" s="217"/>
      <c r="H118" s="400"/>
      <c r="I118" s="217"/>
      <c r="J118" s="217"/>
      <c r="K118" s="217"/>
      <c r="L118" s="217"/>
      <c r="M118" s="217"/>
      <c r="N118" s="217"/>
      <c r="O118" s="217"/>
    </row>
    <row r="119" spans="1:15" s="98" customFormat="1" ht="14.1" customHeight="1" x14ac:dyDescent="0.25">
      <c r="A119" s="106"/>
      <c r="B119" s="106"/>
      <c r="C119" s="262" t="s">
        <v>261</v>
      </c>
      <c r="D119" s="263">
        <v>171980</v>
      </c>
      <c r="E119" s="217"/>
      <c r="F119" s="217"/>
      <c r="G119" s="217"/>
      <c r="H119" s="400">
        <f>55880+táj1!H119</f>
        <v>55880</v>
      </c>
      <c r="I119" s="345"/>
      <c r="J119" s="345"/>
      <c r="K119" s="345"/>
      <c r="L119" s="345"/>
      <c r="M119" s="345"/>
      <c r="N119" s="345"/>
      <c r="O119" s="217">
        <f>SUM(E119:N119)</f>
        <v>55880</v>
      </c>
    </row>
    <row r="120" spans="1:15" s="98" customFormat="1" ht="26.25" customHeight="1" x14ac:dyDescent="0.25">
      <c r="A120" s="509"/>
      <c r="B120" s="509"/>
      <c r="C120" s="111" t="s">
        <v>237</v>
      </c>
      <c r="D120" s="258"/>
      <c r="E120" s="217"/>
      <c r="F120" s="217"/>
      <c r="G120" s="217"/>
      <c r="H120" s="400"/>
      <c r="I120" s="345"/>
      <c r="J120" s="345"/>
      <c r="K120" s="345"/>
      <c r="L120" s="345"/>
      <c r="M120" s="345"/>
      <c r="N120" s="345"/>
      <c r="O120" s="217"/>
    </row>
    <row r="121" spans="1:15" s="98" customFormat="1" ht="29.25" customHeight="1" x14ac:dyDescent="0.25">
      <c r="A121" s="106"/>
      <c r="B121" s="106"/>
      <c r="C121" s="264" t="s">
        <v>262</v>
      </c>
      <c r="D121" s="259">
        <v>171905</v>
      </c>
      <c r="E121" s="217"/>
      <c r="F121" s="217"/>
      <c r="G121" s="217"/>
      <c r="H121" s="400">
        <f>178555+táj1!H121</f>
        <v>198005</v>
      </c>
      <c r="I121" s="345"/>
      <c r="J121" s="345"/>
      <c r="K121" s="345"/>
      <c r="L121" s="345"/>
      <c r="M121" s="345"/>
      <c r="N121" s="345"/>
      <c r="O121" s="217">
        <f t="shared" ref="O121:O133" si="12">SUM(E121:N121)</f>
        <v>198005</v>
      </c>
    </row>
    <row r="122" spans="1:15" s="98" customFormat="1" ht="25.2" customHeight="1" x14ac:dyDescent="0.25">
      <c r="A122" s="717"/>
      <c r="B122" s="717"/>
      <c r="C122" s="523" t="s">
        <v>640</v>
      </c>
      <c r="D122" s="721">
        <v>171956</v>
      </c>
      <c r="E122" s="676"/>
      <c r="F122" s="676"/>
      <c r="G122" s="676"/>
      <c r="H122" s="400">
        <f>117+táj1!H122</f>
        <v>117</v>
      </c>
      <c r="I122" s="677"/>
      <c r="J122" s="677"/>
      <c r="K122" s="677"/>
      <c r="L122" s="677"/>
      <c r="M122" s="677"/>
      <c r="N122" s="677"/>
      <c r="O122" s="217">
        <f t="shared" si="12"/>
        <v>117</v>
      </c>
    </row>
    <row r="123" spans="1:15" s="98" customFormat="1" ht="15.6" customHeight="1" x14ac:dyDescent="0.25">
      <c r="A123" s="717"/>
      <c r="B123" s="717"/>
      <c r="C123" s="800" t="s">
        <v>1095</v>
      </c>
      <c r="D123" s="721">
        <v>172901</v>
      </c>
      <c r="E123" s="508"/>
      <c r="F123" s="508"/>
      <c r="G123" s="508"/>
      <c r="H123" s="400"/>
      <c r="I123" s="400">
        <f>143+táj1!I123</f>
        <v>143</v>
      </c>
      <c r="J123" s="522"/>
      <c r="K123" s="522"/>
      <c r="L123" s="522"/>
      <c r="M123" s="522"/>
      <c r="N123" s="522"/>
      <c r="O123" s="217">
        <f t="shared" si="12"/>
        <v>143</v>
      </c>
    </row>
    <row r="124" spans="1:15" s="98" customFormat="1" ht="14.1" customHeight="1" x14ac:dyDescent="0.25">
      <c r="A124" s="99"/>
      <c r="B124" s="99"/>
      <c r="C124" s="265" t="s">
        <v>263</v>
      </c>
      <c r="D124" s="259">
        <v>171909</v>
      </c>
      <c r="E124" s="217"/>
      <c r="F124" s="217"/>
      <c r="G124" s="217"/>
      <c r="H124" s="400">
        <f>19812+táj1!H124</f>
        <v>19812</v>
      </c>
      <c r="I124" s="345"/>
      <c r="J124" s="345"/>
      <c r="K124" s="345"/>
      <c r="L124" s="345"/>
      <c r="M124" s="345"/>
      <c r="N124" s="345"/>
      <c r="O124" s="217">
        <f t="shared" si="12"/>
        <v>19812</v>
      </c>
    </row>
    <row r="125" spans="1:15" s="98" customFormat="1" ht="14.1" customHeight="1" x14ac:dyDescent="0.25">
      <c r="A125" s="99"/>
      <c r="B125" s="99"/>
      <c r="C125" s="265" t="s">
        <v>264</v>
      </c>
      <c r="D125" s="259">
        <v>171904</v>
      </c>
      <c r="E125" s="217"/>
      <c r="F125" s="217"/>
      <c r="G125" s="217"/>
      <c r="H125" s="400">
        <f>2000+táj1!H125</f>
        <v>2000</v>
      </c>
      <c r="I125" s="345"/>
      <c r="J125" s="345"/>
      <c r="K125" s="345"/>
      <c r="L125" s="345"/>
      <c r="M125" s="345"/>
      <c r="N125" s="345"/>
      <c r="O125" s="217">
        <f t="shared" si="12"/>
        <v>2000</v>
      </c>
    </row>
    <row r="126" spans="1:15" s="98" customFormat="1" ht="14.1" customHeight="1" x14ac:dyDescent="0.25">
      <c r="A126" s="99"/>
      <c r="B126" s="99"/>
      <c r="C126" s="265" t="s">
        <v>265</v>
      </c>
      <c r="D126" s="259">
        <v>172909</v>
      </c>
      <c r="E126" s="217"/>
      <c r="F126" s="217"/>
      <c r="G126" s="217"/>
      <c r="H126" s="400">
        <f>131968+táj1!H126</f>
        <v>131968</v>
      </c>
      <c r="I126" s="345"/>
      <c r="J126" s="345"/>
      <c r="K126" s="345"/>
      <c r="L126" s="345"/>
      <c r="M126" s="345"/>
      <c r="N126" s="345"/>
      <c r="O126" s="217">
        <f t="shared" si="12"/>
        <v>131968</v>
      </c>
    </row>
    <row r="127" spans="1:15" s="98" customFormat="1" ht="14.1" customHeight="1" x14ac:dyDescent="0.25">
      <c r="A127" s="99"/>
      <c r="B127" s="99"/>
      <c r="C127" s="265" t="s">
        <v>266</v>
      </c>
      <c r="D127" s="259">
        <v>131857</v>
      </c>
      <c r="E127" s="217"/>
      <c r="F127" s="217"/>
      <c r="G127" s="217"/>
      <c r="H127" s="400">
        <f>15240+táj1!H127</f>
        <v>15240</v>
      </c>
      <c r="I127" s="345"/>
      <c r="J127" s="345"/>
      <c r="K127" s="345"/>
      <c r="L127" s="345"/>
      <c r="M127" s="345"/>
      <c r="N127" s="345"/>
      <c r="O127" s="217">
        <f t="shared" si="12"/>
        <v>15240</v>
      </c>
    </row>
    <row r="128" spans="1:15" s="98" customFormat="1" ht="14.1" customHeight="1" x14ac:dyDescent="0.25">
      <c r="A128" s="99"/>
      <c r="B128" s="99"/>
      <c r="C128" s="265" t="s">
        <v>267</v>
      </c>
      <c r="D128" s="259">
        <v>172920</v>
      </c>
      <c r="E128" s="217"/>
      <c r="F128" s="217"/>
      <c r="G128" s="217"/>
      <c r="H128" s="400">
        <f>11430+táj1!H128</f>
        <v>11430</v>
      </c>
      <c r="I128" s="345"/>
      <c r="J128" s="345"/>
      <c r="K128" s="345"/>
      <c r="L128" s="345"/>
      <c r="M128" s="345"/>
      <c r="N128" s="345"/>
      <c r="O128" s="217">
        <f t="shared" si="12"/>
        <v>11430</v>
      </c>
    </row>
    <row r="129" spans="1:15" s="98" customFormat="1" ht="14.1" customHeight="1" x14ac:dyDescent="0.25">
      <c r="A129" s="99"/>
      <c r="B129" s="99"/>
      <c r="C129" s="265" t="s">
        <v>268</v>
      </c>
      <c r="D129" s="259">
        <v>172922</v>
      </c>
      <c r="E129" s="217"/>
      <c r="F129" s="217"/>
      <c r="G129" s="217"/>
      <c r="H129" s="400">
        <f>48260+táj1!H129</f>
        <v>48260</v>
      </c>
      <c r="I129" s="345"/>
      <c r="J129" s="345"/>
      <c r="K129" s="345"/>
      <c r="L129" s="345"/>
      <c r="M129" s="345"/>
      <c r="N129" s="345"/>
      <c r="O129" s="217">
        <f t="shared" si="12"/>
        <v>48260</v>
      </c>
    </row>
    <row r="130" spans="1:15" s="98" customFormat="1" ht="14.1" customHeight="1" x14ac:dyDescent="0.25">
      <c r="A130" s="99"/>
      <c r="B130" s="99"/>
      <c r="C130" s="265" t="s">
        <v>880</v>
      </c>
      <c r="D130" s="259">
        <v>171977</v>
      </c>
      <c r="E130" s="217"/>
      <c r="F130" s="217"/>
      <c r="G130" s="217"/>
      <c r="H130" s="400">
        <f>63551+táj1!H130</f>
        <v>63551</v>
      </c>
      <c r="I130" s="345"/>
      <c r="J130" s="345"/>
      <c r="K130" s="345"/>
      <c r="L130" s="345"/>
      <c r="M130" s="345"/>
      <c r="N130" s="345"/>
      <c r="O130" s="217">
        <f t="shared" si="12"/>
        <v>63551</v>
      </c>
    </row>
    <row r="131" spans="1:15" s="98" customFormat="1" ht="14.1" customHeight="1" x14ac:dyDescent="0.25">
      <c r="A131" s="99"/>
      <c r="B131" s="99"/>
      <c r="C131" s="265" t="s">
        <v>840</v>
      </c>
      <c r="D131" s="259">
        <v>171978</v>
      </c>
      <c r="E131" s="217"/>
      <c r="F131" s="217"/>
      <c r="G131" s="217"/>
      <c r="H131" s="400">
        <f>24970+táj1!H131</f>
        <v>24970</v>
      </c>
      <c r="I131" s="345"/>
      <c r="J131" s="345"/>
      <c r="K131" s="345"/>
      <c r="L131" s="345"/>
      <c r="M131" s="345"/>
      <c r="N131" s="345"/>
      <c r="O131" s="217">
        <f t="shared" si="12"/>
        <v>24970</v>
      </c>
    </row>
    <row r="132" spans="1:15" s="98" customFormat="1" ht="15.6" customHeight="1" x14ac:dyDescent="0.25">
      <c r="A132" s="99"/>
      <c r="B132" s="99"/>
      <c r="C132" s="266" t="s">
        <v>923</v>
      </c>
      <c r="D132" s="259">
        <v>171979</v>
      </c>
      <c r="E132" s="217"/>
      <c r="F132" s="217"/>
      <c r="G132" s="217"/>
      <c r="H132" s="400">
        <f>10668+táj1!H132</f>
        <v>10668</v>
      </c>
      <c r="I132" s="345"/>
      <c r="J132" s="345"/>
      <c r="K132" s="345"/>
      <c r="L132" s="345"/>
      <c r="M132" s="345"/>
      <c r="N132" s="345"/>
      <c r="O132" s="217">
        <f t="shared" si="12"/>
        <v>10668</v>
      </c>
    </row>
    <row r="133" spans="1:15" s="98" customFormat="1" ht="14.1" customHeight="1" x14ac:dyDescent="0.25">
      <c r="A133" s="99"/>
      <c r="B133" s="99"/>
      <c r="C133" s="265" t="s">
        <v>841</v>
      </c>
      <c r="D133" s="259">
        <v>171982</v>
      </c>
      <c r="E133" s="217"/>
      <c r="F133" s="217"/>
      <c r="G133" s="217"/>
      <c r="H133" s="400">
        <f>17221+táj1!H133</f>
        <v>17221</v>
      </c>
      <c r="I133" s="345"/>
      <c r="J133" s="345"/>
      <c r="K133" s="345"/>
      <c r="L133" s="345"/>
      <c r="M133" s="345"/>
      <c r="N133" s="345"/>
      <c r="O133" s="217">
        <f t="shared" si="12"/>
        <v>17221</v>
      </c>
    </row>
    <row r="134" spans="1:15" s="98" customFormat="1" ht="24.9" customHeight="1" x14ac:dyDescent="0.25">
      <c r="A134" s="99"/>
      <c r="B134" s="99"/>
      <c r="C134" s="266" t="s">
        <v>269</v>
      </c>
      <c r="D134" s="261"/>
      <c r="E134" s="217"/>
      <c r="F134" s="217"/>
      <c r="G134" s="217"/>
      <c r="H134" s="400"/>
      <c r="I134" s="345"/>
      <c r="J134" s="345"/>
      <c r="K134" s="345"/>
      <c r="L134" s="345"/>
      <c r="M134" s="345"/>
      <c r="N134" s="345"/>
      <c r="O134" s="217"/>
    </row>
    <row r="135" spans="1:15" s="98" customFormat="1" ht="15" customHeight="1" x14ac:dyDescent="0.25">
      <c r="A135" s="99"/>
      <c r="B135" s="99"/>
      <c r="C135" s="115" t="s">
        <v>270</v>
      </c>
      <c r="D135" s="259">
        <v>171901</v>
      </c>
      <c r="E135" s="217"/>
      <c r="F135" s="217"/>
      <c r="G135" s="217"/>
      <c r="H135" s="400">
        <f>17780+táj1!H135</f>
        <v>17780</v>
      </c>
      <c r="I135" s="345"/>
      <c r="J135" s="345"/>
      <c r="K135" s="345"/>
      <c r="L135" s="345"/>
      <c r="M135" s="345"/>
      <c r="N135" s="345"/>
      <c r="O135" s="217">
        <f>SUM(E135:N135)</f>
        <v>17780</v>
      </c>
    </row>
    <row r="136" spans="1:15" s="98" customFormat="1" ht="24.9" customHeight="1" x14ac:dyDescent="0.25">
      <c r="A136" s="106"/>
      <c r="B136" s="106"/>
      <c r="C136" s="267" t="s">
        <v>271</v>
      </c>
      <c r="D136" s="268"/>
      <c r="E136" s="217"/>
      <c r="F136" s="217"/>
      <c r="G136" s="217"/>
      <c r="H136" s="400"/>
      <c r="I136" s="345"/>
      <c r="J136" s="345"/>
      <c r="K136" s="345"/>
      <c r="L136" s="345"/>
      <c r="M136" s="345"/>
      <c r="N136" s="345"/>
      <c r="O136" s="217"/>
    </row>
    <row r="137" spans="1:15" s="98" customFormat="1" ht="17.399999999999999" customHeight="1" x14ac:dyDescent="0.25">
      <c r="A137" s="106"/>
      <c r="B137" s="106"/>
      <c r="C137" s="266" t="s">
        <v>959</v>
      </c>
      <c r="D137" s="269">
        <v>171908</v>
      </c>
      <c r="E137" s="217"/>
      <c r="F137" s="217"/>
      <c r="G137" s="217"/>
      <c r="H137" s="400">
        <f>135473+táj1!H137</f>
        <v>135473</v>
      </c>
      <c r="I137" s="345"/>
      <c r="J137" s="345"/>
      <c r="K137" s="345"/>
      <c r="L137" s="345"/>
      <c r="M137" s="345"/>
      <c r="N137" s="345"/>
      <c r="O137" s="217">
        <f>SUM(E137:N137)</f>
        <v>135473</v>
      </c>
    </row>
    <row r="138" spans="1:15" s="98" customFormat="1" ht="15.75" customHeight="1" x14ac:dyDescent="0.25">
      <c r="A138" s="106"/>
      <c r="B138" s="106"/>
      <c r="C138" s="385" t="s">
        <v>272</v>
      </c>
      <c r="D138" s="263"/>
      <c r="E138" s="217"/>
      <c r="F138" s="217"/>
      <c r="G138" s="217"/>
      <c r="H138" s="400"/>
      <c r="I138" s="345"/>
      <c r="J138" s="345"/>
      <c r="K138" s="345"/>
      <c r="L138" s="345"/>
      <c r="M138" s="345"/>
      <c r="N138" s="345"/>
      <c r="O138" s="217"/>
    </row>
    <row r="139" spans="1:15" s="98" customFormat="1" ht="15.75" customHeight="1" x14ac:dyDescent="0.25">
      <c r="A139" s="106"/>
      <c r="B139" s="106"/>
      <c r="C139" s="111" t="s">
        <v>273</v>
      </c>
      <c r="D139" s="258"/>
      <c r="E139" s="217"/>
      <c r="F139" s="217"/>
      <c r="G139" s="217"/>
      <c r="H139" s="400"/>
      <c r="I139" s="345"/>
      <c r="J139" s="345"/>
      <c r="K139" s="345"/>
      <c r="L139" s="345"/>
      <c r="M139" s="345"/>
      <c r="N139" s="345"/>
      <c r="O139" s="217"/>
    </row>
    <row r="140" spans="1:15" s="98" customFormat="1" ht="24.9" customHeight="1" x14ac:dyDescent="0.25">
      <c r="A140" s="106"/>
      <c r="B140" s="106"/>
      <c r="C140" s="260" t="s">
        <v>827</v>
      </c>
      <c r="D140" s="269">
        <v>121401</v>
      </c>
      <c r="E140" s="217"/>
      <c r="F140" s="217"/>
      <c r="G140" s="217"/>
      <c r="H140" s="400"/>
      <c r="I140" s="345"/>
      <c r="J140" s="345"/>
      <c r="K140" s="217">
        <f>2000+táj1!K140</f>
        <v>2000</v>
      </c>
      <c r="L140" s="345"/>
      <c r="M140" s="345"/>
      <c r="N140" s="345"/>
      <c r="O140" s="217">
        <f>SUM(E140:N140)</f>
        <v>2000</v>
      </c>
    </row>
    <row r="141" spans="1:15" s="98" customFormat="1" ht="14.4" customHeight="1" x14ac:dyDescent="0.25">
      <c r="A141" s="509"/>
      <c r="B141" s="509"/>
      <c r="C141" s="520" t="s">
        <v>960</v>
      </c>
      <c r="D141" s="521">
        <v>171950</v>
      </c>
      <c r="E141" s="508"/>
      <c r="F141" s="508"/>
      <c r="G141" s="508"/>
      <c r="H141" s="400"/>
      <c r="I141" s="217">
        <f>0+táj1!I141</f>
        <v>0</v>
      </c>
      <c r="J141" s="217"/>
      <c r="K141" s="217"/>
      <c r="L141" s="522"/>
      <c r="M141" s="522"/>
      <c r="N141" s="522"/>
      <c r="O141" s="217">
        <f>SUM(E141:N141)</f>
        <v>0</v>
      </c>
    </row>
    <row r="142" spans="1:15" s="98" customFormat="1" ht="27.75" customHeight="1" x14ac:dyDescent="0.25">
      <c r="A142" s="509"/>
      <c r="B142" s="509"/>
      <c r="C142" s="527" t="s">
        <v>305</v>
      </c>
      <c r="D142" s="521"/>
      <c r="E142" s="508"/>
      <c r="F142" s="508"/>
      <c r="G142" s="508"/>
      <c r="H142" s="400"/>
      <c r="I142" s="508"/>
      <c r="J142" s="508"/>
      <c r="K142" s="508"/>
      <c r="L142" s="522"/>
      <c r="M142" s="522"/>
      <c r="N142" s="522"/>
      <c r="O142" s="217"/>
    </row>
    <row r="143" spans="1:15" s="98" customFormat="1" ht="39.75" customHeight="1" x14ac:dyDescent="0.25">
      <c r="A143" s="509"/>
      <c r="B143" s="509"/>
      <c r="C143" s="801" t="s">
        <v>1059</v>
      </c>
      <c r="D143" s="521">
        <v>174902</v>
      </c>
      <c r="E143" s="508"/>
      <c r="F143" s="508"/>
      <c r="G143" s="508"/>
      <c r="H143" s="400">
        <f>8000+táj1!H143</f>
        <v>8000</v>
      </c>
      <c r="I143" s="508"/>
      <c r="J143" s="508"/>
      <c r="K143" s="508"/>
      <c r="L143" s="522"/>
      <c r="M143" s="522"/>
      <c r="N143" s="522"/>
      <c r="O143" s="217">
        <f t="shared" ref="O143" si="13">SUM(E143:N143)</f>
        <v>8000</v>
      </c>
    </row>
    <row r="144" spans="1:15" s="98" customFormat="1" ht="24" customHeight="1" x14ac:dyDescent="0.25">
      <c r="A144" s="106"/>
      <c r="B144" s="106"/>
      <c r="C144" s="260" t="s">
        <v>740</v>
      </c>
      <c r="D144" s="261"/>
      <c r="E144" s="217"/>
      <c r="F144" s="217"/>
      <c r="G144" s="217"/>
      <c r="H144" s="345"/>
      <c r="I144" s="345"/>
      <c r="J144" s="345"/>
      <c r="K144" s="345"/>
      <c r="L144" s="345"/>
      <c r="M144" s="345"/>
      <c r="N144" s="345"/>
      <c r="O144" s="217"/>
    </row>
    <row r="145" spans="1:15" s="98" customFormat="1" ht="16.5" customHeight="1" x14ac:dyDescent="0.25">
      <c r="A145" s="106"/>
      <c r="B145" s="106"/>
      <c r="C145" s="266" t="s">
        <v>274</v>
      </c>
      <c r="D145" s="269">
        <v>176902</v>
      </c>
      <c r="E145" s="217"/>
      <c r="F145" s="217"/>
      <c r="G145" s="217"/>
      <c r="H145" s="345"/>
      <c r="I145" s="345"/>
      <c r="J145" s="345"/>
      <c r="K145" s="345"/>
      <c r="L145" s="345"/>
      <c r="M145" s="217">
        <f>857+táj1!M145</f>
        <v>857</v>
      </c>
      <c r="N145" s="217">
        <f>138244+táj1!N145</f>
        <v>138244</v>
      </c>
      <c r="O145" s="217">
        <f>SUM(E145:N145)</f>
        <v>139101</v>
      </c>
    </row>
    <row r="146" spans="1:15" s="98" customFormat="1" ht="12.6" customHeight="1" x14ac:dyDescent="0.25">
      <c r="A146" s="112"/>
      <c r="B146" s="112"/>
      <c r="C146" s="255" t="s">
        <v>275</v>
      </c>
      <c r="D146" s="112"/>
      <c r="E146" s="256">
        <f t="shared" ref="E146:O146" si="14">SUM(E113:E145)</f>
        <v>0</v>
      </c>
      <c r="F146" s="256">
        <f t="shared" si="14"/>
        <v>0</v>
      </c>
      <c r="G146" s="256">
        <f t="shared" si="14"/>
        <v>0</v>
      </c>
      <c r="H146" s="256">
        <f t="shared" si="14"/>
        <v>760375</v>
      </c>
      <c r="I146" s="256">
        <f t="shared" si="14"/>
        <v>225744</v>
      </c>
      <c r="J146" s="256">
        <f t="shared" si="14"/>
        <v>0</v>
      </c>
      <c r="K146" s="256">
        <f t="shared" si="14"/>
        <v>2000</v>
      </c>
      <c r="L146" s="256">
        <f t="shared" si="14"/>
        <v>0</v>
      </c>
      <c r="M146" s="256">
        <f t="shared" si="14"/>
        <v>857</v>
      </c>
      <c r="N146" s="256">
        <f t="shared" si="14"/>
        <v>138244</v>
      </c>
      <c r="O146" s="256">
        <f t="shared" si="14"/>
        <v>1127220</v>
      </c>
    </row>
    <row r="147" spans="1:15" s="98" customFormat="1" ht="12.6" customHeight="1" x14ac:dyDescent="0.25">
      <c r="A147" s="113">
        <v>1</v>
      </c>
      <c r="B147" s="113">
        <v>18</v>
      </c>
      <c r="C147" s="260" t="s">
        <v>276</v>
      </c>
      <c r="D147" s="261"/>
      <c r="E147" s="270"/>
      <c r="F147" s="270"/>
      <c r="G147" s="270"/>
      <c r="H147" s="270"/>
      <c r="I147" s="270"/>
      <c r="J147" s="270"/>
      <c r="K147" s="270"/>
      <c r="L147" s="270"/>
      <c r="M147" s="270"/>
      <c r="N147" s="270"/>
      <c r="O147" s="270"/>
    </row>
    <row r="148" spans="1:15" s="98" customFormat="1" ht="24.9" customHeight="1" x14ac:dyDescent="0.25">
      <c r="A148" s="106"/>
      <c r="B148" s="106"/>
      <c r="C148" s="111" t="s">
        <v>237</v>
      </c>
      <c r="D148" s="258"/>
      <c r="E148" s="252"/>
      <c r="F148" s="252"/>
      <c r="G148" s="252"/>
      <c r="H148" s="217"/>
      <c r="I148" s="217"/>
      <c r="J148" s="217"/>
      <c r="K148" s="217"/>
      <c r="L148" s="217"/>
      <c r="M148" s="217"/>
      <c r="N148" s="217"/>
      <c r="O148" s="217"/>
    </row>
    <row r="149" spans="1:15" s="98" customFormat="1" ht="27.6" customHeight="1" x14ac:dyDescent="0.25">
      <c r="A149" s="106"/>
      <c r="B149" s="106"/>
      <c r="C149" s="111" t="s">
        <v>277</v>
      </c>
      <c r="D149" s="258" t="s">
        <v>278</v>
      </c>
      <c r="E149" s="252"/>
      <c r="F149" s="252"/>
      <c r="G149" s="252"/>
      <c r="H149" s="252">
        <f>43150+táj1!H149</f>
        <v>43150</v>
      </c>
      <c r="I149" s="352"/>
      <c r="J149" s="252"/>
      <c r="K149" s="252"/>
      <c r="L149" s="252"/>
      <c r="M149" s="252"/>
      <c r="N149" s="252"/>
      <c r="O149" s="217">
        <f t="shared" ref="O149:O154" si="15">SUM(E149:N149)</f>
        <v>43150</v>
      </c>
    </row>
    <row r="150" spans="1:15" s="98" customFormat="1" ht="12.6" customHeight="1" x14ac:dyDescent="0.25">
      <c r="A150" s="106"/>
      <c r="B150" s="106"/>
      <c r="C150" s="260" t="s">
        <v>279</v>
      </c>
      <c r="D150" s="269">
        <v>181905</v>
      </c>
      <c r="E150" s="252"/>
      <c r="F150" s="252"/>
      <c r="G150" s="252">
        <f>25400+táj1!G150</f>
        <v>25400</v>
      </c>
      <c r="H150" s="252"/>
      <c r="I150" s="352"/>
      <c r="J150" s="252"/>
      <c r="K150" s="252"/>
      <c r="L150" s="252"/>
      <c r="M150" s="252"/>
      <c r="N150" s="252"/>
      <c r="O150" s="217">
        <f t="shared" si="15"/>
        <v>25400</v>
      </c>
    </row>
    <row r="151" spans="1:15" s="98" customFormat="1" ht="15" customHeight="1" x14ac:dyDescent="0.25">
      <c r="A151" s="106"/>
      <c r="B151" s="106"/>
      <c r="C151" s="111" t="s">
        <v>280</v>
      </c>
      <c r="D151" s="258">
        <v>181903</v>
      </c>
      <c r="E151" s="252"/>
      <c r="F151" s="252"/>
      <c r="G151" s="252">
        <f>3000+táj1!G151</f>
        <v>3000</v>
      </c>
      <c r="H151" s="252"/>
      <c r="I151" s="352"/>
      <c r="J151" s="252"/>
      <c r="K151" s="252"/>
      <c r="L151" s="252"/>
      <c r="M151" s="252"/>
      <c r="N151" s="252"/>
      <c r="O151" s="217">
        <f t="shared" si="15"/>
        <v>3000</v>
      </c>
    </row>
    <row r="152" spans="1:15" s="98" customFormat="1" ht="18.600000000000001" customHeight="1" x14ac:dyDescent="0.25">
      <c r="A152" s="106"/>
      <c r="B152" s="106"/>
      <c r="C152" s="111" t="s">
        <v>281</v>
      </c>
      <c r="D152" s="258">
        <v>181904</v>
      </c>
      <c r="E152" s="252"/>
      <c r="F152" s="252"/>
      <c r="G152" s="252"/>
      <c r="H152" s="252">
        <f>584+táj1!H152</f>
        <v>584</v>
      </c>
      <c r="I152" s="352"/>
      <c r="J152" s="252"/>
      <c r="K152" s="252"/>
      <c r="L152" s="252"/>
      <c r="M152" s="252"/>
      <c r="N152" s="252"/>
      <c r="O152" s="217">
        <f t="shared" si="15"/>
        <v>584</v>
      </c>
    </row>
    <row r="153" spans="1:15" s="98" customFormat="1" ht="15" customHeight="1" x14ac:dyDescent="0.25">
      <c r="A153" s="106" t="s">
        <v>86</v>
      </c>
      <c r="B153" s="106"/>
      <c r="C153" s="260" t="s">
        <v>282</v>
      </c>
      <c r="D153" s="269">
        <v>181902</v>
      </c>
      <c r="E153" s="252"/>
      <c r="F153" s="252"/>
      <c r="G153" s="252">
        <f>47000+táj1!G153</f>
        <v>47000</v>
      </c>
      <c r="H153" s="252">
        <f>0+táj1!H153</f>
        <v>0</v>
      </c>
      <c r="I153" s="352"/>
      <c r="J153" s="252"/>
      <c r="K153" s="252"/>
      <c r="L153" s="252"/>
      <c r="M153" s="252"/>
      <c r="N153" s="252"/>
      <c r="O153" s="217">
        <f t="shared" si="15"/>
        <v>47000</v>
      </c>
    </row>
    <row r="154" spans="1:15" s="98" customFormat="1" ht="27.75" customHeight="1" x14ac:dyDescent="0.25">
      <c r="A154" s="378"/>
      <c r="B154" s="378"/>
      <c r="C154" s="802" t="s">
        <v>878</v>
      </c>
      <c r="D154" s="380">
        <v>182912</v>
      </c>
      <c r="E154" s="381"/>
      <c r="F154" s="381"/>
      <c r="G154" s="381"/>
      <c r="H154" s="381"/>
      <c r="I154" s="381"/>
      <c r="J154" s="381"/>
      <c r="K154" s="381"/>
      <c r="L154" s="381"/>
      <c r="M154" s="381">
        <f>8386+táj1!M154</f>
        <v>8386</v>
      </c>
      <c r="N154" s="381"/>
      <c r="O154" s="217">
        <f t="shared" si="15"/>
        <v>8386</v>
      </c>
    </row>
    <row r="155" spans="1:15" s="98" customFormat="1" ht="14.25" customHeight="1" x14ac:dyDescent="0.25">
      <c r="A155" s="112"/>
      <c r="B155" s="112"/>
      <c r="C155" s="255" t="s">
        <v>283</v>
      </c>
      <c r="D155" s="112"/>
      <c r="E155" s="271">
        <f>SUM(E149:E154)</f>
        <v>0</v>
      </c>
      <c r="F155" s="271">
        <f t="shared" ref="F155:O155" si="16">SUM(F149:F154)</f>
        <v>0</v>
      </c>
      <c r="G155" s="271">
        <f t="shared" si="16"/>
        <v>75400</v>
      </c>
      <c r="H155" s="271">
        <f t="shared" si="16"/>
        <v>43734</v>
      </c>
      <c r="I155" s="271">
        <f t="shared" si="16"/>
        <v>0</v>
      </c>
      <c r="J155" s="271">
        <f t="shared" si="16"/>
        <v>0</v>
      </c>
      <c r="K155" s="271">
        <f t="shared" si="16"/>
        <v>0</v>
      </c>
      <c r="L155" s="271">
        <f t="shared" si="16"/>
        <v>0</v>
      </c>
      <c r="M155" s="271">
        <f t="shared" si="16"/>
        <v>8386</v>
      </c>
      <c r="N155" s="271">
        <f t="shared" si="16"/>
        <v>0</v>
      </c>
      <c r="O155" s="271">
        <f t="shared" si="16"/>
        <v>127520</v>
      </c>
    </row>
    <row r="156" spans="1:15" s="98" customFormat="1" ht="12.6" customHeight="1" x14ac:dyDescent="0.25">
      <c r="A156" s="106">
        <v>1</v>
      </c>
      <c r="B156" s="106">
        <v>19</v>
      </c>
      <c r="C156" s="257" t="s">
        <v>85</v>
      </c>
      <c r="D156" s="113"/>
      <c r="E156" s="217"/>
      <c r="F156" s="217"/>
      <c r="G156" s="217"/>
      <c r="H156" s="217"/>
      <c r="I156" s="217"/>
      <c r="J156" s="217"/>
      <c r="K156" s="217"/>
      <c r="L156" s="217"/>
      <c r="M156" s="217"/>
      <c r="N156" s="217"/>
      <c r="O156" s="217"/>
    </row>
    <row r="157" spans="1:15" s="98" customFormat="1" ht="26.25" customHeight="1" x14ac:dyDescent="0.25">
      <c r="A157" s="106"/>
      <c r="B157" s="106"/>
      <c r="C157" s="384" t="s">
        <v>284</v>
      </c>
      <c r="D157" s="268"/>
      <c r="E157" s="217"/>
      <c r="F157" s="217"/>
      <c r="G157" s="217"/>
      <c r="H157" s="217"/>
      <c r="I157" s="217"/>
      <c r="J157" s="217"/>
      <c r="K157" s="217"/>
      <c r="L157" s="217"/>
      <c r="M157" s="217"/>
      <c r="N157" s="217"/>
      <c r="O157" s="217"/>
    </row>
    <row r="158" spans="1:15" s="98" customFormat="1" ht="18" customHeight="1" x14ac:dyDescent="0.25">
      <c r="A158" s="106"/>
      <c r="B158" s="106"/>
      <c r="C158" s="115" t="s">
        <v>287</v>
      </c>
      <c r="D158" s="259">
        <v>196919</v>
      </c>
      <c r="E158" s="252"/>
      <c r="F158" s="252"/>
      <c r="G158" s="252"/>
      <c r="H158" s="252">
        <f>2108+táj1!H158</f>
        <v>10108</v>
      </c>
      <c r="I158" s="252"/>
      <c r="J158" s="252"/>
      <c r="K158" s="252"/>
      <c r="L158" s="252"/>
      <c r="M158" s="252"/>
      <c r="N158" s="252">
        <f>7000000+táj1!N158</f>
        <v>7000000</v>
      </c>
      <c r="O158" s="217">
        <f>SUM(H158:N158)</f>
        <v>7010108</v>
      </c>
    </row>
    <row r="159" spans="1:15" s="98" customFormat="1" ht="24.9" customHeight="1" x14ac:dyDescent="0.25">
      <c r="A159" s="106"/>
      <c r="B159" s="106"/>
      <c r="C159" s="260" t="s">
        <v>206</v>
      </c>
      <c r="D159" s="261"/>
      <c r="E159" s="252"/>
      <c r="F159" s="252"/>
      <c r="G159" s="252"/>
      <c r="H159" s="252"/>
      <c r="I159" s="252"/>
      <c r="J159" s="252"/>
      <c r="K159" s="252"/>
      <c r="L159" s="252"/>
      <c r="M159" s="252"/>
      <c r="N159" s="252"/>
      <c r="O159" s="217"/>
    </row>
    <row r="160" spans="1:15" s="98" customFormat="1" ht="13.2" x14ac:dyDescent="0.25">
      <c r="A160" s="106" t="s">
        <v>86</v>
      </c>
      <c r="B160" s="106"/>
      <c r="C160" s="260" t="s">
        <v>285</v>
      </c>
      <c r="D160" s="259">
        <v>191102</v>
      </c>
      <c r="E160" s="252"/>
      <c r="F160" s="252"/>
      <c r="G160" s="252"/>
      <c r="H160" s="252">
        <f>3000+táj1!H160</f>
        <v>3000</v>
      </c>
      <c r="I160" s="252"/>
      <c r="J160" s="252"/>
      <c r="K160" s="252"/>
      <c r="L160" s="252"/>
      <c r="M160" s="252"/>
      <c r="N160" s="252"/>
      <c r="O160" s="217">
        <f t="shared" ref="O160:O163" si="17">SUM(E160:N160)</f>
        <v>3000</v>
      </c>
    </row>
    <row r="161" spans="1:15" s="98" customFormat="1" ht="17.25" customHeight="1" x14ac:dyDescent="0.25">
      <c r="A161" s="106"/>
      <c r="B161" s="106"/>
      <c r="C161" s="115" t="s">
        <v>286</v>
      </c>
      <c r="D161" s="259">
        <v>191103</v>
      </c>
      <c r="E161" s="252"/>
      <c r="F161" s="252"/>
      <c r="G161" s="252"/>
      <c r="H161" s="252">
        <f>101536+táj1!H161</f>
        <v>129333</v>
      </c>
      <c r="I161" s="252"/>
      <c r="J161" s="252"/>
      <c r="K161" s="252"/>
      <c r="L161" s="252"/>
      <c r="M161" s="252"/>
      <c r="N161" s="252"/>
      <c r="O161" s="217">
        <f t="shared" si="17"/>
        <v>129333</v>
      </c>
    </row>
    <row r="162" spans="1:15" s="98" customFormat="1" ht="22.95" customHeight="1" x14ac:dyDescent="0.25">
      <c r="A162" s="509"/>
      <c r="B162" s="509"/>
      <c r="C162" s="527" t="s">
        <v>1096</v>
      </c>
      <c r="D162" s="721">
        <v>192909</v>
      </c>
      <c r="E162" s="507"/>
      <c r="F162" s="507"/>
      <c r="G162" s="507"/>
      <c r="H162" s="252"/>
      <c r="I162" s="252"/>
      <c r="J162" s="252"/>
      <c r="K162" s="252">
        <f>500+táj1!K162</f>
        <v>500</v>
      </c>
      <c r="L162" s="507"/>
      <c r="M162" s="507"/>
      <c r="N162" s="507"/>
      <c r="O162" s="217">
        <f t="shared" si="17"/>
        <v>500</v>
      </c>
    </row>
    <row r="163" spans="1:15" s="98" customFormat="1" ht="26.4" x14ac:dyDescent="0.25">
      <c r="A163" s="106"/>
      <c r="B163" s="106"/>
      <c r="C163" s="260" t="s">
        <v>961</v>
      </c>
      <c r="D163" s="269">
        <v>191196</v>
      </c>
      <c r="E163" s="252"/>
      <c r="F163" s="252"/>
      <c r="G163" s="252"/>
      <c r="H163" s="252"/>
      <c r="I163" s="252"/>
      <c r="J163" s="252"/>
      <c r="K163" s="252"/>
      <c r="L163" s="252"/>
      <c r="M163" s="252">
        <f>1577885+táj1!M163</f>
        <v>1577885</v>
      </c>
      <c r="N163" s="252">
        <f>2507751+táj1!N163</f>
        <v>2507751</v>
      </c>
      <c r="O163" s="217">
        <f t="shared" si="17"/>
        <v>4085636</v>
      </c>
    </row>
    <row r="164" spans="1:15" s="98" customFormat="1" ht="24.9" customHeight="1" x14ac:dyDescent="0.25">
      <c r="A164" s="106"/>
      <c r="B164" s="106"/>
      <c r="C164" s="260" t="s">
        <v>288</v>
      </c>
      <c r="D164" s="261"/>
      <c r="E164" s="252"/>
      <c r="F164" s="252"/>
      <c r="G164" s="252"/>
      <c r="H164" s="252"/>
      <c r="I164" s="252"/>
      <c r="J164" s="252"/>
      <c r="K164" s="252"/>
      <c r="L164" s="252"/>
      <c r="M164" s="252"/>
      <c r="N164" s="252"/>
      <c r="O164" s="217"/>
    </row>
    <row r="165" spans="1:15" s="98" customFormat="1" ht="26.4" x14ac:dyDescent="0.25">
      <c r="A165" s="106"/>
      <c r="B165" s="106"/>
      <c r="C165" s="111" t="s">
        <v>749</v>
      </c>
      <c r="D165" s="258">
        <v>191901</v>
      </c>
      <c r="E165" s="252">
        <f>5297478+táj1!E165</f>
        <v>5347315</v>
      </c>
      <c r="F165" s="352"/>
      <c r="G165" s="352"/>
      <c r="H165" s="352"/>
      <c r="I165" s="252"/>
      <c r="J165" s="252"/>
      <c r="K165" s="252"/>
      <c r="L165" s="252"/>
      <c r="M165" s="252"/>
      <c r="N165" s="252"/>
      <c r="O165" s="217">
        <f t="shared" ref="O165:O170" si="18">SUM(E165:N165)</f>
        <v>5347315</v>
      </c>
    </row>
    <row r="166" spans="1:15" s="98" customFormat="1" ht="13.2" x14ac:dyDescent="0.25">
      <c r="A166" s="106"/>
      <c r="B166" s="106"/>
      <c r="C166" s="523" t="s">
        <v>962</v>
      </c>
      <c r="D166" s="524">
        <v>191901</v>
      </c>
      <c r="E166" s="252">
        <f>366529+táj1!E166</f>
        <v>366529</v>
      </c>
      <c r="F166" s="352"/>
      <c r="G166" s="352"/>
      <c r="H166" s="352"/>
      <c r="I166" s="252"/>
      <c r="J166" s="252"/>
      <c r="K166" s="252"/>
      <c r="L166" s="252"/>
      <c r="M166" s="252"/>
      <c r="N166" s="252"/>
      <c r="O166" s="217">
        <f t="shared" si="18"/>
        <v>366529</v>
      </c>
    </row>
    <row r="167" spans="1:15" s="98" customFormat="1" ht="25.95" customHeight="1" x14ac:dyDescent="0.25">
      <c r="A167" s="106"/>
      <c r="B167" s="106"/>
      <c r="C167" s="803" t="s">
        <v>963</v>
      </c>
      <c r="D167" s="524">
        <v>191901</v>
      </c>
      <c r="E167" s="252">
        <f>0+táj1!E167</f>
        <v>0</v>
      </c>
      <c r="F167" s="352"/>
      <c r="G167" s="352"/>
      <c r="H167" s="352"/>
      <c r="I167" s="252"/>
      <c r="J167" s="252"/>
      <c r="K167" s="252"/>
      <c r="L167" s="252"/>
      <c r="M167" s="252"/>
      <c r="N167" s="252"/>
      <c r="O167" s="217">
        <f t="shared" si="18"/>
        <v>0</v>
      </c>
    </row>
    <row r="168" spans="1:15" s="98" customFormat="1" ht="28.2" customHeight="1" x14ac:dyDescent="0.25">
      <c r="A168" s="106"/>
      <c r="B168" s="106"/>
      <c r="C168" s="803" t="s">
        <v>964</v>
      </c>
      <c r="D168" s="524">
        <v>191901</v>
      </c>
      <c r="E168" s="252">
        <f>224943+táj1!E168</f>
        <v>224943</v>
      </c>
      <c r="F168" s="352"/>
      <c r="G168" s="352"/>
      <c r="H168" s="352"/>
      <c r="I168" s="252"/>
      <c r="J168" s="252"/>
      <c r="K168" s="252"/>
      <c r="L168" s="252"/>
      <c r="M168" s="252"/>
      <c r="N168" s="252"/>
      <c r="O168" s="217">
        <f t="shared" si="18"/>
        <v>224943</v>
      </c>
    </row>
    <row r="169" spans="1:15" s="98" customFormat="1" ht="18" customHeight="1" x14ac:dyDescent="0.25">
      <c r="A169" s="509"/>
      <c r="B169" s="509"/>
      <c r="C169" s="523" t="s">
        <v>965</v>
      </c>
      <c r="D169" s="524">
        <v>191901</v>
      </c>
      <c r="E169" s="252">
        <f>0+táj1!E169</f>
        <v>0</v>
      </c>
      <c r="F169" s="525"/>
      <c r="G169" s="525"/>
      <c r="H169" s="525"/>
      <c r="I169" s="507"/>
      <c r="J169" s="507"/>
      <c r="K169" s="507"/>
      <c r="L169" s="507"/>
      <c r="M169" s="507"/>
      <c r="N169" s="507"/>
      <c r="O169" s="217">
        <f t="shared" si="18"/>
        <v>0</v>
      </c>
    </row>
    <row r="170" spans="1:15" s="98" customFormat="1" ht="18" customHeight="1" x14ac:dyDescent="0.25">
      <c r="A170" s="509"/>
      <c r="B170" s="509"/>
      <c r="C170" s="723" t="s">
        <v>1060</v>
      </c>
      <c r="D170" s="724">
        <v>191116</v>
      </c>
      <c r="E170" s="252">
        <f>24717+táj1!E170</f>
        <v>24717</v>
      </c>
      <c r="F170" s="525"/>
      <c r="G170" s="525"/>
      <c r="H170" s="525"/>
      <c r="I170" s="507"/>
      <c r="J170" s="507"/>
      <c r="K170" s="507"/>
      <c r="L170" s="507"/>
      <c r="M170" s="507"/>
      <c r="N170" s="507"/>
      <c r="O170" s="217">
        <f t="shared" si="18"/>
        <v>24717</v>
      </c>
    </row>
    <row r="171" spans="1:15" s="98" customFormat="1" ht="28.5" customHeight="1" x14ac:dyDescent="0.25">
      <c r="A171" s="106"/>
      <c r="B171" s="106"/>
      <c r="C171" s="260" t="s">
        <v>289</v>
      </c>
      <c r="D171" s="261"/>
      <c r="E171" s="252"/>
      <c r="F171" s="352"/>
      <c r="G171" s="352"/>
      <c r="H171" s="352"/>
      <c r="I171" s="252"/>
      <c r="J171" s="252"/>
      <c r="K171" s="252"/>
      <c r="L171" s="252"/>
      <c r="M171" s="252"/>
      <c r="N171" s="252"/>
      <c r="O171" s="217"/>
    </row>
    <row r="172" spans="1:15" s="98" customFormat="1" ht="14.1" customHeight="1" x14ac:dyDescent="0.25">
      <c r="A172" s="106"/>
      <c r="B172" s="106"/>
      <c r="C172" s="115" t="s">
        <v>290</v>
      </c>
      <c r="D172" s="259">
        <v>191907</v>
      </c>
      <c r="E172" s="252"/>
      <c r="F172" s="252"/>
      <c r="G172" s="252">
        <f>6200000+táj1!G172</f>
        <v>6245000</v>
      </c>
      <c r="H172" s="352"/>
      <c r="I172" s="252"/>
      <c r="J172" s="252"/>
      <c r="K172" s="252"/>
      <c r="L172" s="252"/>
      <c r="M172" s="252"/>
      <c r="N172" s="252"/>
      <c r="O172" s="217">
        <f t="shared" ref="O172:O176" si="19">SUM(E172:N172)</f>
        <v>6245000</v>
      </c>
    </row>
    <row r="173" spans="1:15" s="98" customFormat="1" ht="14.1" customHeight="1" x14ac:dyDescent="0.25">
      <c r="A173" s="106"/>
      <c r="B173" s="106"/>
      <c r="C173" s="115" t="s">
        <v>291</v>
      </c>
      <c r="D173" s="259">
        <v>191907</v>
      </c>
      <c r="E173" s="252"/>
      <c r="F173" s="252"/>
      <c r="G173" s="252">
        <f>6000+táj1!G173</f>
        <v>6000</v>
      </c>
      <c r="H173" s="352"/>
      <c r="I173" s="252"/>
      <c r="J173" s="252"/>
      <c r="K173" s="252"/>
      <c r="L173" s="252"/>
      <c r="M173" s="252"/>
      <c r="N173" s="252"/>
      <c r="O173" s="217">
        <f t="shared" si="19"/>
        <v>6000</v>
      </c>
    </row>
    <row r="174" spans="1:15" s="98" customFormat="1" ht="14.1" customHeight="1" x14ac:dyDescent="0.25">
      <c r="A174" s="106"/>
      <c r="B174" s="106"/>
      <c r="C174" s="115" t="s">
        <v>292</v>
      </c>
      <c r="D174" s="259">
        <v>191907</v>
      </c>
      <c r="E174" s="252"/>
      <c r="F174" s="252"/>
      <c r="G174" s="252">
        <f>1100000+táj1!G174</f>
        <v>1100000</v>
      </c>
      <c r="H174" s="352"/>
      <c r="I174" s="252"/>
      <c r="J174" s="252"/>
      <c r="K174" s="252"/>
      <c r="L174" s="252"/>
      <c r="M174" s="252"/>
      <c r="N174" s="252"/>
      <c r="O174" s="217">
        <f t="shared" si="19"/>
        <v>1100000</v>
      </c>
    </row>
    <row r="175" spans="1:15" s="98" customFormat="1" ht="14.1" customHeight="1" x14ac:dyDescent="0.25">
      <c r="A175" s="106"/>
      <c r="B175" s="106"/>
      <c r="C175" s="115" t="s">
        <v>293</v>
      </c>
      <c r="D175" s="259">
        <v>191907</v>
      </c>
      <c r="E175" s="252"/>
      <c r="F175" s="252"/>
      <c r="G175" s="252">
        <f>28000+táj1!G175</f>
        <v>28000</v>
      </c>
      <c r="H175" s="352"/>
      <c r="I175" s="252"/>
      <c r="J175" s="252"/>
      <c r="K175" s="252"/>
      <c r="L175" s="252"/>
      <c r="M175" s="252"/>
      <c r="N175" s="252"/>
      <c r="O175" s="217">
        <f t="shared" si="19"/>
        <v>28000</v>
      </c>
    </row>
    <row r="176" spans="1:15" s="98" customFormat="1" ht="14.1" customHeight="1" x14ac:dyDescent="0.25">
      <c r="A176" s="106"/>
      <c r="B176" s="106"/>
      <c r="C176" s="115" t="s">
        <v>842</v>
      </c>
      <c r="D176" s="259">
        <v>191907</v>
      </c>
      <c r="E176" s="252"/>
      <c r="F176" s="252"/>
      <c r="G176" s="252">
        <f>35000+táj1!G176</f>
        <v>35000</v>
      </c>
      <c r="H176" s="352"/>
      <c r="I176" s="252"/>
      <c r="J176" s="252"/>
      <c r="K176" s="252"/>
      <c r="L176" s="252"/>
      <c r="M176" s="252"/>
      <c r="N176" s="252"/>
      <c r="O176" s="217">
        <f t="shared" si="19"/>
        <v>35000</v>
      </c>
    </row>
    <row r="177" spans="1:15" s="98" customFormat="1" ht="31.2" customHeight="1" x14ac:dyDescent="0.25">
      <c r="A177" s="106"/>
      <c r="B177" s="106"/>
      <c r="C177" s="111" t="s">
        <v>294</v>
      </c>
      <c r="D177" s="258"/>
      <c r="E177" s="252"/>
      <c r="F177" s="252"/>
      <c r="G177" s="252"/>
      <c r="H177" s="352"/>
      <c r="I177" s="252"/>
      <c r="J177" s="252"/>
      <c r="K177" s="252"/>
      <c r="L177" s="252"/>
      <c r="M177" s="252"/>
      <c r="N177" s="252"/>
      <c r="O177" s="217"/>
    </row>
    <row r="178" spans="1:15" s="98" customFormat="1" ht="31.2" customHeight="1" x14ac:dyDescent="0.25">
      <c r="A178" s="106"/>
      <c r="B178" s="106"/>
      <c r="C178" s="109" t="s">
        <v>295</v>
      </c>
      <c r="D178" s="258">
        <v>191158</v>
      </c>
      <c r="E178" s="252">
        <f>17000+táj1!E178</f>
        <v>17000</v>
      </c>
      <c r="F178" s="252"/>
      <c r="G178" s="252"/>
      <c r="H178" s="352"/>
      <c r="I178" s="252"/>
      <c r="J178" s="252"/>
      <c r="K178" s="252"/>
      <c r="L178" s="252"/>
      <c r="M178" s="252"/>
      <c r="N178" s="252"/>
      <c r="O178" s="217">
        <f>SUM(E178:N178)</f>
        <v>17000</v>
      </c>
    </row>
    <row r="179" spans="1:15" s="98" customFormat="1" ht="15" customHeight="1" x14ac:dyDescent="0.25">
      <c r="A179" s="106"/>
      <c r="B179" s="106"/>
      <c r="C179" s="109" t="s">
        <v>296</v>
      </c>
      <c r="D179" s="258"/>
      <c r="E179" s="252"/>
      <c r="F179" s="252"/>
      <c r="G179" s="252"/>
      <c r="H179" s="352"/>
      <c r="I179" s="252"/>
      <c r="J179" s="252"/>
      <c r="K179" s="252"/>
      <c r="L179" s="252"/>
      <c r="M179" s="252"/>
      <c r="N179" s="252"/>
      <c r="O179" s="217"/>
    </row>
    <row r="180" spans="1:15" s="98" customFormat="1" ht="28.2" customHeight="1" x14ac:dyDescent="0.25">
      <c r="A180" s="106"/>
      <c r="B180" s="106"/>
      <c r="C180" s="260" t="s">
        <v>297</v>
      </c>
      <c r="D180" s="269">
        <v>191906</v>
      </c>
      <c r="E180" s="252">
        <f>12700+táj1!E180</f>
        <v>12700</v>
      </c>
      <c r="F180" s="252"/>
      <c r="G180" s="252"/>
      <c r="H180" s="352"/>
      <c r="I180" s="252"/>
      <c r="J180" s="252"/>
      <c r="K180" s="252"/>
      <c r="L180" s="252"/>
      <c r="M180" s="252"/>
      <c r="N180" s="252"/>
      <c r="O180" s="217">
        <f t="shared" ref="O180:O186" si="20">SUM(E180:N180)</f>
        <v>12700</v>
      </c>
    </row>
    <row r="181" spans="1:15" s="98" customFormat="1" ht="16.95" customHeight="1" x14ac:dyDescent="0.25">
      <c r="A181" s="460"/>
      <c r="B181" s="460"/>
      <c r="C181" s="527" t="s">
        <v>273</v>
      </c>
      <c r="D181" s="521"/>
      <c r="E181" s="252"/>
      <c r="F181" s="463"/>
      <c r="G181" s="463"/>
      <c r="H181" s="464"/>
      <c r="I181" s="463"/>
      <c r="J181" s="463"/>
      <c r="K181" s="463"/>
      <c r="L181" s="463"/>
      <c r="M181" s="463"/>
      <c r="N181" s="463"/>
      <c r="O181" s="217"/>
    </row>
    <row r="182" spans="1:15" s="98" customFormat="1" ht="19.2" customHeight="1" x14ac:dyDescent="0.25">
      <c r="A182" s="460"/>
      <c r="B182" s="460"/>
      <c r="C182" s="752" t="s">
        <v>675</v>
      </c>
      <c r="D182" s="521">
        <v>196901</v>
      </c>
      <c r="E182" s="252"/>
      <c r="F182" s="252"/>
      <c r="G182" s="252"/>
      <c r="H182" s="252"/>
      <c r="I182" s="252"/>
      <c r="J182" s="252"/>
      <c r="K182" s="252"/>
      <c r="L182" s="252"/>
      <c r="M182" s="252">
        <f>3403+táj1!M182</f>
        <v>3403</v>
      </c>
      <c r="N182" s="463"/>
      <c r="O182" s="217">
        <f t="shared" si="20"/>
        <v>3403</v>
      </c>
    </row>
    <row r="183" spans="1:15" s="98" customFormat="1" ht="19.2" customHeight="1" x14ac:dyDescent="0.25">
      <c r="A183" s="509"/>
      <c r="B183" s="509"/>
      <c r="C183" s="804" t="s">
        <v>215</v>
      </c>
      <c r="D183" s="521"/>
      <c r="E183" s="252"/>
      <c r="F183" s="507"/>
      <c r="G183" s="507"/>
      <c r="H183" s="507"/>
      <c r="I183" s="507"/>
      <c r="J183" s="507"/>
      <c r="K183" s="507"/>
      <c r="L183" s="507"/>
      <c r="M183" s="252"/>
      <c r="N183" s="507"/>
      <c r="O183" s="217"/>
    </row>
    <row r="184" spans="1:15" s="98" customFormat="1" ht="19.2" customHeight="1" x14ac:dyDescent="0.25">
      <c r="A184" s="787"/>
      <c r="B184" s="787"/>
      <c r="C184" s="805" t="s">
        <v>1135</v>
      </c>
      <c r="D184" s="791">
        <v>191193</v>
      </c>
      <c r="E184" s="788"/>
      <c r="F184" s="788"/>
      <c r="G184" s="788"/>
      <c r="H184" s="788"/>
      <c r="I184" s="788"/>
      <c r="J184" s="252">
        <f>23300+táj1!J184</f>
        <v>23300</v>
      </c>
      <c r="K184" s="252"/>
      <c r="L184" s="252"/>
      <c r="M184" s="252"/>
      <c r="N184" s="788"/>
      <c r="O184" s="217">
        <f t="shared" si="20"/>
        <v>23300</v>
      </c>
    </row>
    <row r="185" spans="1:15" s="98" customFormat="1" ht="19.2" customHeight="1" x14ac:dyDescent="0.25">
      <c r="A185" s="509"/>
      <c r="B185" s="509"/>
      <c r="C185" s="804" t="s">
        <v>676</v>
      </c>
      <c r="D185" s="521">
        <v>191104</v>
      </c>
      <c r="E185" s="252"/>
      <c r="F185" s="252"/>
      <c r="G185" s="252"/>
      <c r="H185" s="252">
        <f>335+táj1!H185</f>
        <v>335</v>
      </c>
      <c r="I185" s="507"/>
      <c r="J185" s="252"/>
      <c r="K185" s="507"/>
      <c r="L185" s="507"/>
      <c r="M185" s="507"/>
      <c r="N185" s="507"/>
      <c r="O185" s="217">
        <f t="shared" si="20"/>
        <v>335</v>
      </c>
    </row>
    <row r="186" spans="1:15" s="98" customFormat="1" ht="19.2" customHeight="1" x14ac:dyDescent="0.25">
      <c r="A186" s="787"/>
      <c r="B186" s="787"/>
      <c r="C186" s="740" t="s">
        <v>1151</v>
      </c>
      <c r="D186" s="821">
        <v>192902</v>
      </c>
      <c r="E186" s="788"/>
      <c r="F186" s="788"/>
      <c r="G186" s="788"/>
      <c r="H186" s="788"/>
      <c r="I186" s="788"/>
      <c r="J186" s="252">
        <f>0+táj1!J186</f>
        <v>2000</v>
      </c>
      <c r="K186" s="788"/>
      <c r="L186" s="788"/>
      <c r="M186" s="788"/>
      <c r="N186" s="788"/>
      <c r="O186" s="217">
        <f t="shared" si="20"/>
        <v>2000</v>
      </c>
    </row>
    <row r="187" spans="1:15" s="98" customFormat="1" ht="15.75" customHeight="1" x14ac:dyDescent="0.25">
      <c r="A187" s="117"/>
      <c r="B187" s="112"/>
      <c r="C187" s="255" t="s">
        <v>298</v>
      </c>
      <c r="D187" s="112"/>
      <c r="E187" s="256">
        <f>SUM(E157:E186)</f>
        <v>5993204</v>
      </c>
      <c r="F187" s="256">
        <f t="shared" ref="F187:O187" si="21">SUM(F157:F186)</f>
        <v>0</v>
      </c>
      <c r="G187" s="256">
        <f t="shared" si="21"/>
        <v>7414000</v>
      </c>
      <c r="H187" s="256">
        <f t="shared" si="21"/>
        <v>142776</v>
      </c>
      <c r="I187" s="256">
        <f t="shared" si="21"/>
        <v>0</v>
      </c>
      <c r="J187" s="256">
        <f t="shared" si="21"/>
        <v>25300</v>
      </c>
      <c r="K187" s="256">
        <f t="shared" si="21"/>
        <v>500</v>
      </c>
      <c r="L187" s="256">
        <f t="shared" si="21"/>
        <v>0</v>
      </c>
      <c r="M187" s="256">
        <f t="shared" si="21"/>
        <v>1581288</v>
      </c>
      <c r="N187" s="256">
        <f t="shared" si="21"/>
        <v>9507751</v>
      </c>
      <c r="O187" s="256">
        <f t="shared" si="21"/>
        <v>24664819</v>
      </c>
    </row>
    <row r="188" spans="1:15" s="98" customFormat="1" ht="17.100000000000001" customHeight="1" x14ac:dyDescent="0.25">
      <c r="A188" s="106">
        <v>1</v>
      </c>
      <c r="B188" s="113">
        <v>22</v>
      </c>
      <c r="C188" s="257" t="s">
        <v>7</v>
      </c>
      <c r="D188" s="113"/>
      <c r="E188" s="270"/>
      <c r="F188" s="270"/>
      <c r="G188" s="270"/>
      <c r="H188" s="270"/>
      <c r="I188" s="270"/>
      <c r="J188" s="270"/>
      <c r="K188" s="270"/>
      <c r="L188" s="270"/>
      <c r="M188" s="270"/>
      <c r="N188" s="270"/>
      <c r="O188" s="270"/>
    </row>
    <row r="189" spans="1:15" s="98" customFormat="1" ht="17.100000000000001" customHeight="1" x14ac:dyDescent="0.25">
      <c r="A189" s="509"/>
      <c r="B189" s="725"/>
      <c r="C189" s="806" t="s">
        <v>229</v>
      </c>
      <c r="D189" s="725"/>
      <c r="E189" s="726"/>
      <c r="F189" s="726"/>
      <c r="G189" s="726"/>
      <c r="H189" s="726"/>
      <c r="I189" s="726"/>
      <c r="J189" s="726"/>
      <c r="K189" s="726"/>
      <c r="L189" s="726"/>
      <c r="M189" s="726"/>
      <c r="N189" s="726"/>
      <c r="O189" s="726"/>
    </row>
    <row r="190" spans="1:15" s="98" customFormat="1" ht="17.100000000000001" customHeight="1" x14ac:dyDescent="0.25">
      <c r="A190" s="509"/>
      <c r="B190" s="725"/>
      <c r="C190" s="807" t="s">
        <v>704</v>
      </c>
      <c r="D190" s="509" t="s">
        <v>705</v>
      </c>
      <c r="E190" s="508"/>
      <c r="F190" s="508"/>
      <c r="G190" s="508"/>
      <c r="H190" s="508">
        <f>2+táj1!H190</f>
        <v>2</v>
      </c>
      <c r="I190" s="508"/>
      <c r="J190" s="508">
        <f>417+táj1!J190</f>
        <v>417</v>
      </c>
      <c r="K190" s="508"/>
      <c r="L190" s="508"/>
      <c r="M190" s="508"/>
      <c r="N190" s="508"/>
      <c r="O190" s="508">
        <f>SUM(E190:N190)</f>
        <v>419</v>
      </c>
    </row>
    <row r="191" spans="1:15" s="98" customFormat="1" ht="17.100000000000001" customHeight="1" x14ac:dyDescent="0.25">
      <c r="A191" s="509"/>
      <c r="B191" s="725"/>
      <c r="C191" s="807" t="s">
        <v>696</v>
      </c>
      <c r="D191" s="509">
        <v>221939</v>
      </c>
      <c r="E191" s="508"/>
      <c r="F191" s="508"/>
      <c r="G191" s="508"/>
      <c r="H191" s="508"/>
      <c r="I191" s="508"/>
      <c r="J191" s="508">
        <f>100+táj1!J191</f>
        <v>100</v>
      </c>
      <c r="K191" s="508"/>
      <c r="L191" s="508"/>
      <c r="M191" s="508"/>
      <c r="N191" s="508"/>
      <c r="O191" s="508">
        <f>SUM(E191:N191)</f>
        <v>100</v>
      </c>
    </row>
    <row r="192" spans="1:15" s="98" customFormat="1" ht="17.100000000000001" customHeight="1" x14ac:dyDescent="0.25">
      <c r="A192" s="509"/>
      <c r="B192" s="725"/>
      <c r="C192" s="523" t="s">
        <v>1097</v>
      </c>
      <c r="D192" s="755">
        <v>221925</v>
      </c>
      <c r="E192" s="508"/>
      <c r="F192" s="508"/>
      <c r="G192" s="508"/>
      <c r="H192" s="508">
        <f>300+táj1!H192</f>
        <v>300</v>
      </c>
      <c r="I192" s="508"/>
      <c r="J192" s="508">
        <f>0+táj1!J192</f>
        <v>0</v>
      </c>
      <c r="K192" s="508"/>
      <c r="L192" s="508"/>
      <c r="M192" s="508"/>
      <c r="N192" s="508"/>
      <c r="O192" s="508">
        <f>SUM(E192:N192)</f>
        <v>300</v>
      </c>
    </row>
    <row r="193" spans="1:15" s="98" customFormat="1" ht="26.4" customHeight="1" x14ac:dyDescent="0.25">
      <c r="A193" s="787"/>
      <c r="B193" s="782"/>
      <c r="C193" s="808" t="s">
        <v>1136</v>
      </c>
      <c r="D193" s="787">
        <v>221956</v>
      </c>
      <c r="E193" s="785"/>
      <c r="F193" s="785"/>
      <c r="G193" s="785"/>
      <c r="H193" s="785"/>
      <c r="I193" s="785"/>
      <c r="J193" s="508"/>
      <c r="K193" s="508">
        <f>150+táj1!K193</f>
        <v>150</v>
      </c>
      <c r="L193" s="785"/>
      <c r="M193" s="785"/>
      <c r="N193" s="785"/>
      <c r="O193" s="508">
        <f t="shared" ref="O193:O195" si="22">SUM(E193:N193)</f>
        <v>150</v>
      </c>
    </row>
    <row r="194" spans="1:15" s="98" customFormat="1" ht="17.100000000000001" customHeight="1" x14ac:dyDescent="0.25">
      <c r="A194" s="787"/>
      <c r="B194" s="782"/>
      <c r="C194" s="809" t="s">
        <v>206</v>
      </c>
      <c r="D194" s="787"/>
      <c r="E194" s="785"/>
      <c r="F194" s="785"/>
      <c r="G194" s="785"/>
      <c r="H194" s="785"/>
      <c r="I194" s="785"/>
      <c r="J194" s="508"/>
      <c r="K194" s="785"/>
      <c r="L194" s="785"/>
      <c r="M194" s="785"/>
      <c r="N194" s="785"/>
      <c r="O194" s="508"/>
    </row>
    <row r="195" spans="1:15" s="98" customFormat="1" ht="17.100000000000001" customHeight="1" x14ac:dyDescent="0.25">
      <c r="A195" s="787"/>
      <c r="B195" s="782"/>
      <c r="C195" s="810" t="s">
        <v>699</v>
      </c>
      <c r="D195" s="787">
        <v>191110</v>
      </c>
      <c r="E195" s="785"/>
      <c r="F195" s="785"/>
      <c r="G195" s="785"/>
      <c r="H195" s="785"/>
      <c r="I195" s="785"/>
      <c r="J195" s="508">
        <f>3000+táj1!J195</f>
        <v>3000</v>
      </c>
      <c r="K195" s="785"/>
      <c r="L195" s="785"/>
      <c r="M195" s="785"/>
      <c r="N195" s="785"/>
      <c r="O195" s="508">
        <f t="shared" si="22"/>
        <v>3000</v>
      </c>
    </row>
    <row r="196" spans="1:15" s="98" customFormat="1" ht="17.100000000000001" customHeight="1" x14ac:dyDescent="0.25">
      <c r="A196" s="509"/>
      <c r="B196" s="725"/>
      <c r="C196" s="811" t="s">
        <v>215</v>
      </c>
      <c r="D196" s="725"/>
      <c r="E196" s="508"/>
      <c r="F196" s="508"/>
      <c r="G196" s="508"/>
      <c r="H196" s="508"/>
      <c r="I196" s="508"/>
      <c r="J196" s="508"/>
      <c r="K196" s="508"/>
      <c r="L196" s="508"/>
      <c r="M196" s="508"/>
      <c r="N196" s="508"/>
      <c r="O196" s="508"/>
    </row>
    <row r="197" spans="1:15" s="98" customFormat="1" ht="17.100000000000001" customHeight="1" x14ac:dyDescent="0.25">
      <c r="A197" s="509"/>
      <c r="B197" s="725"/>
      <c r="C197" s="807" t="s">
        <v>1081</v>
      </c>
      <c r="D197" s="509">
        <v>222933</v>
      </c>
      <c r="E197" s="508"/>
      <c r="F197" s="508"/>
      <c r="G197" s="508"/>
      <c r="H197" s="508"/>
      <c r="I197" s="508"/>
      <c r="J197" s="508"/>
      <c r="K197" s="508">
        <f>3924+táj1!K197</f>
        <v>3924</v>
      </c>
      <c r="L197" s="508"/>
      <c r="M197" s="508"/>
      <c r="N197" s="508"/>
      <c r="O197" s="508">
        <f t="shared" ref="O197" si="23">SUM(E197:N197)</f>
        <v>3924</v>
      </c>
    </row>
    <row r="198" spans="1:15" s="98" customFormat="1" ht="17.100000000000001" customHeight="1" x14ac:dyDescent="0.25">
      <c r="A198" s="117"/>
      <c r="B198" s="112"/>
      <c r="C198" s="255" t="s">
        <v>299</v>
      </c>
      <c r="D198" s="112"/>
      <c r="E198" s="256">
        <f>SUM(E189:E197)</f>
        <v>0</v>
      </c>
      <c r="F198" s="256">
        <f t="shared" ref="F198:O198" si="24">SUM(F189:F197)</f>
        <v>0</v>
      </c>
      <c r="G198" s="256">
        <f t="shared" si="24"/>
        <v>0</v>
      </c>
      <c r="H198" s="256">
        <f t="shared" si="24"/>
        <v>302</v>
      </c>
      <c r="I198" s="256">
        <f t="shared" si="24"/>
        <v>0</v>
      </c>
      <c r="J198" s="256">
        <f t="shared" si="24"/>
        <v>3517</v>
      </c>
      <c r="K198" s="256">
        <f t="shared" si="24"/>
        <v>4074</v>
      </c>
      <c r="L198" s="256">
        <f t="shared" si="24"/>
        <v>0</v>
      </c>
      <c r="M198" s="256">
        <f t="shared" si="24"/>
        <v>0</v>
      </c>
      <c r="N198" s="256">
        <f t="shared" si="24"/>
        <v>0</v>
      </c>
      <c r="O198" s="256">
        <f t="shared" si="24"/>
        <v>7893</v>
      </c>
    </row>
    <row r="199" spans="1:15" s="98" customFormat="1" ht="24.9" customHeight="1" x14ac:dyDescent="0.25">
      <c r="A199" s="112"/>
      <c r="B199" s="112"/>
      <c r="C199" s="118" t="s">
        <v>10</v>
      </c>
      <c r="D199" s="272"/>
      <c r="E199" s="256">
        <f t="shared" ref="E199:O199" si="25">SUM(E8+E30+E35+E58+E112+E146+E155+E187+E198)</f>
        <v>6608027</v>
      </c>
      <c r="F199" s="256">
        <f t="shared" si="25"/>
        <v>6370148</v>
      </c>
      <c r="G199" s="256">
        <f t="shared" si="25"/>
        <v>7489400</v>
      </c>
      <c r="H199" s="256">
        <f t="shared" si="25"/>
        <v>4087663</v>
      </c>
      <c r="I199" s="256">
        <f t="shared" si="25"/>
        <v>234744</v>
      </c>
      <c r="J199" s="256">
        <f t="shared" si="25"/>
        <v>55968</v>
      </c>
      <c r="K199" s="256">
        <f t="shared" si="25"/>
        <v>8806</v>
      </c>
      <c r="L199" s="256">
        <f t="shared" si="25"/>
        <v>0</v>
      </c>
      <c r="M199" s="256">
        <f t="shared" si="25"/>
        <v>9861224</v>
      </c>
      <c r="N199" s="256">
        <f t="shared" si="25"/>
        <v>21292995</v>
      </c>
      <c r="O199" s="256">
        <f t="shared" si="25"/>
        <v>56008975</v>
      </c>
    </row>
    <row r="200" spans="1:15" s="711" customFormat="1" ht="15.9" customHeight="1" x14ac:dyDescent="0.25">
      <c r="A200" s="106">
        <v>2</v>
      </c>
      <c r="B200" s="106"/>
      <c r="C200" s="718" t="s">
        <v>174</v>
      </c>
      <c r="D200" s="719"/>
      <c r="E200" s="217">
        <f>'9'!F23</f>
        <v>915029</v>
      </c>
      <c r="F200" s="217">
        <f>'9'!G23</f>
        <v>109938</v>
      </c>
      <c r="G200" s="217">
        <f>'9'!H23</f>
        <v>5675</v>
      </c>
      <c r="H200" s="217">
        <f>'9'!I23</f>
        <v>2130439</v>
      </c>
      <c r="I200" s="217">
        <f>'9'!J23</f>
        <v>5064</v>
      </c>
      <c r="J200" s="217">
        <f>'9'!K23</f>
        <v>2927</v>
      </c>
      <c r="K200" s="217">
        <f>'9'!L23</f>
        <v>1424</v>
      </c>
      <c r="L200" s="217"/>
      <c r="M200" s="217">
        <f>'9'!M23</f>
        <v>1174763</v>
      </c>
      <c r="N200" s="217">
        <f>'9'!O23</f>
        <v>205000</v>
      </c>
      <c r="O200" s="217">
        <f>SUM(E200:N200)</f>
        <v>4550259</v>
      </c>
    </row>
    <row r="201" spans="1:15" s="98" customFormat="1" ht="15.9" customHeight="1" x14ac:dyDescent="0.25">
      <c r="A201" s="112"/>
      <c r="B201" s="112"/>
      <c r="C201" s="273" t="s">
        <v>164</v>
      </c>
      <c r="D201" s="112"/>
      <c r="E201" s="256">
        <f>SUM(E199:E200)</f>
        <v>7523056</v>
      </c>
      <c r="F201" s="256">
        <f>SUM(F199:F200)</f>
        <v>6480086</v>
      </c>
      <c r="G201" s="256">
        <f t="shared" ref="G201:O201" si="26">SUM(G199:G200)</f>
        <v>7495075</v>
      </c>
      <c r="H201" s="256">
        <f t="shared" si="26"/>
        <v>6218102</v>
      </c>
      <c r="I201" s="256">
        <f t="shared" si="26"/>
        <v>239808</v>
      </c>
      <c r="J201" s="256">
        <f t="shared" si="26"/>
        <v>58895</v>
      </c>
      <c r="K201" s="256">
        <f t="shared" si="26"/>
        <v>10230</v>
      </c>
      <c r="L201" s="256">
        <f t="shared" si="26"/>
        <v>0</v>
      </c>
      <c r="M201" s="256">
        <f t="shared" si="26"/>
        <v>11035987</v>
      </c>
      <c r="N201" s="256">
        <f t="shared" si="26"/>
        <v>21497995</v>
      </c>
      <c r="O201" s="256">
        <f t="shared" si="26"/>
        <v>60559234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2023.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9" activePane="bottomLeft" state="frozen"/>
      <selection activeCell="A30" sqref="A30"/>
      <selection pane="bottomLeft" activeCell="I14" sqref="I14:J14"/>
    </sheetView>
  </sheetViews>
  <sheetFormatPr defaultColWidth="9.33203125" defaultRowHeight="11.4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77734375" style="11" customWidth="1"/>
    <col min="6" max="6" width="10.44140625" style="11" customWidth="1"/>
    <col min="7" max="7" width="9.77734375" style="11" customWidth="1"/>
    <col min="8" max="8" width="10.44140625" style="11" customWidth="1"/>
    <col min="9" max="9" width="10.77734375" style="11" customWidth="1"/>
    <col min="10" max="10" width="10.6640625" style="11" customWidth="1"/>
    <col min="11" max="11" width="9.44140625" style="11" customWidth="1"/>
    <col min="12" max="12" width="11.33203125" style="11" customWidth="1"/>
    <col min="13" max="13" width="11.77734375" style="11" customWidth="1"/>
    <col min="14" max="14" width="12" style="11" customWidth="1"/>
    <col min="15" max="16384" width="9.33203125" style="11"/>
  </cols>
  <sheetData>
    <row r="1" spans="1:14" ht="12.75" customHeight="1" x14ac:dyDescent="0.25">
      <c r="A1" s="843" t="s">
        <v>87</v>
      </c>
      <c r="B1" s="843" t="s">
        <v>88</v>
      </c>
      <c r="C1" s="843" t="s">
        <v>124</v>
      </c>
      <c r="D1" s="842" t="s">
        <v>130</v>
      </c>
      <c r="E1" s="842"/>
      <c r="F1" s="842"/>
      <c r="G1" s="842"/>
      <c r="H1" s="842"/>
      <c r="I1" s="842"/>
      <c r="J1" s="842"/>
      <c r="K1" s="842"/>
      <c r="L1" s="842" t="s">
        <v>129</v>
      </c>
      <c r="M1" s="842"/>
      <c r="N1" s="843" t="s">
        <v>172</v>
      </c>
    </row>
    <row r="2" spans="1:14" s="19" customFormat="1" ht="60" customHeight="1" x14ac:dyDescent="0.25">
      <c r="A2" s="843"/>
      <c r="B2" s="843"/>
      <c r="C2" s="843"/>
      <c r="D2" s="65" t="s">
        <v>111</v>
      </c>
      <c r="E2" s="65" t="s">
        <v>189</v>
      </c>
      <c r="F2" s="65" t="s">
        <v>183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65" t="s">
        <v>134</v>
      </c>
      <c r="M2" s="65" t="s">
        <v>136</v>
      </c>
      <c r="N2" s="843"/>
    </row>
    <row r="3" spans="1:14" s="19" customFormat="1" ht="15" customHeight="1" x14ac:dyDescent="0.25">
      <c r="A3" s="2">
        <v>1</v>
      </c>
      <c r="B3" s="2"/>
      <c r="C3" s="33" t="s">
        <v>173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5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" customHeight="1" x14ac:dyDescent="0.25">
      <c r="A5" s="4"/>
      <c r="B5" s="4">
        <v>12</v>
      </c>
      <c r="C5" s="71" t="s">
        <v>99</v>
      </c>
      <c r="D5" s="35">
        <f>'8'!G48</f>
        <v>150</v>
      </c>
      <c r="E5" s="35">
        <f>'8'!H48</f>
        <v>3950</v>
      </c>
      <c r="F5" s="35">
        <f>'8'!I48</f>
        <v>51505</v>
      </c>
      <c r="G5" s="35">
        <f>'8'!J48</f>
        <v>91292</v>
      </c>
      <c r="H5" s="35">
        <f>'8'!K48</f>
        <v>3773</v>
      </c>
      <c r="I5" s="35">
        <f>'8'!L48</f>
        <v>610</v>
      </c>
      <c r="J5" s="35">
        <f>'8'!M48</f>
        <v>0</v>
      </c>
      <c r="K5" s="35">
        <f>'8'!N48</f>
        <v>31819</v>
      </c>
      <c r="L5" s="35">
        <f>'8'!O48</f>
        <v>0</v>
      </c>
      <c r="M5" s="35">
        <f>'8'!P48</f>
        <v>0</v>
      </c>
      <c r="N5" s="5">
        <f>SUM(D5:M5)</f>
        <v>183099</v>
      </c>
    </row>
    <row r="6" spans="1:14" s="20" customFormat="1" ht="14.1" customHeight="1" x14ac:dyDescent="0.25">
      <c r="A6" s="4"/>
      <c r="B6" s="4">
        <v>13</v>
      </c>
      <c r="C6" s="33" t="s">
        <v>100</v>
      </c>
      <c r="D6" s="35">
        <f>'8'!G194</f>
        <v>4073</v>
      </c>
      <c r="E6" s="35">
        <f>'8'!H194</f>
        <v>1035</v>
      </c>
      <c r="F6" s="35">
        <f>'8'!I194</f>
        <v>35682</v>
      </c>
      <c r="G6" s="35">
        <f>'8'!J194</f>
        <v>3500</v>
      </c>
      <c r="H6" s="35">
        <f>'8'!K194</f>
        <v>1563562</v>
      </c>
      <c r="I6" s="35">
        <f>'8'!L194</f>
        <v>2800</v>
      </c>
      <c r="J6" s="35">
        <f>'8'!M194</f>
        <v>61293</v>
      </c>
      <c r="K6" s="35">
        <f>'8'!N194</f>
        <v>26498</v>
      </c>
      <c r="L6" s="35">
        <f>'8'!O194</f>
        <v>0</v>
      </c>
      <c r="M6" s="35">
        <f>'8'!P194</f>
        <v>0</v>
      </c>
      <c r="N6" s="5">
        <f t="shared" ref="N6:N14" si="0">SUM(D6:M6)</f>
        <v>1698443</v>
      </c>
    </row>
    <row r="7" spans="1:14" s="20" customFormat="1" ht="14.1" customHeight="1" x14ac:dyDescent="0.25">
      <c r="A7" s="4"/>
      <c r="B7" s="4">
        <v>14</v>
      </c>
      <c r="C7" s="33" t="s">
        <v>175</v>
      </c>
      <c r="D7" s="35">
        <f>'8'!G206</f>
        <v>0</v>
      </c>
      <c r="E7" s="35">
        <f>'8'!H206</f>
        <v>0</v>
      </c>
      <c r="F7" s="35">
        <f>'8'!I206</f>
        <v>8797</v>
      </c>
      <c r="G7" s="35">
        <f>'8'!J206</f>
        <v>0</v>
      </c>
      <c r="H7" s="35">
        <f>'8'!K206</f>
        <v>0</v>
      </c>
      <c r="I7" s="35">
        <f>'8'!L206</f>
        <v>37736</v>
      </c>
      <c r="J7" s="35">
        <f>'8'!M206</f>
        <v>0</v>
      </c>
      <c r="K7" s="35">
        <f>'8'!N206</f>
        <v>6151</v>
      </c>
      <c r="L7" s="35">
        <f>'8'!O206</f>
        <v>0</v>
      </c>
      <c r="M7" s="35">
        <f>'8'!P206</f>
        <v>0</v>
      </c>
      <c r="N7" s="5">
        <f t="shared" si="0"/>
        <v>52684</v>
      </c>
    </row>
    <row r="8" spans="1:14" s="20" customFormat="1" ht="14.1" customHeight="1" x14ac:dyDescent="0.25">
      <c r="A8" s="4"/>
      <c r="B8" s="4">
        <v>15</v>
      </c>
      <c r="C8" s="40" t="s">
        <v>127</v>
      </c>
      <c r="D8" s="35">
        <f>'8'!G367</f>
        <v>12048</v>
      </c>
      <c r="E8" s="35">
        <f>'8'!H367</f>
        <v>1687</v>
      </c>
      <c r="F8" s="35">
        <f>'8'!I367</f>
        <v>2616044</v>
      </c>
      <c r="G8" s="35">
        <f>'8'!J367</f>
        <v>0</v>
      </c>
      <c r="H8" s="35">
        <f>'8'!K367</f>
        <v>823462</v>
      </c>
      <c r="I8" s="35">
        <f>'8'!L367</f>
        <v>136088</v>
      </c>
      <c r="J8" s="35">
        <f>'8'!M367</f>
        <v>200597</v>
      </c>
      <c r="K8" s="35">
        <f>'8'!N367</f>
        <v>0</v>
      </c>
      <c r="L8" s="35">
        <f>'8'!O367</f>
        <v>0</v>
      </c>
      <c r="M8" s="35">
        <f>'8'!P367</f>
        <v>0</v>
      </c>
      <c r="N8" s="5">
        <f t="shared" si="0"/>
        <v>3789926</v>
      </c>
    </row>
    <row r="9" spans="1:14" s="20" customFormat="1" ht="14.1" customHeight="1" x14ac:dyDescent="0.25">
      <c r="A9" s="4"/>
      <c r="B9" s="4">
        <v>16</v>
      </c>
      <c r="C9" s="40" t="s">
        <v>116</v>
      </c>
      <c r="D9" s="35">
        <f>'8'!G479</f>
        <v>30917</v>
      </c>
      <c r="E9" s="35">
        <f>'8'!H479</f>
        <v>4220</v>
      </c>
      <c r="F9" s="35">
        <f>'8'!I479</f>
        <v>3683069</v>
      </c>
      <c r="G9" s="35">
        <f>'8'!J479</f>
        <v>0</v>
      </c>
      <c r="H9" s="35">
        <f>'8'!K479</f>
        <v>95924</v>
      </c>
      <c r="I9" s="35">
        <f>'8'!L479</f>
        <v>17173948</v>
      </c>
      <c r="J9" s="35">
        <f>'8'!M479</f>
        <v>6334485</v>
      </c>
      <c r="K9" s="35">
        <f>'8'!N479</f>
        <v>2900035</v>
      </c>
      <c r="L9" s="35">
        <f>'8'!O479</f>
        <v>0</v>
      </c>
      <c r="M9" s="35">
        <f>'8'!P479</f>
        <v>0</v>
      </c>
      <c r="N9" s="5">
        <f t="shared" si="0"/>
        <v>30222598</v>
      </c>
    </row>
    <row r="10" spans="1:14" s="20" customFormat="1" ht="14.1" customHeight="1" x14ac:dyDescent="0.25">
      <c r="A10" s="4"/>
      <c r="B10" s="4">
        <v>17</v>
      </c>
      <c r="C10" s="40" t="s">
        <v>128</v>
      </c>
      <c r="D10" s="35">
        <f>'8'!G499</f>
        <v>0</v>
      </c>
      <c r="E10" s="35">
        <f>'8'!H499</f>
        <v>0</v>
      </c>
      <c r="F10" s="35">
        <f>'8'!I499</f>
        <v>192815</v>
      </c>
      <c r="G10" s="35">
        <f>'8'!J499</f>
        <v>0</v>
      </c>
      <c r="H10" s="35">
        <f>'8'!K499</f>
        <v>0</v>
      </c>
      <c r="I10" s="35">
        <f>'8'!L499</f>
        <v>12268</v>
      </c>
      <c r="J10" s="35">
        <f>'8'!M499</f>
        <v>1548</v>
      </c>
      <c r="K10" s="35">
        <f>'8'!N499</f>
        <v>44000</v>
      </c>
      <c r="L10" s="35">
        <f>'8'!O499</f>
        <v>0</v>
      </c>
      <c r="M10" s="35">
        <f>'8'!P499</f>
        <v>0</v>
      </c>
      <c r="N10" s="5">
        <f t="shared" si="0"/>
        <v>250631</v>
      </c>
    </row>
    <row r="11" spans="1:14" s="20" customFormat="1" ht="14.1" customHeight="1" x14ac:dyDescent="0.25">
      <c r="A11" s="4"/>
      <c r="B11" s="4">
        <v>18</v>
      </c>
      <c r="C11" s="40" t="s">
        <v>18</v>
      </c>
      <c r="D11" s="35">
        <f>'8'!G524</f>
        <v>194788</v>
      </c>
      <c r="E11" s="35">
        <f>'8'!H524</f>
        <v>24574</v>
      </c>
      <c r="F11" s="35">
        <f>'8'!I524</f>
        <v>172509</v>
      </c>
      <c r="G11" s="35">
        <f>'8'!J524</f>
        <v>0</v>
      </c>
      <c r="H11" s="35">
        <f>'8'!K524</f>
        <v>7275</v>
      </c>
      <c r="I11" s="35">
        <f>'8'!L524</f>
        <v>4363</v>
      </c>
      <c r="J11" s="35">
        <f>'8'!M524</f>
        <v>2000</v>
      </c>
      <c r="K11" s="35">
        <f>'8'!N524</f>
        <v>8386</v>
      </c>
      <c r="L11" s="35">
        <f>'8'!O524</f>
        <v>0</v>
      </c>
      <c r="M11" s="35">
        <f>'8'!P524</f>
        <v>0</v>
      </c>
      <c r="N11" s="5">
        <f t="shared" si="0"/>
        <v>413895</v>
      </c>
    </row>
    <row r="12" spans="1:14" s="20" customFormat="1" ht="14.1" customHeight="1" x14ac:dyDescent="0.25">
      <c r="A12" s="4"/>
      <c r="B12" s="4">
        <v>19</v>
      </c>
      <c r="C12" s="39" t="s">
        <v>85</v>
      </c>
      <c r="D12" s="35">
        <f>'8'!G555</f>
        <v>0</v>
      </c>
      <c r="E12" s="35">
        <f>'8'!H555</f>
        <v>0</v>
      </c>
      <c r="F12" s="35">
        <f>'8'!I555</f>
        <v>626388</v>
      </c>
      <c r="G12" s="35">
        <f>'8'!J555</f>
        <v>0</v>
      </c>
      <c r="H12" s="35">
        <f>'8'!K555</f>
        <v>2262803</v>
      </c>
      <c r="I12" s="35">
        <f>'8'!L555</f>
        <v>0</v>
      </c>
      <c r="J12" s="35">
        <f>'8'!M555</f>
        <v>0</v>
      </c>
      <c r="K12" s="35">
        <f>'8'!N555</f>
        <v>5400</v>
      </c>
      <c r="L12" s="35">
        <f>'8'!O555</f>
        <v>122216</v>
      </c>
      <c r="M12" s="35">
        <f>'8'!P555</f>
        <v>7181338</v>
      </c>
      <c r="N12" s="5">
        <f t="shared" si="0"/>
        <v>10198145</v>
      </c>
    </row>
    <row r="13" spans="1:14" s="20" customFormat="1" ht="27" customHeight="1" x14ac:dyDescent="0.25">
      <c r="A13" s="4"/>
      <c r="B13" s="4">
        <v>22</v>
      </c>
      <c r="C13" s="70" t="s">
        <v>8</v>
      </c>
      <c r="D13" s="35">
        <f>'8'!G598</f>
        <v>47491</v>
      </c>
      <c r="E13" s="35">
        <f>'8'!H598</f>
        <v>19464</v>
      </c>
      <c r="F13" s="35">
        <f>'8'!I598</f>
        <v>134344</v>
      </c>
      <c r="G13" s="35">
        <f>'8'!J598</f>
        <v>0</v>
      </c>
      <c r="H13" s="35">
        <f>'8'!K598</f>
        <v>363932</v>
      </c>
      <c r="I13" s="35">
        <f>'8'!L598</f>
        <v>16153</v>
      </c>
      <c r="J13" s="35">
        <f>'8'!M598</f>
        <v>0</v>
      </c>
      <c r="K13" s="35">
        <f>'8'!N598</f>
        <v>18906</v>
      </c>
      <c r="L13" s="35">
        <f>'8'!O598</f>
        <v>0</v>
      </c>
      <c r="M13" s="35">
        <f>'8'!P598</f>
        <v>0</v>
      </c>
      <c r="N13" s="5">
        <f t="shared" si="0"/>
        <v>600290</v>
      </c>
    </row>
    <row r="14" spans="1:14" s="20" customFormat="1" ht="12.9" customHeight="1" x14ac:dyDescent="0.25">
      <c r="A14" s="4"/>
      <c r="B14" s="4">
        <v>30</v>
      </c>
      <c r="C14" s="6" t="s">
        <v>5</v>
      </c>
      <c r="D14" s="35">
        <f>'8'!G616</f>
        <v>0</v>
      </c>
      <c r="E14" s="35">
        <f>'8'!H616</f>
        <v>0</v>
      </c>
      <c r="F14" s="35">
        <f>'8'!I616</f>
        <v>0</v>
      </c>
      <c r="G14" s="35">
        <f>'8'!J616</f>
        <v>0</v>
      </c>
      <c r="H14" s="35">
        <f>'8'!K616</f>
        <v>649513</v>
      </c>
      <c r="I14" s="35">
        <f>'8'!L616</f>
        <v>632305</v>
      </c>
      <c r="J14" s="35">
        <f>'8'!M616</f>
        <v>1682</v>
      </c>
      <c r="K14" s="35">
        <f>'8'!N616</f>
        <v>0</v>
      </c>
      <c r="L14" s="35">
        <f>'8'!O616</f>
        <v>0</v>
      </c>
      <c r="M14" s="35">
        <f>'8'!P616</f>
        <v>0</v>
      </c>
      <c r="N14" s="5">
        <f t="shared" si="0"/>
        <v>1283500</v>
      </c>
    </row>
    <row r="15" spans="1:14" s="20" customFormat="1" ht="34.5" customHeight="1" x14ac:dyDescent="0.25">
      <c r="A15" s="41"/>
      <c r="B15" s="41"/>
      <c r="C15" s="62" t="s">
        <v>10</v>
      </c>
      <c r="D15" s="7">
        <f>SUM(D3:D14)</f>
        <v>289467</v>
      </c>
      <c r="E15" s="7">
        <f>SUM(E3:E14)</f>
        <v>54930</v>
      </c>
      <c r="F15" s="7">
        <f t="shared" ref="F15:N15" si="1">SUM(F5:F14)</f>
        <v>7521153</v>
      </c>
      <c r="G15" s="7">
        <f t="shared" si="1"/>
        <v>94792</v>
      </c>
      <c r="H15" s="7">
        <f t="shared" si="1"/>
        <v>5770244</v>
      </c>
      <c r="I15" s="7">
        <f t="shared" si="1"/>
        <v>18016271</v>
      </c>
      <c r="J15" s="7">
        <f t="shared" si="1"/>
        <v>6601605</v>
      </c>
      <c r="K15" s="7">
        <f t="shared" si="1"/>
        <v>3041195</v>
      </c>
      <c r="L15" s="7">
        <f t="shared" si="1"/>
        <v>122216</v>
      </c>
      <c r="M15" s="7">
        <f t="shared" si="1"/>
        <v>7181338</v>
      </c>
      <c r="N15" s="7">
        <f t="shared" si="1"/>
        <v>48693211</v>
      </c>
    </row>
    <row r="16" spans="1:14" s="20" customFormat="1" ht="12.9" customHeight="1" x14ac:dyDescent="0.25">
      <c r="A16" s="4">
        <v>2</v>
      </c>
      <c r="B16" s="63"/>
      <c r="C16" s="33" t="s">
        <v>174</v>
      </c>
      <c r="D16" s="35">
        <f>'10'!F23</f>
        <v>6017087</v>
      </c>
      <c r="E16" s="35">
        <f>'10'!G23</f>
        <v>858890</v>
      </c>
      <c r="F16" s="35">
        <f>'10'!H23</f>
        <v>4214053</v>
      </c>
      <c r="G16" s="35">
        <f>'10'!I23</f>
        <v>10936</v>
      </c>
      <c r="H16" s="35">
        <f>'10'!J23</f>
        <v>171109</v>
      </c>
      <c r="I16" s="35">
        <f>'10'!K23</f>
        <v>246135</v>
      </c>
      <c r="J16" s="35">
        <f>'10'!L23</f>
        <v>29813</v>
      </c>
      <c r="K16" s="35">
        <f>'10'!M23</f>
        <v>113000</v>
      </c>
      <c r="L16" s="35"/>
      <c r="M16" s="35">
        <f>'8'!P618</f>
        <v>205000</v>
      </c>
      <c r="N16" s="35">
        <f>SUM(D16:M16)</f>
        <v>11866023</v>
      </c>
    </row>
    <row r="17" spans="1:14" s="20" customFormat="1" ht="12.9" customHeight="1" x14ac:dyDescent="0.25">
      <c r="A17" s="41"/>
      <c r="B17" s="41"/>
      <c r="C17" s="8" t="s">
        <v>164</v>
      </c>
      <c r="D17" s="7">
        <f t="shared" ref="D17:N17" si="2">SUM(D15:D16)</f>
        <v>6306554</v>
      </c>
      <c r="E17" s="7">
        <f t="shared" si="2"/>
        <v>913820</v>
      </c>
      <c r="F17" s="7">
        <f t="shared" si="2"/>
        <v>11735206</v>
      </c>
      <c r="G17" s="7">
        <f t="shared" si="2"/>
        <v>105728</v>
      </c>
      <c r="H17" s="7">
        <f t="shared" ref="H17:M17" si="3">SUM(H15:H16)</f>
        <v>5941353</v>
      </c>
      <c r="I17" s="7">
        <f t="shared" si="3"/>
        <v>18262406</v>
      </c>
      <c r="J17" s="7">
        <f t="shared" si="3"/>
        <v>6631418</v>
      </c>
      <c r="K17" s="7">
        <f t="shared" si="3"/>
        <v>3154195</v>
      </c>
      <c r="L17" s="7">
        <f t="shared" si="3"/>
        <v>122216</v>
      </c>
      <c r="M17" s="7">
        <f t="shared" si="3"/>
        <v>7386338</v>
      </c>
      <c r="N17" s="7">
        <f t="shared" si="2"/>
        <v>60559234</v>
      </c>
    </row>
    <row r="19" spans="1:14" x14ac:dyDescent="0.2">
      <c r="N19" s="77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2023.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21"/>
  <sheetViews>
    <sheetView topLeftCell="C1" zoomScale="99" zoomScaleNormal="99" zoomScaleSheetLayoutView="120" workbookViewId="0">
      <pane ySplit="2" topLeftCell="A592" activePane="bottomLeft" state="frozen"/>
      <selection activeCell="A30" sqref="A30"/>
      <selection pane="bottomLeft" activeCell="C602" sqref="A602:XFD602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2" customWidth="1"/>
    <col min="14" max="14" width="9.77734375" style="212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847" t="s">
        <v>87</v>
      </c>
      <c r="B1" s="847" t="s">
        <v>88</v>
      </c>
      <c r="C1" s="847" t="s">
        <v>17</v>
      </c>
      <c r="D1" s="849" t="s">
        <v>124</v>
      </c>
      <c r="E1" s="851" t="s">
        <v>300</v>
      </c>
      <c r="F1" s="853" t="s">
        <v>205</v>
      </c>
      <c r="G1" s="855" t="s">
        <v>130</v>
      </c>
      <c r="H1" s="855"/>
      <c r="I1" s="855"/>
      <c r="J1" s="855"/>
      <c r="K1" s="855"/>
      <c r="L1" s="855"/>
      <c r="M1" s="855"/>
      <c r="N1" s="856"/>
      <c r="O1" s="857" t="s">
        <v>129</v>
      </c>
      <c r="P1" s="856"/>
      <c r="Q1" s="844" t="s">
        <v>301</v>
      </c>
    </row>
    <row r="2" spans="1:17" ht="57.9" customHeight="1" thickBot="1" x14ac:dyDescent="0.3">
      <c r="A2" s="848"/>
      <c r="B2" s="848"/>
      <c r="C2" s="848"/>
      <c r="D2" s="850"/>
      <c r="E2" s="852"/>
      <c r="F2" s="854"/>
      <c r="G2" s="220" t="s">
        <v>111</v>
      </c>
      <c r="H2" s="119" t="s">
        <v>189</v>
      </c>
      <c r="I2" s="119" t="s">
        <v>183</v>
      </c>
      <c r="J2" s="119" t="s">
        <v>15</v>
      </c>
      <c r="K2" s="119" t="s">
        <v>22</v>
      </c>
      <c r="L2" s="119" t="s">
        <v>20</v>
      </c>
      <c r="M2" s="119" t="s">
        <v>19</v>
      </c>
      <c r="N2" s="119" t="s">
        <v>16</v>
      </c>
      <c r="O2" s="120" t="s">
        <v>134</v>
      </c>
      <c r="P2" s="121" t="s">
        <v>136</v>
      </c>
      <c r="Q2" s="845"/>
    </row>
    <row r="3" spans="1:17" ht="16.5" customHeight="1" x14ac:dyDescent="0.25">
      <c r="A3" s="122">
        <v>1</v>
      </c>
      <c r="B3" s="123"/>
      <c r="C3" s="124"/>
      <c r="D3" s="274" t="s">
        <v>302</v>
      </c>
      <c r="E3" s="125"/>
      <c r="F3" s="126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8"/>
    </row>
    <row r="4" spans="1:17" ht="12.75" customHeight="1" x14ac:dyDescent="0.25">
      <c r="A4" s="123">
        <v>1</v>
      </c>
      <c r="B4" s="123">
        <v>1</v>
      </c>
      <c r="C4" s="123"/>
      <c r="D4" s="274" t="s">
        <v>3</v>
      </c>
      <c r="E4" s="108"/>
      <c r="F4" s="129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</row>
    <row r="5" spans="1:17" ht="12" customHeight="1" x14ac:dyDescent="0.25">
      <c r="A5" s="130">
        <v>1</v>
      </c>
      <c r="B5" s="130">
        <v>12</v>
      </c>
      <c r="C5" s="130"/>
      <c r="D5" s="131" t="s">
        <v>99</v>
      </c>
      <c r="E5" s="132"/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</row>
    <row r="6" spans="1:17" ht="14.4" customHeight="1" x14ac:dyDescent="0.25">
      <c r="A6" s="130"/>
      <c r="B6" s="130"/>
      <c r="C6" s="135"/>
      <c r="D6" s="136" t="s">
        <v>303</v>
      </c>
      <c r="E6" s="137"/>
      <c r="F6" s="138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</row>
    <row r="7" spans="1:17" ht="14.4" customHeight="1" x14ac:dyDescent="0.25">
      <c r="A7" s="130"/>
      <c r="B7" s="130"/>
      <c r="C7" s="135"/>
      <c r="D7" s="139" t="s">
        <v>304</v>
      </c>
      <c r="E7" s="140">
        <v>2</v>
      </c>
      <c r="F7" s="141">
        <v>121103</v>
      </c>
      <c r="G7" s="134"/>
      <c r="H7" s="134"/>
      <c r="I7" s="134"/>
      <c r="J7" s="134">
        <f>6000+táj2!J7</f>
        <v>6000</v>
      </c>
      <c r="K7" s="134"/>
      <c r="L7" s="134"/>
      <c r="M7" s="134"/>
      <c r="N7" s="134"/>
      <c r="O7" s="134"/>
      <c r="P7" s="134"/>
      <c r="Q7" s="134">
        <f>SUM(G7:P7)</f>
        <v>6000</v>
      </c>
    </row>
    <row r="8" spans="1:17" ht="14.4" customHeight="1" x14ac:dyDescent="0.25">
      <c r="A8" s="130"/>
      <c r="B8" s="130"/>
      <c r="C8" s="135"/>
      <c r="D8" s="139" t="s">
        <v>305</v>
      </c>
      <c r="E8" s="140"/>
      <c r="F8" s="141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</row>
    <row r="9" spans="1:17" ht="14.4" customHeight="1" x14ac:dyDescent="0.25">
      <c r="A9" s="130"/>
      <c r="B9" s="130"/>
      <c r="C9" s="135"/>
      <c r="D9" s="139" t="s">
        <v>306</v>
      </c>
      <c r="E9" s="140">
        <v>2</v>
      </c>
      <c r="F9" s="141">
        <v>121104</v>
      </c>
      <c r="G9" s="134"/>
      <c r="H9" s="134"/>
      <c r="I9" s="134"/>
      <c r="J9" s="134">
        <f>19000+táj2!J9</f>
        <v>16300</v>
      </c>
      <c r="K9" s="134"/>
      <c r="L9" s="134"/>
      <c r="M9" s="134"/>
      <c r="N9" s="134"/>
      <c r="O9" s="134"/>
      <c r="P9" s="134"/>
      <c r="Q9" s="134">
        <f>SUM(G9:P9)</f>
        <v>16300</v>
      </c>
    </row>
    <row r="10" spans="1:17" ht="24" customHeight="1" x14ac:dyDescent="0.25">
      <c r="A10" s="130"/>
      <c r="B10" s="130"/>
      <c r="C10" s="135"/>
      <c r="D10" s="415" t="s">
        <v>307</v>
      </c>
      <c r="E10" s="140">
        <v>2</v>
      </c>
      <c r="F10" s="141">
        <v>121117</v>
      </c>
      <c r="G10" s="134"/>
      <c r="H10" s="134"/>
      <c r="I10" s="134"/>
      <c r="J10" s="134">
        <f>9000+táj2!J10</f>
        <v>9000</v>
      </c>
      <c r="K10" s="134"/>
      <c r="L10" s="134"/>
      <c r="M10" s="134"/>
      <c r="N10" s="134"/>
      <c r="O10" s="134"/>
      <c r="P10" s="134"/>
      <c r="Q10" s="134">
        <f>SUM(G10:P10)</f>
        <v>9000</v>
      </c>
    </row>
    <row r="11" spans="1:17" ht="15.6" customHeight="1" x14ac:dyDescent="0.25">
      <c r="A11" s="529"/>
      <c r="B11" s="529"/>
      <c r="C11" s="530"/>
      <c r="D11" s="531" t="s">
        <v>966</v>
      </c>
      <c r="E11" s="532">
        <v>2</v>
      </c>
      <c r="F11" s="533">
        <v>121202</v>
      </c>
      <c r="G11" s="534"/>
      <c r="H11" s="534"/>
      <c r="I11" s="534"/>
      <c r="J11" s="134">
        <f>5700+táj2!J11</f>
        <v>5700</v>
      </c>
      <c r="K11" s="534"/>
      <c r="L11" s="534"/>
      <c r="M11" s="534"/>
      <c r="N11" s="534"/>
      <c r="O11" s="534"/>
      <c r="P11" s="534"/>
      <c r="Q11" s="134">
        <f t="shared" ref="Q11:Q12" si="0">SUM(G11:P11)</f>
        <v>5700</v>
      </c>
    </row>
    <row r="12" spans="1:17" ht="15.6" customHeight="1" x14ac:dyDescent="0.25">
      <c r="A12" s="529"/>
      <c r="B12" s="529"/>
      <c r="C12" s="530"/>
      <c r="D12" s="531" t="s">
        <v>967</v>
      </c>
      <c r="E12" s="532">
        <v>2</v>
      </c>
      <c r="F12" s="533">
        <v>121205</v>
      </c>
      <c r="G12" s="534"/>
      <c r="H12" s="534"/>
      <c r="I12" s="534"/>
      <c r="J12" s="134">
        <f>5700+táj2!J12</f>
        <v>5700</v>
      </c>
      <c r="K12" s="534"/>
      <c r="L12" s="534"/>
      <c r="M12" s="534"/>
      <c r="N12" s="534"/>
      <c r="O12" s="534"/>
      <c r="P12" s="534"/>
      <c r="Q12" s="134">
        <f t="shared" si="0"/>
        <v>5700</v>
      </c>
    </row>
    <row r="13" spans="1:17" ht="14.4" customHeight="1" x14ac:dyDescent="0.25">
      <c r="A13" s="130"/>
      <c r="B13" s="130"/>
      <c r="C13" s="135"/>
      <c r="D13" s="139" t="s">
        <v>308</v>
      </c>
      <c r="E13" s="140"/>
      <c r="F13" s="141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</row>
    <row r="14" spans="1:17" ht="14.4" customHeight="1" x14ac:dyDescent="0.25">
      <c r="A14" s="130"/>
      <c r="B14" s="130"/>
      <c r="C14" s="135"/>
      <c r="D14" s="139" t="s">
        <v>309</v>
      </c>
      <c r="E14" s="140">
        <v>2</v>
      </c>
      <c r="F14" s="141">
        <v>121111</v>
      </c>
      <c r="G14" s="134"/>
      <c r="H14" s="134"/>
      <c r="I14" s="134"/>
      <c r="J14" s="134">
        <f>2000+táj2!J14</f>
        <v>2000</v>
      </c>
      <c r="K14" s="134"/>
      <c r="L14" s="134"/>
      <c r="M14" s="134"/>
      <c r="N14" s="134"/>
      <c r="O14" s="134"/>
      <c r="P14" s="134"/>
      <c r="Q14" s="134">
        <f t="shared" ref="Q14:Q18" si="1">SUM(G14:P14)</f>
        <v>2000</v>
      </c>
    </row>
    <row r="15" spans="1:17" ht="14.4" customHeight="1" x14ac:dyDescent="0.25">
      <c r="A15" s="130"/>
      <c r="B15" s="130"/>
      <c r="C15" s="135"/>
      <c r="D15" s="139" t="s">
        <v>310</v>
      </c>
      <c r="E15" s="140">
        <v>2</v>
      </c>
      <c r="F15" s="140">
        <v>121127</v>
      </c>
      <c r="G15" s="134"/>
      <c r="H15" s="134"/>
      <c r="I15" s="134"/>
      <c r="J15" s="134">
        <f>4000+táj2!J15</f>
        <v>4000</v>
      </c>
      <c r="K15" s="134"/>
      <c r="L15" s="134"/>
      <c r="M15" s="134"/>
      <c r="N15" s="134"/>
      <c r="O15" s="134"/>
      <c r="P15" s="134"/>
      <c r="Q15" s="134">
        <f t="shared" si="1"/>
        <v>4000</v>
      </c>
    </row>
    <row r="16" spans="1:17" ht="14.4" customHeight="1" x14ac:dyDescent="0.25">
      <c r="A16" s="130"/>
      <c r="B16" s="130"/>
      <c r="C16" s="135"/>
      <c r="D16" s="139" t="s">
        <v>1153</v>
      </c>
      <c r="E16" s="140">
        <v>2</v>
      </c>
      <c r="F16" s="140">
        <v>121115</v>
      </c>
      <c r="G16" s="134"/>
      <c r="H16" s="134"/>
      <c r="I16" s="134"/>
      <c r="J16" s="134">
        <f>266+táj2!J16</f>
        <v>2266</v>
      </c>
      <c r="K16" s="134"/>
      <c r="L16" s="134"/>
      <c r="M16" s="134"/>
      <c r="N16" s="134"/>
      <c r="O16" s="134"/>
      <c r="P16" s="134"/>
      <c r="Q16" s="134">
        <f t="shared" si="1"/>
        <v>2266</v>
      </c>
    </row>
    <row r="17" spans="1:17" ht="14.4" customHeight="1" x14ac:dyDescent="0.25">
      <c r="A17" s="130"/>
      <c r="B17" s="130"/>
      <c r="C17" s="135"/>
      <c r="D17" s="139" t="s">
        <v>311</v>
      </c>
      <c r="E17" s="140">
        <v>2</v>
      </c>
      <c r="F17" s="140">
        <v>121129</v>
      </c>
      <c r="G17" s="134"/>
      <c r="H17" s="134"/>
      <c r="I17" s="134"/>
      <c r="J17" s="134">
        <f>3600+táj2!J17</f>
        <v>3600</v>
      </c>
      <c r="K17" s="134"/>
      <c r="L17" s="134"/>
      <c r="M17" s="134"/>
      <c r="N17" s="134"/>
      <c r="O17" s="134"/>
      <c r="P17" s="134"/>
      <c r="Q17" s="134">
        <f t="shared" si="1"/>
        <v>3600</v>
      </c>
    </row>
    <row r="18" spans="1:17" ht="14.4" customHeight="1" x14ac:dyDescent="0.25">
      <c r="A18" s="130"/>
      <c r="B18" s="130"/>
      <c r="C18" s="135"/>
      <c r="D18" s="416" t="s">
        <v>312</v>
      </c>
      <c r="E18" s="140">
        <v>2</v>
      </c>
      <c r="F18" s="140">
        <v>121106</v>
      </c>
      <c r="G18" s="134"/>
      <c r="H18" s="134"/>
      <c r="I18" s="134"/>
      <c r="J18" s="134">
        <f>2400+táj2!J18</f>
        <v>3400</v>
      </c>
      <c r="K18" s="134"/>
      <c r="L18" s="134"/>
      <c r="M18" s="134"/>
      <c r="N18" s="134"/>
      <c r="O18" s="134"/>
      <c r="P18" s="134"/>
      <c r="Q18" s="134">
        <f t="shared" si="1"/>
        <v>3400</v>
      </c>
    </row>
    <row r="19" spans="1:17" ht="27" customHeight="1" x14ac:dyDescent="0.25">
      <c r="A19" s="130"/>
      <c r="B19" s="130"/>
      <c r="C19" s="135"/>
      <c r="D19" s="417" t="s">
        <v>313</v>
      </c>
      <c r="E19" s="140"/>
      <c r="F19" s="14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</row>
    <row r="20" spans="1:17" ht="14.4" customHeight="1" x14ac:dyDescent="0.25">
      <c r="A20" s="130"/>
      <c r="B20" s="130"/>
      <c r="C20" s="135"/>
      <c r="D20" s="139" t="s">
        <v>314</v>
      </c>
      <c r="E20" s="140">
        <v>2</v>
      </c>
      <c r="F20" s="140">
        <v>121131</v>
      </c>
      <c r="G20" s="134"/>
      <c r="H20" s="134"/>
      <c r="I20" s="134"/>
      <c r="J20" s="134">
        <f>2000+táj2!J20</f>
        <v>2000</v>
      </c>
      <c r="K20" s="134"/>
      <c r="L20" s="134"/>
      <c r="M20" s="134"/>
      <c r="N20" s="134"/>
      <c r="O20" s="134"/>
      <c r="P20" s="134"/>
      <c r="Q20" s="134">
        <f>SUM(G20:P20)</f>
        <v>2000</v>
      </c>
    </row>
    <row r="21" spans="1:17" ht="14.4" customHeight="1" x14ac:dyDescent="0.25">
      <c r="A21" s="130"/>
      <c r="B21" s="130"/>
      <c r="C21" s="135"/>
      <c r="D21" s="139" t="s">
        <v>305</v>
      </c>
      <c r="E21" s="140"/>
      <c r="F21" s="140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</row>
    <row r="22" spans="1:17" ht="14.4" customHeight="1" x14ac:dyDescent="0.25">
      <c r="A22" s="130"/>
      <c r="B22" s="130"/>
      <c r="C22" s="135"/>
      <c r="D22" s="139" t="s">
        <v>315</v>
      </c>
      <c r="E22" s="140">
        <v>2</v>
      </c>
      <c r="F22" s="140">
        <v>121130</v>
      </c>
      <c r="G22" s="134"/>
      <c r="H22" s="134"/>
      <c r="I22" s="134"/>
      <c r="J22" s="134">
        <f>1000+táj2!J22</f>
        <v>1000</v>
      </c>
      <c r="K22" s="134"/>
      <c r="L22" s="134"/>
      <c r="M22" s="134"/>
      <c r="N22" s="134"/>
      <c r="O22" s="134"/>
      <c r="P22" s="134"/>
      <c r="Q22" s="134">
        <f>SUM(G22:P22)</f>
        <v>1000</v>
      </c>
    </row>
    <row r="23" spans="1:17" ht="14.4" customHeight="1" x14ac:dyDescent="0.25">
      <c r="A23" s="130"/>
      <c r="B23" s="130"/>
      <c r="C23" s="135"/>
      <c r="D23" s="139" t="s">
        <v>308</v>
      </c>
      <c r="E23" s="140"/>
      <c r="F23" s="140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</row>
    <row r="24" spans="1:17" ht="14.4" customHeight="1" x14ac:dyDescent="0.25">
      <c r="A24" s="130"/>
      <c r="B24" s="130"/>
      <c r="C24" s="135"/>
      <c r="D24" s="139" t="s">
        <v>316</v>
      </c>
      <c r="E24" s="140">
        <v>1</v>
      </c>
      <c r="F24" s="141">
        <v>121204</v>
      </c>
      <c r="G24" s="134"/>
      <c r="H24" s="134"/>
      <c r="I24" s="134"/>
      <c r="J24" s="134">
        <f>13000+táj2!J24</f>
        <v>10500</v>
      </c>
      <c r="K24" s="134"/>
      <c r="L24" s="134"/>
      <c r="M24" s="134"/>
      <c r="N24" s="134"/>
      <c r="O24" s="134"/>
      <c r="P24" s="134"/>
      <c r="Q24" s="134">
        <f>SUM(G24:P24)</f>
        <v>10500</v>
      </c>
    </row>
    <row r="25" spans="1:17" ht="14.4" customHeight="1" x14ac:dyDescent="0.25">
      <c r="A25" s="130"/>
      <c r="B25" s="130"/>
      <c r="C25" s="135"/>
      <c r="D25" s="275" t="s">
        <v>317</v>
      </c>
      <c r="E25" s="276">
        <v>1</v>
      </c>
      <c r="F25" s="141">
        <v>121132</v>
      </c>
      <c r="G25" s="134"/>
      <c r="H25" s="134"/>
      <c r="I25" s="134"/>
      <c r="J25" s="134">
        <f>250+táj2!J25</f>
        <v>250</v>
      </c>
      <c r="K25" s="134"/>
      <c r="L25" s="134"/>
      <c r="M25" s="134"/>
      <c r="N25" s="134"/>
      <c r="O25" s="134"/>
      <c r="P25" s="134"/>
      <c r="Q25" s="134">
        <f>SUM(G25:P25)</f>
        <v>250</v>
      </c>
    </row>
    <row r="26" spans="1:17" ht="14.4" customHeight="1" x14ac:dyDescent="0.25">
      <c r="A26" s="130"/>
      <c r="B26" s="130"/>
      <c r="C26" s="135"/>
      <c r="D26" s="142" t="s">
        <v>318</v>
      </c>
      <c r="E26" s="140">
        <v>1</v>
      </c>
      <c r="F26" s="141">
        <v>121203</v>
      </c>
      <c r="G26" s="134"/>
      <c r="H26" s="134"/>
      <c r="I26" s="134">
        <f>1400+táj2!I26</f>
        <v>1200</v>
      </c>
      <c r="J26" s="134">
        <f>4927+táj2!J26</f>
        <v>4627</v>
      </c>
      <c r="K26" s="134">
        <f>173+táj2!K26</f>
        <v>673</v>
      </c>
      <c r="L26" s="134"/>
      <c r="M26" s="134"/>
      <c r="N26" s="134"/>
      <c r="O26" s="134"/>
      <c r="P26" s="134"/>
      <c r="Q26" s="134">
        <f>SUM(G26:P26)</f>
        <v>6500</v>
      </c>
    </row>
    <row r="27" spans="1:17" ht="14.4" customHeight="1" x14ac:dyDescent="0.25">
      <c r="A27" s="130"/>
      <c r="B27" s="130"/>
      <c r="C27" s="135"/>
      <c r="D27" s="143" t="s">
        <v>319</v>
      </c>
      <c r="E27" s="140"/>
      <c r="F27" s="108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</row>
    <row r="28" spans="1:17" ht="14.4" customHeight="1" x14ac:dyDescent="0.25">
      <c r="A28" s="130"/>
      <c r="B28" s="130"/>
      <c r="C28" s="135"/>
      <c r="D28" s="139" t="s">
        <v>320</v>
      </c>
      <c r="E28" s="140">
        <v>2</v>
      </c>
      <c r="F28" s="141">
        <v>121504</v>
      </c>
      <c r="G28" s="134"/>
      <c r="H28" s="134"/>
      <c r="I28" s="134"/>
      <c r="J28" s="134">
        <f>4000+táj2!J28</f>
        <v>4000</v>
      </c>
      <c r="K28" s="134"/>
      <c r="L28" s="134"/>
      <c r="M28" s="134"/>
      <c r="N28" s="134"/>
      <c r="O28" s="134"/>
      <c r="P28" s="134"/>
      <c r="Q28" s="134">
        <f>SUM(G28:P28)</f>
        <v>4000</v>
      </c>
    </row>
    <row r="29" spans="1:17" ht="14.4" customHeight="1" x14ac:dyDescent="0.25">
      <c r="A29" s="130"/>
      <c r="B29" s="130"/>
      <c r="C29" s="135"/>
      <c r="D29" s="139" t="s">
        <v>273</v>
      </c>
      <c r="E29" s="140"/>
      <c r="F29" s="141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</row>
    <row r="30" spans="1:17" ht="12.6" customHeight="1" x14ac:dyDescent="0.25">
      <c r="A30" s="129"/>
      <c r="B30" s="144"/>
      <c r="C30" s="277"/>
      <c r="D30" s="108" t="s">
        <v>321</v>
      </c>
      <c r="E30" s="140">
        <v>1</v>
      </c>
      <c r="F30" s="108">
        <v>121403</v>
      </c>
      <c r="G30" s="134"/>
      <c r="H30" s="134"/>
      <c r="I30" s="134">
        <f>50+táj2!I30</f>
        <v>50</v>
      </c>
      <c r="J30" s="134"/>
      <c r="K30" s="134"/>
      <c r="L30" s="134"/>
      <c r="M30" s="134"/>
      <c r="N30" s="134"/>
      <c r="O30" s="134"/>
      <c r="P30" s="134"/>
      <c r="Q30" s="134">
        <f>SUM(G30:P30)</f>
        <v>50</v>
      </c>
    </row>
    <row r="31" spans="1:17" ht="12.6" customHeight="1" x14ac:dyDescent="0.25">
      <c r="A31" s="129"/>
      <c r="B31" s="144"/>
      <c r="C31" s="277"/>
      <c r="D31" s="108" t="s">
        <v>322</v>
      </c>
      <c r="E31" s="108"/>
      <c r="F31" s="108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</row>
    <row r="32" spans="1:17" ht="12.6" customHeight="1" x14ac:dyDescent="0.25">
      <c r="A32" s="129"/>
      <c r="B32" s="129"/>
      <c r="C32" s="145"/>
      <c r="D32" s="143" t="s">
        <v>323</v>
      </c>
      <c r="E32" s="108">
        <v>1</v>
      </c>
      <c r="F32" s="108">
        <v>121301</v>
      </c>
      <c r="G32" s="134"/>
      <c r="H32" s="134"/>
      <c r="I32" s="134"/>
      <c r="J32" s="134">
        <f>0+táj2!J32</f>
        <v>0</v>
      </c>
      <c r="K32" s="134"/>
      <c r="L32" s="134"/>
      <c r="M32" s="134"/>
      <c r="N32" s="134"/>
      <c r="O32" s="134"/>
      <c r="P32" s="134"/>
      <c r="Q32" s="134">
        <f>SUM(G32:P32)</f>
        <v>0</v>
      </c>
    </row>
    <row r="33" spans="1:17" ht="12.6" customHeight="1" x14ac:dyDescent="0.25">
      <c r="A33" s="129"/>
      <c r="B33" s="129"/>
      <c r="C33" s="145"/>
      <c r="D33" s="146" t="s">
        <v>206</v>
      </c>
      <c r="E33" s="140"/>
      <c r="F33" s="108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</row>
    <row r="34" spans="1:17" ht="12.6" customHeight="1" x14ac:dyDescent="0.25">
      <c r="A34" s="129"/>
      <c r="B34" s="129"/>
      <c r="C34" s="145"/>
      <c r="D34" s="147" t="s">
        <v>324</v>
      </c>
      <c r="E34" s="140">
        <v>2</v>
      </c>
      <c r="F34" s="108">
        <v>221902</v>
      </c>
      <c r="G34" s="134"/>
      <c r="H34" s="134"/>
      <c r="I34" s="134">
        <f>40204+táj2!I34</f>
        <v>48404</v>
      </c>
      <c r="J34" s="134"/>
      <c r="K34" s="134"/>
      <c r="L34" s="134">
        <f>610+táj2!L34</f>
        <v>610</v>
      </c>
      <c r="M34" s="134"/>
      <c r="N34" s="134"/>
      <c r="O34" s="134"/>
      <c r="P34" s="134"/>
      <c r="Q34" s="134">
        <f>SUM(G34:P34)</f>
        <v>49014</v>
      </c>
    </row>
    <row r="35" spans="1:17" ht="12.6" customHeight="1" x14ac:dyDescent="0.25">
      <c r="A35" s="129"/>
      <c r="B35" s="129"/>
      <c r="C35" s="145"/>
      <c r="D35" s="148" t="s">
        <v>325</v>
      </c>
      <c r="E35" s="140">
        <v>2</v>
      </c>
      <c r="F35" s="108" t="s">
        <v>326</v>
      </c>
      <c r="G35" s="134"/>
      <c r="H35" s="134">
        <f>3900+táj2!H35</f>
        <v>3900</v>
      </c>
      <c r="I35" s="134">
        <f>800+táj2!I35</f>
        <v>1151</v>
      </c>
      <c r="J35" s="134">
        <f>17300+táj2!J35</f>
        <v>10949</v>
      </c>
      <c r="K35" s="134"/>
      <c r="L35" s="134"/>
      <c r="M35" s="134"/>
      <c r="N35" s="134"/>
      <c r="O35" s="134"/>
      <c r="P35" s="134"/>
      <c r="Q35" s="134">
        <f>SUM(G35:P35)</f>
        <v>16000</v>
      </c>
    </row>
    <row r="36" spans="1:17" ht="12.6" customHeight="1" x14ac:dyDescent="0.25">
      <c r="A36" s="129"/>
      <c r="B36" s="129"/>
      <c r="C36" s="145"/>
      <c r="D36" s="148" t="s">
        <v>750</v>
      </c>
      <c r="E36" s="140">
        <v>1</v>
      </c>
      <c r="F36" s="108">
        <v>121118</v>
      </c>
      <c r="G36" s="134"/>
      <c r="H36" s="134"/>
      <c r="I36" s="134">
        <f>300+táj2!I36</f>
        <v>300</v>
      </c>
      <c r="J36" s="134"/>
      <c r="K36" s="134"/>
      <c r="L36" s="134"/>
      <c r="M36" s="134"/>
      <c r="N36" s="134"/>
      <c r="O36" s="134"/>
      <c r="P36" s="134"/>
      <c r="Q36" s="134">
        <f t="shared" ref="Q36:Q37" si="2">SUM(G36:P36)</f>
        <v>300</v>
      </c>
    </row>
    <row r="37" spans="1:17" ht="12.6" customHeight="1" x14ac:dyDescent="0.25">
      <c r="A37" s="129"/>
      <c r="B37" s="129"/>
      <c r="C37" s="145"/>
      <c r="D37" s="142" t="s">
        <v>751</v>
      </c>
      <c r="E37" s="140">
        <v>1</v>
      </c>
      <c r="F37" s="108">
        <v>121515</v>
      </c>
      <c r="G37" s="134"/>
      <c r="H37" s="134"/>
      <c r="I37" s="134">
        <f>200+táj2!I37</f>
        <v>200</v>
      </c>
      <c r="J37" s="134"/>
      <c r="K37" s="134"/>
      <c r="L37" s="134"/>
      <c r="M37" s="134"/>
      <c r="N37" s="134"/>
      <c r="O37" s="134"/>
      <c r="P37" s="134"/>
      <c r="Q37" s="134">
        <f t="shared" si="2"/>
        <v>200</v>
      </c>
    </row>
    <row r="38" spans="1:17" ht="14.1" customHeight="1" x14ac:dyDescent="0.25">
      <c r="A38" s="129"/>
      <c r="B38" s="129"/>
      <c r="C38" s="145"/>
      <c r="D38" s="136" t="s">
        <v>327</v>
      </c>
      <c r="E38" s="140"/>
      <c r="F38" s="108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</row>
    <row r="39" spans="1:17" ht="14.1" customHeight="1" x14ac:dyDescent="0.25">
      <c r="A39" s="129"/>
      <c r="B39" s="129"/>
      <c r="C39" s="145"/>
      <c r="D39" s="143" t="s">
        <v>328</v>
      </c>
      <c r="E39" s="140">
        <v>1</v>
      </c>
      <c r="F39" s="108">
        <v>121601</v>
      </c>
      <c r="G39" s="134">
        <f>150+táj2!G39</f>
        <v>150</v>
      </c>
      <c r="H39" s="134">
        <f>50+táj2!H39</f>
        <v>50</v>
      </c>
      <c r="I39" s="134">
        <f>200+táj2!I39</f>
        <v>200</v>
      </c>
      <c r="J39" s="134"/>
      <c r="K39" s="134">
        <f>100+táj2!K39</f>
        <v>100</v>
      </c>
      <c r="L39" s="134"/>
      <c r="M39" s="134"/>
      <c r="N39" s="134"/>
      <c r="O39" s="134"/>
      <c r="P39" s="134"/>
      <c r="Q39" s="134">
        <f>SUM(G39:P39)</f>
        <v>500</v>
      </c>
    </row>
    <row r="40" spans="1:17" ht="14.1" customHeight="1" x14ac:dyDescent="0.25">
      <c r="A40" s="129"/>
      <c r="B40" s="129"/>
      <c r="C40" s="145"/>
      <c r="D40" s="150" t="s">
        <v>329</v>
      </c>
      <c r="E40" s="140"/>
      <c r="F40" s="140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</row>
    <row r="41" spans="1:17" ht="14.1" customHeight="1" x14ac:dyDescent="0.25">
      <c r="A41" s="129"/>
      <c r="B41" s="129"/>
      <c r="C41" s="145"/>
      <c r="D41" s="143" t="s">
        <v>330</v>
      </c>
      <c r="E41" s="140">
        <v>2</v>
      </c>
      <c r="F41" s="108">
        <v>121517</v>
      </c>
      <c r="G41" s="134"/>
      <c r="H41" s="134"/>
      <c r="I41" s="134"/>
      <c r="J41" s="134"/>
      <c r="K41" s="134">
        <f>3000+táj2!K41</f>
        <v>3000</v>
      </c>
      <c r="L41" s="134"/>
      <c r="M41" s="134"/>
      <c r="N41" s="134"/>
      <c r="O41" s="134"/>
      <c r="P41" s="134"/>
      <c r="Q41" s="134">
        <f>SUM(G41:P41)</f>
        <v>3000</v>
      </c>
    </row>
    <row r="42" spans="1:17" ht="12" x14ac:dyDescent="0.25">
      <c r="A42" s="151"/>
      <c r="B42" s="151"/>
      <c r="C42" s="152"/>
      <c r="D42" s="153" t="s">
        <v>331</v>
      </c>
      <c r="E42" s="154"/>
      <c r="F42" s="155"/>
      <c r="G42" s="155">
        <f t="shared" ref="G42:Q42" si="3">SUM(G7:G41)</f>
        <v>150</v>
      </c>
      <c r="H42" s="155">
        <f t="shared" si="3"/>
        <v>3950</v>
      </c>
      <c r="I42" s="155">
        <f t="shared" si="3"/>
        <v>51505</v>
      </c>
      <c r="J42" s="155">
        <f t="shared" si="3"/>
        <v>91292</v>
      </c>
      <c r="K42" s="155">
        <f t="shared" si="3"/>
        <v>3773</v>
      </c>
      <c r="L42" s="155">
        <f t="shared" si="3"/>
        <v>610</v>
      </c>
      <c r="M42" s="155">
        <f t="shared" si="3"/>
        <v>0</v>
      </c>
      <c r="N42" s="155">
        <f t="shared" si="3"/>
        <v>0</v>
      </c>
      <c r="O42" s="155">
        <f t="shared" si="3"/>
        <v>0</v>
      </c>
      <c r="P42" s="155">
        <f t="shared" si="3"/>
        <v>0</v>
      </c>
      <c r="Q42" s="155">
        <f t="shared" si="3"/>
        <v>151280</v>
      </c>
    </row>
    <row r="43" spans="1:17" ht="12" x14ac:dyDescent="0.25">
      <c r="A43" s="156"/>
      <c r="B43" s="156"/>
      <c r="C43" s="145"/>
      <c r="D43" s="143" t="s">
        <v>332</v>
      </c>
      <c r="E43" s="157"/>
      <c r="F43" s="108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</row>
    <row r="44" spans="1:17" ht="24" x14ac:dyDescent="0.25">
      <c r="A44" s="156"/>
      <c r="B44" s="156"/>
      <c r="C44" s="145" t="s">
        <v>333</v>
      </c>
      <c r="D44" s="418" t="s">
        <v>334</v>
      </c>
      <c r="E44" s="157"/>
      <c r="F44" s="108">
        <v>121401</v>
      </c>
      <c r="G44" s="108"/>
      <c r="H44" s="108"/>
      <c r="I44" s="108"/>
      <c r="J44" s="108"/>
      <c r="K44" s="108"/>
      <c r="L44" s="108"/>
      <c r="M44" s="108"/>
      <c r="N44" s="108">
        <f>17000+táj2!N44</f>
        <v>17000</v>
      </c>
      <c r="O44" s="108"/>
      <c r="P44" s="108"/>
      <c r="Q44" s="108">
        <f>SUM(G44:P44)</f>
        <v>17000</v>
      </c>
    </row>
    <row r="45" spans="1:17" ht="12" x14ac:dyDescent="0.25">
      <c r="A45" s="156"/>
      <c r="B45" s="156"/>
      <c r="C45" s="145"/>
      <c r="D45" s="143" t="s">
        <v>968</v>
      </c>
      <c r="E45" s="157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</row>
    <row r="46" spans="1:17" ht="12" x14ac:dyDescent="0.25">
      <c r="A46" s="156"/>
      <c r="B46" s="156"/>
      <c r="C46" s="145" t="s">
        <v>335</v>
      </c>
      <c r="D46" s="419" t="s">
        <v>336</v>
      </c>
      <c r="E46" s="157"/>
      <c r="F46" s="108">
        <v>121405</v>
      </c>
      <c r="G46" s="108"/>
      <c r="H46" s="108"/>
      <c r="I46" s="108"/>
      <c r="J46" s="108"/>
      <c r="K46" s="108"/>
      <c r="L46" s="108"/>
      <c r="M46" s="108"/>
      <c r="N46" s="108">
        <f>1000+táj2!N46</f>
        <v>1000</v>
      </c>
      <c r="O46" s="108"/>
      <c r="P46" s="108"/>
      <c r="Q46" s="108">
        <f>SUM(G46:P46)</f>
        <v>1000</v>
      </c>
    </row>
    <row r="47" spans="1:17" ht="24" x14ac:dyDescent="0.25">
      <c r="A47" s="156"/>
      <c r="B47" s="156"/>
      <c r="C47" s="145" t="s">
        <v>337</v>
      </c>
      <c r="D47" s="420" t="s">
        <v>338</v>
      </c>
      <c r="E47" s="157"/>
      <c r="F47" s="108">
        <v>121402</v>
      </c>
      <c r="G47" s="108"/>
      <c r="H47" s="108"/>
      <c r="I47" s="108"/>
      <c r="J47" s="108"/>
      <c r="K47" s="108"/>
      <c r="L47" s="108"/>
      <c r="M47" s="108"/>
      <c r="N47" s="108">
        <f>13819+táj2!N47</f>
        <v>13819</v>
      </c>
      <c r="O47" s="108"/>
      <c r="P47" s="108"/>
      <c r="Q47" s="108">
        <f>SUM(G47:P47)</f>
        <v>13819</v>
      </c>
    </row>
    <row r="48" spans="1:17" ht="12" x14ac:dyDescent="0.25">
      <c r="A48" s="151"/>
      <c r="B48" s="151"/>
      <c r="C48" s="152"/>
      <c r="D48" s="153" t="s">
        <v>339</v>
      </c>
      <c r="E48" s="154"/>
      <c r="F48" s="155"/>
      <c r="G48" s="155">
        <f t="shared" ref="G48:Q48" si="4">SUM(G42:G47)</f>
        <v>150</v>
      </c>
      <c r="H48" s="155">
        <f t="shared" si="4"/>
        <v>3950</v>
      </c>
      <c r="I48" s="155">
        <f t="shared" si="4"/>
        <v>51505</v>
      </c>
      <c r="J48" s="155">
        <f t="shared" si="4"/>
        <v>91292</v>
      </c>
      <c r="K48" s="155">
        <f t="shared" si="4"/>
        <v>3773</v>
      </c>
      <c r="L48" s="155">
        <f t="shared" si="4"/>
        <v>610</v>
      </c>
      <c r="M48" s="155">
        <f t="shared" si="4"/>
        <v>0</v>
      </c>
      <c r="N48" s="155">
        <f t="shared" si="4"/>
        <v>31819</v>
      </c>
      <c r="O48" s="155">
        <f t="shared" si="4"/>
        <v>0</v>
      </c>
      <c r="P48" s="155">
        <f t="shared" si="4"/>
        <v>0</v>
      </c>
      <c r="Q48" s="155">
        <f t="shared" si="4"/>
        <v>183099</v>
      </c>
    </row>
    <row r="49" spans="1:17" ht="12" customHeight="1" x14ac:dyDescent="0.25">
      <c r="A49" s="129">
        <v>1</v>
      </c>
      <c r="B49" s="129">
        <v>13</v>
      </c>
      <c r="C49" s="129"/>
      <c r="D49" s="131" t="s">
        <v>100</v>
      </c>
      <c r="E49" s="158" t="s">
        <v>340</v>
      </c>
      <c r="F49" s="159"/>
      <c r="G49" s="159"/>
      <c r="H49" s="134"/>
      <c r="I49" s="134"/>
      <c r="J49" s="134"/>
      <c r="K49" s="134"/>
      <c r="L49" s="134"/>
      <c r="M49" s="159"/>
      <c r="N49" s="159"/>
      <c r="O49" s="159"/>
      <c r="P49" s="159"/>
      <c r="Q49" s="159"/>
    </row>
    <row r="50" spans="1:17" ht="12" x14ac:dyDescent="0.25">
      <c r="A50" s="129"/>
      <c r="B50" s="129"/>
      <c r="C50" s="145"/>
      <c r="D50" s="160" t="s">
        <v>341</v>
      </c>
      <c r="E50" s="158"/>
      <c r="F50" s="159"/>
      <c r="G50" s="159"/>
      <c r="H50" s="134"/>
      <c r="I50" s="134"/>
      <c r="J50" s="134"/>
      <c r="K50" s="134"/>
      <c r="L50" s="134"/>
      <c r="M50" s="159"/>
      <c r="N50" s="159"/>
      <c r="O50" s="159"/>
      <c r="P50" s="159"/>
      <c r="Q50" s="159"/>
    </row>
    <row r="51" spans="1:17" ht="12" customHeight="1" x14ac:dyDescent="0.25">
      <c r="A51" s="129"/>
      <c r="B51" s="129"/>
      <c r="C51" s="145"/>
      <c r="D51" s="142" t="s">
        <v>342</v>
      </c>
      <c r="E51" s="161"/>
      <c r="F51" s="140"/>
      <c r="G51" s="108"/>
      <c r="H51" s="134"/>
      <c r="I51" s="134"/>
      <c r="J51" s="134"/>
      <c r="K51" s="134"/>
      <c r="L51" s="134"/>
      <c r="M51" s="108"/>
      <c r="N51" s="108"/>
      <c r="O51" s="108"/>
      <c r="P51" s="108"/>
      <c r="Q51" s="108"/>
    </row>
    <row r="52" spans="1:17" ht="24" customHeight="1" x14ac:dyDescent="0.25">
      <c r="A52" s="129"/>
      <c r="B52" s="129"/>
      <c r="C52" s="145"/>
      <c r="D52" s="150" t="s">
        <v>343</v>
      </c>
      <c r="E52" s="108">
        <v>2</v>
      </c>
      <c r="F52" s="108">
        <v>131112</v>
      </c>
      <c r="G52" s="108"/>
      <c r="H52" s="108"/>
      <c r="I52" s="108"/>
      <c r="J52" s="108"/>
      <c r="K52" s="108">
        <f>12000+táj2!K52</f>
        <v>12000</v>
      </c>
      <c r="L52" s="108"/>
      <c r="M52" s="108"/>
      <c r="N52" s="108"/>
      <c r="O52" s="108"/>
      <c r="P52" s="108"/>
      <c r="Q52" s="108">
        <f t="shared" ref="Q52:Q57" si="5">SUM(G52:P52)</f>
        <v>12000</v>
      </c>
    </row>
    <row r="53" spans="1:17" ht="24.75" customHeight="1" x14ac:dyDescent="0.25">
      <c r="A53" s="129"/>
      <c r="B53" s="129"/>
      <c r="C53" s="145"/>
      <c r="D53" s="162" t="s">
        <v>344</v>
      </c>
      <c r="E53" s="108">
        <v>2</v>
      </c>
      <c r="F53" s="108">
        <v>131123</v>
      </c>
      <c r="G53" s="108"/>
      <c r="H53" s="108"/>
      <c r="I53" s="108"/>
      <c r="J53" s="108"/>
      <c r="K53" s="108">
        <f>1500+táj2!K53</f>
        <v>1500</v>
      </c>
      <c r="L53" s="108"/>
      <c r="M53" s="108"/>
      <c r="N53" s="108"/>
      <c r="O53" s="108"/>
      <c r="P53" s="108"/>
      <c r="Q53" s="108">
        <f t="shared" si="5"/>
        <v>1500</v>
      </c>
    </row>
    <row r="54" spans="1:17" ht="16.2" customHeight="1" x14ac:dyDescent="0.25">
      <c r="A54" s="129"/>
      <c r="B54" s="129"/>
      <c r="C54" s="145"/>
      <c r="D54" s="162" t="s">
        <v>843</v>
      </c>
      <c r="E54" s="108">
        <v>2</v>
      </c>
      <c r="F54" s="108">
        <v>131212</v>
      </c>
      <c r="G54" s="108">
        <f>434+táj2!G54</f>
        <v>434</v>
      </c>
      <c r="H54" s="108">
        <f>182+táj2!H54</f>
        <v>182</v>
      </c>
      <c r="I54" s="108">
        <f>184+táj2!I54</f>
        <v>184</v>
      </c>
      <c r="J54" s="108"/>
      <c r="K54" s="108"/>
      <c r="L54" s="108"/>
      <c r="M54" s="108"/>
      <c r="N54" s="108"/>
      <c r="O54" s="108"/>
      <c r="P54" s="108"/>
      <c r="Q54" s="108">
        <f t="shared" si="5"/>
        <v>800</v>
      </c>
    </row>
    <row r="55" spans="1:17" ht="14.4" customHeight="1" x14ac:dyDescent="0.25">
      <c r="A55" s="129"/>
      <c r="B55" s="129"/>
      <c r="C55" s="145"/>
      <c r="D55" s="162" t="s">
        <v>345</v>
      </c>
      <c r="E55" s="108">
        <v>2</v>
      </c>
      <c r="F55" s="108">
        <v>131122</v>
      </c>
      <c r="G55" s="108">
        <f>1180+táj2!G55</f>
        <v>906</v>
      </c>
      <c r="H55" s="108">
        <f>470+táj2!H55</f>
        <v>118</v>
      </c>
      <c r="I55" s="108">
        <f>0+táj2!I55</f>
        <v>21</v>
      </c>
      <c r="J55" s="108"/>
      <c r="K55" s="108">
        <f>350+táj2!K55</f>
        <v>0</v>
      </c>
      <c r="L55" s="108"/>
      <c r="M55" s="108"/>
      <c r="N55" s="108"/>
      <c r="O55" s="108"/>
      <c r="P55" s="108"/>
      <c r="Q55" s="108">
        <f t="shared" si="5"/>
        <v>1045</v>
      </c>
    </row>
    <row r="56" spans="1:17" ht="15" customHeight="1" x14ac:dyDescent="0.25">
      <c r="A56" s="129"/>
      <c r="B56" s="129"/>
      <c r="C56" s="145"/>
      <c r="D56" s="143" t="s">
        <v>346</v>
      </c>
      <c r="E56" s="108">
        <v>2</v>
      </c>
      <c r="F56" s="108">
        <v>131107</v>
      </c>
      <c r="G56" s="108"/>
      <c r="H56" s="108"/>
      <c r="I56" s="108"/>
      <c r="J56" s="108"/>
      <c r="K56" s="108">
        <f>44000+táj2!K56</f>
        <v>44000</v>
      </c>
      <c r="L56" s="108"/>
      <c r="M56" s="108"/>
      <c r="N56" s="108"/>
      <c r="O56" s="108"/>
      <c r="P56" s="108"/>
      <c r="Q56" s="108">
        <f t="shared" si="5"/>
        <v>44000</v>
      </c>
    </row>
    <row r="57" spans="1:17" ht="15" customHeight="1" x14ac:dyDescent="0.25">
      <c r="A57" s="129"/>
      <c r="B57" s="129"/>
      <c r="C57" s="145"/>
      <c r="D57" s="143" t="s">
        <v>347</v>
      </c>
      <c r="E57" s="108">
        <v>2</v>
      </c>
      <c r="F57" s="108">
        <v>131128</v>
      </c>
      <c r="G57" s="108"/>
      <c r="H57" s="108"/>
      <c r="I57" s="108"/>
      <c r="J57" s="108"/>
      <c r="K57" s="108">
        <f>0+táj2!K57</f>
        <v>0</v>
      </c>
      <c r="L57" s="108"/>
      <c r="M57" s="108"/>
      <c r="N57" s="108"/>
      <c r="O57" s="108"/>
      <c r="P57" s="108"/>
      <c r="Q57" s="108">
        <f t="shared" si="5"/>
        <v>0</v>
      </c>
    </row>
    <row r="58" spans="1:17" ht="14.1" customHeight="1" x14ac:dyDescent="0.25">
      <c r="A58" s="129"/>
      <c r="B58" s="129"/>
      <c r="C58" s="145"/>
      <c r="D58" s="163" t="s">
        <v>348</v>
      </c>
      <c r="E58" s="164"/>
      <c r="F58" s="164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</row>
    <row r="59" spans="1:17" ht="24.9" customHeight="1" x14ac:dyDescent="0.25">
      <c r="A59" s="129"/>
      <c r="B59" s="129"/>
      <c r="C59" s="145"/>
      <c r="D59" s="162" t="s">
        <v>349</v>
      </c>
      <c r="E59" s="165"/>
      <c r="F59" s="165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</row>
    <row r="60" spans="1:17" ht="15" customHeight="1" x14ac:dyDescent="0.25">
      <c r="A60" s="129"/>
      <c r="B60" s="129"/>
      <c r="C60" s="145"/>
      <c r="D60" s="143" t="s">
        <v>350</v>
      </c>
      <c r="E60" s="108">
        <v>2</v>
      </c>
      <c r="F60" s="108">
        <v>131201</v>
      </c>
      <c r="G60" s="108">
        <f>73+táj2!G60</f>
        <v>73</v>
      </c>
      <c r="H60" s="108">
        <f>60+táj2!H60</f>
        <v>32</v>
      </c>
      <c r="I60" s="108">
        <f>867+táj2!I60</f>
        <v>895</v>
      </c>
      <c r="J60" s="108"/>
      <c r="K60" s="108"/>
      <c r="L60" s="108"/>
      <c r="M60" s="108"/>
      <c r="N60" s="108"/>
      <c r="O60" s="108"/>
      <c r="P60" s="108"/>
      <c r="Q60" s="108">
        <f t="shared" ref="Q60:Q65" si="6">SUM(G60:P60)</f>
        <v>1000</v>
      </c>
    </row>
    <row r="61" spans="1:17" ht="15" customHeight="1" x14ac:dyDescent="0.25">
      <c r="A61" s="129"/>
      <c r="B61" s="129"/>
      <c r="C61" s="145"/>
      <c r="D61" s="143" t="s">
        <v>351</v>
      </c>
      <c r="E61" s="108">
        <v>2</v>
      </c>
      <c r="F61" s="108">
        <v>131202</v>
      </c>
      <c r="G61" s="108">
        <f>198+táj2!G61</f>
        <v>198</v>
      </c>
      <c r="H61" s="108">
        <f>62+táj2!H61</f>
        <v>62</v>
      </c>
      <c r="I61" s="108">
        <f>140+táj2!I61</f>
        <v>340</v>
      </c>
      <c r="J61" s="108"/>
      <c r="K61" s="108"/>
      <c r="L61" s="108"/>
      <c r="M61" s="108"/>
      <c r="N61" s="108"/>
      <c r="O61" s="108"/>
      <c r="P61" s="108"/>
      <c r="Q61" s="108">
        <f t="shared" si="6"/>
        <v>600</v>
      </c>
    </row>
    <row r="62" spans="1:17" ht="15" customHeight="1" x14ac:dyDescent="0.25">
      <c r="A62" s="129"/>
      <c r="B62" s="129"/>
      <c r="C62" s="145"/>
      <c r="D62" s="143" t="s">
        <v>352</v>
      </c>
      <c r="E62" s="108">
        <v>2</v>
      </c>
      <c r="F62" s="108">
        <v>131205</v>
      </c>
      <c r="G62" s="108"/>
      <c r="H62" s="108"/>
      <c r="I62" s="108"/>
      <c r="J62" s="108"/>
      <c r="K62" s="108">
        <f>500+táj2!K62</f>
        <v>500</v>
      </c>
      <c r="L62" s="108"/>
      <c r="M62" s="108"/>
      <c r="N62" s="108"/>
      <c r="O62" s="108"/>
      <c r="P62" s="108"/>
      <c r="Q62" s="108">
        <f t="shared" si="6"/>
        <v>500</v>
      </c>
    </row>
    <row r="63" spans="1:17" ht="15" customHeight="1" x14ac:dyDescent="0.25">
      <c r="A63" s="129"/>
      <c r="B63" s="129"/>
      <c r="C63" s="145"/>
      <c r="D63" s="143" t="s">
        <v>353</v>
      </c>
      <c r="E63" s="108">
        <v>2</v>
      </c>
      <c r="F63" s="108">
        <v>131206</v>
      </c>
      <c r="G63" s="108"/>
      <c r="H63" s="108"/>
      <c r="I63" s="108"/>
      <c r="J63" s="108"/>
      <c r="K63" s="108">
        <f>100+táj2!K63</f>
        <v>100</v>
      </c>
      <c r="L63" s="108"/>
      <c r="M63" s="108"/>
      <c r="N63" s="108"/>
      <c r="O63" s="108"/>
      <c r="P63" s="108"/>
      <c r="Q63" s="108">
        <f t="shared" si="6"/>
        <v>100</v>
      </c>
    </row>
    <row r="64" spans="1:17" ht="15" customHeight="1" x14ac:dyDescent="0.25">
      <c r="A64" s="129"/>
      <c r="B64" s="129"/>
      <c r="C64" s="145"/>
      <c r="D64" s="142" t="s">
        <v>354</v>
      </c>
      <c r="E64" s="108">
        <v>2</v>
      </c>
      <c r="F64" s="108">
        <v>131209</v>
      </c>
      <c r="G64" s="108"/>
      <c r="H64" s="108"/>
      <c r="I64" s="108">
        <f>200+táj2!I64</f>
        <v>200</v>
      </c>
      <c r="J64" s="108"/>
      <c r="K64" s="108"/>
      <c r="L64" s="108"/>
      <c r="M64" s="108"/>
      <c r="N64" s="108"/>
      <c r="O64" s="108"/>
      <c r="P64" s="108"/>
      <c r="Q64" s="108">
        <f t="shared" si="6"/>
        <v>200</v>
      </c>
    </row>
    <row r="65" spans="1:17" ht="15" customHeight="1" x14ac:dyDescent="0.25">
      <c r="A65" s="129"/>
      <c r="B65" s="129"/>
      <c r="C65" s="145"/>
      <c r="D65" s="143" t="s">
        <v>355</v>
      </c>
      <c r="E65" s="108">
        <v>2</v>
      </c>
      <c r="F65" s="108">
        <v>131211</v>
      </c>
      <c r="G65" s="108">
        <f>0+táj2!G65</f>
        <v>197</v>
      </c>
      <c r="H65" s="108">
        <f>0+táj2!H65</f>
        <v>83</v>
      </c>
      <c r="I65" s="108">
        <f>965+táj2!I65</f>
        <v>685</v>
      </c>
      <c r="J65" s="108"/>
      <c r="K65" s="108"/>
      <c r="L65" s="108"/>
      <c r="M65" s="108"/>
      <c r="N65" s="108"/>
      <c r="O65" s="108"/>
      <c r="P65" s="108"/>
      <c r="Q65" s="108">
        <f t="shared" si="6"/>
        <v>965</v>
      </c>
    </row>
    <row r="66" spans="1:17" ht="14.1" customHeight="1" x14ac:dyDescent="0.25">
      <c r="A66" s="129"/>
      <c r="B66" s="129"/>
      <c r="C66" s="145"/>
      <c r="D66" s="143" t="s">
        <v>319</v>
      </c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</row>
    <row r="67" spans="1:17" ht="14.1" customHeight="1" x14ac:dyDescent="0.25">
      <c r="A67" s="129"/>
      <c r="B67" s="129"/>
      <c r="C67" s="145"/>
      <c r="D67" s="142" t="s">
        <v>356</v>
      </c>
      <c r="E67" s="108">
        <v>2</v>
      </c>
      <c r="F67" s="108">
        <v>131101</v>
      </c>
      <c r="G67" s="108"/>
      <c r="H67" s="108"/>
      <c r="I67" s="108"/>
      <c r="J67" s="108">
        <f>4000+táj2!J67</f>
        <v>3325</v>
      </c>
      <c r="K67" s="108">
        <f>6500+táj2!K67</f>
        <v>6500</v>
      </c>
      <c r="L67" s="108"/>
      <c r="M67" s="108"/>
      <c r="N67" s="108"/>
      <c r="O67" s="108"/>
      <c r="P67" s="108"/>
      <c r="Q67" s="108">
        <f>SUM(G67:P67)</f>
        <v>9825</v>
      </c>
    </row>
    <row r="68" spans="1:17" ht="14.1" customHeight="1" x14ac:dyDescent="0.25">
      <c r="A68" s="129"/>
      <c r="B68" s="129"/>
      <c r="C68" s="145"/>
      <c r="D68" s="142" t="s">
        <v>357</v>
      </c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</row>
    <row r="69" spans="1:17" ht="14.1" customHeight="1" x14ac:dyDescent="0.25">
      <c r="A69" s="129"/>
      <c r="B69" s="129"/>
      <c r="C69" s="145"/>
      <c r="D69" s="143" t="s">
        <v>358</v>
      </c>
      <c r="E69" s="108">
        <v>2</v>
      </c>
      <c r="F69" s="108">
        <v>131120</v>
      </c>
      <c r="G69" s="108"/>
      <c r="H69" s="108"/>
      <c r="I69" s="108">
        <f>150+táj2!I69</f>
        <v>150</v>
      </c>
      <c r="J69" s="108"/>
      <c r="K69" s="108"/>
      <c r="L69" s="108"/>
      <c r="M69" s="108"/>
      <c r="N69" s="108"/>
      <c r="O69" s="108"/>
      <c r="P69" s="108"/>
      <c r="Q69" s="108">
        <f>SUM(G69:P69)</f>
        <v>150</v>
      </c>
    </row>
    <row r="70" spans="1:17" ht="14.1" customHeight="1" x14ac:dyDescent="0.25">
      <c r="A70" s="129"/>
      <c r="B70" s="129"/>
      <c r="C70" s="145"/>
      <c r="D70" s="143" t="s">
        <v>359</v>
      </c>
      <c r="E70" s="140"/>
      <c r="F70" s="140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</row>
    <row r="71" spans="1:17" ht="14.1" customHeight="1" x14ac:dyDescent="0.25">
      <c r="A71" s="129"/>
      <c r="B71" s="129"/>
      <c r="C71" s="145"/>
      <c r="D71" s="143" t="s">
        <v>360</v>
      </c>
      <c r="E71" s="108">
        <v>2</v>
      </c>
      <c r="F71" s="108">
        <v>131346</v>
      </c>
      <c r="G71" s="108">
        <f>250+táj2!G71</f>
        <v>250</v>
      </c>
      <c r="H71" s="108">
        <f>34+táj2!H71</f>
        <v>34</v>
      </c>
      <c r="I71" s="108"/>
      <c r="J71" s="108"/>
      <c r="K71" s="108">
        <f>216+táj2!K71</f>
        <v>100</v>
      </c>
      <c r="L71" s="108"/>
      <c r="M71" s="108"/>
      <c r="N71" s="108"/>
      <c r="O71" s="108"/>
      <c r="P71" s="108"/>
      <c r="Q71" s="108">
        <f t="shared" ref="Q71:Q82" si="7">SUM(G71:P71)</f>
        <v>384</v>
      </c>
    </row>
    <row r="72" spans="1:17" ht="14.1" customHeight="1" x14ac:dyDescent="0.25">
      <c r="A72" s="129"/>
      <c r="B72" s="129"/>
      <c r="C72" s="145"/>
      <c r="D72" s="143" t="s">
        <v>361</v>
      </c>
      <c r="E72" s="108">
        <v>2</v>
      </c>
      <c r="F72" s="108">
        <v>131305</v>
      </c>
      <c r="G72" s="108"/>
      <c r="H72" s="108"/>
      <c r="I72" s="108"/>
      <c r="J72" s="108"/>
      <c r="K72" s="108">
        <f>1500+táj2!K72</f>
        <v>1500</v>
      </c>
      <c r="L72" s="108"/>
      <c r="M72" s="108"/>
      <c r="N72" s="108"/>
      <c r="O72" s="108"/>
      <c r="P72" s="108"/>
      <c r="Q72" s="108">
        <f t="shared" si="7"/>
        <v>1500</v>
      </c>
    </row>
    <row r="73" spans="1:17" ht="14.1" customHeight="1" x14ac:dyDescent="0.25">
      <c r="A73" s="129"/>
      <c r="B73" s="129"/>
      <c r="C73" s="145"/>
      <c r="D73" s="143" t="s">
        <v>362</v>
      </c>
      <c r="E73" s="108">
        <v>2</v>
      </c>
      <c r="F73" s="108">
        <v>131306</v>
      </c>
      <c r="G73" s="108"/>
      <c r="H73" s="108"/>
      <c r="I73" s="108"/>
      <c r="J73" s="108"/>
      <c r="K73" s="108">
        <f>500+táj2!K73</f>
        <v>500</v>
      </c>
      <c r="L73" s="108"/>
      <c r="M73" s="108"/>
      <c r="N73" s="108"/>
      <c r="O73" s="108"/>
      <c r="P73" s="108"/>
      <c r="Q73" s="108">
        <f t="shared" si="7"/>
        <v>500</v>
      </c>
    </row>
    <row r="74" spans="1:17" ht="14.1" customHeight="1" x14ac:dyDescent="0.25">
      <c r="A74" s="129"/>
      <c r="B74" s="129"/>
      <c r="C74" s="145"/>
      <c r="D74" s="150" t="s">
        <v>363</v>
      </c>
      <c r="E74" s="108">
        <v>2</v>
      </c>
      <c r="F74" s="108">
        <v>131325</v>
      </c>
      <c r="G74" s="108"/>
      <c r="H74" s="108"/>
      <c r="I74" s="108">
        <f>700+táj2!I74</f>
        <v>750</v>
      </c>
      <c r="J74" s="108"/>
      <c r="K74" s="108"/>
      <c r="L74" s="108"/>
      <c r="M74" s="108"/>
      <c r="N74" s="108"/>
      <c r="O74" s="108"/>
      <c r="P74" s="108"/>
      <c r="Q74" s="108">
        <f t="shared" si="7"/>
        <v>750</v>
      </c>
    </row>
    <row r="75" spans="1:17" ht="14.1" customHeight="1" x14ac:dyDescent="0.25">
      <c r="A75" s="129"/>
      <c r="B75" s="129"/>
      <c r="C75" s="145"/>
      <c r="D75" s="150" t="s">
        <v>735</v>
      </c>
      <c r="E75" s="108">
        <v>2</v>
      </c>
      <c r="F75" s="108">
        <v>131321</v>
      </c>
      <c r="G75" s="108"/>
      <c r="H75" s="108"/>
      <c r="I75" s="108"/>
      <c r="J75" s="108"/>
      <c r="K75" s="108">
        <f>52840+táj2!K75</f>
        <v>79840</v>
      </c>
      <c r="L75" s="108"/>
      <c r="M75" s="108"/>
      <c r="N75" s="108"/>
      <c r="O75" s="108"/>
      <c r="P75" s="108"/>
      <c r="Q75" s="108">
        <f t="shared" si="7"/>
        <v>79840</v>
      </c>
    </row>
    <row r="76" spans="1:17" ht="14.1" customHeight="1" x14ac:dyDescent="0.25">
      <c r="A76" s="738"/>
      <c r="B76" s="738"/>
      <c r="C76" s="737"/>
      <c r="D76" s="783" t="s">
        <v>1137</v>
      </c>
      <c r="E76" s="736">
        <v>2</v>
      </c>
      <c r="F76" s="736">
        <v>131326</v>
      </c>
      <c r="G76" s="736"/>
      <c r="H76" s="736"/>
      <c r="I76" s="736"/>
      <c r="J76" s="736"/>
      <c r="K76" s="108">
        <f>1500+táj2!K76</f>
        <v>1500</v>
      </c>
      <c r="L76" s="736"/>
      <c r="M76" s="736"/>
      <c r="N76" s="736"/>
      <c r="O76" s="736"/>
      <c r="P76" s="736"/>
      <c r="Q76" s="108">
        <f t="shared" si="7"/>
        <v>1500</v>
      </c>
    </row>
    <row r="77" spans="1:17" ht="23.25" customHeight="1" x14ac:dyDescent="0.25">
      <c r="A77" s="129"/>
      <c r="B77" s="129"/>
      <c r="C77" s="145"/>
      <c r="D77" s="150" t="s">
        <v>364</v>
      </c>
      <c r="E77" s="108">
        <v>2</v>
      </c>
      <c r="F77" s="108">
        <v>131313</v>
      </c>
      <c r="G77" s="108"/>
      <c r="H77" s="108"/>
      <c r="I77" s="108"/>
      <c r="J77" s="108"/>
      <c r="K77" s="108">
        <f>23461+táj2!K77</f>
        <v>22011</v>
      </c>
      <c r="L77" s="108"/>
      <c r="M77" s="108"/>
      <c r="N77" s="108"/>
      <c r="O77" s="108"/>
      <c r="P77" s="108"/>
      <c r="Q77" s="108">
        <f t="shared" si="7"/>
        <v>22011</v>
      </c>
    </row>
    <row r="78" spans="1:17" ht="14.1" customHeight="1" x14ac:dyDescent="0.25">
      <c r="A78" s="129"/>
      <c r="B78" s="129"/>
      <c r="C78" s="145"/>
      <c r="D78" s="162" t="s">
        <v>365</v>
      </c>
      <c r="E78" s="108">
        <v>2</v>
      </c>
      <c r="F78" s="108">
        <v>131501</v>
      </c>
      <c r="G78" s="108"/>
      <c r="H78" s="108"/>
      <c r="I78" s="108">
        <f>300+táj2!I78</f>
        <v>300</v>
      </c>
      <c r="J78" s="108"/>
      <c r="K78" s="108"/>
      <c r="L78" s="108"/>
      <c r="M78" s="108"/>
      <c r="N78" s="108"/>
      <c r="O78" s="108"/>
      <c r="P78" s="108"/>
      <c r="Q78" s="108">
        <f t="shared" si="7"/>
        <v>300</v>
      </c>
    </row>
    <row r="79" spans="1:17" ht="15" customHeight="1" x14ac:dyDescent="0.25">
      <c r="A79" s="129"/>
      <c r="B79" s="129"/>
      <c r="C79" s="145"/>
      <c r="D79" s="279" t="s">
        <v>969</v>
      </c>
      <c r="E79" s="108">
        <v>2</v>
      </c>
      <c r="F79" s="108">
        <v>131310</v>
      </c>
      <c r="G79" s="108"/>
      <c r="H79" s="108"/>
      <c r="I79" s="108"/>
      <c r="J79" s="108"/>
      <c r="K79" s="108">
        <f>100+táj2!K79</f>
        <v>100</v>
      </c>
      <c r="L79" s="108"/>
      <c r="M79" s="108"/>
      <c r="N79" s="108"/>
      <c r="O79" s="108"/>
      <c r="P79" s="108"/>
      <c r="Q79" s="108">
        <f t="shared" si="7"/>
        <v>100</v>
      </c>
    </row>
    <row r="80" spans="1:17" ht="15" customHeight="1" x14ac:dyDescent="0.25">
      <c r="A80" s="129"/>
      <c r="B80" s="129"/>
      <c r="C80" s="145"/>
      <c r="D80" s="536" t="s">
        <v>970</v>
      </c>
      <c r="E80" s="537">
        <v>2</v>
      </c>
      <c r="F80" s="537">
        <v>131410</v>
      </c>
      <c r="G80" s="108"/>
      <c r="H80" s="108"/>
      <c r="I80" s="108"/>
      <c r="J80" s="108"/>
      <c r="K80" s="108">
        <f>200+táj2!K80</f>
        <v>200</v>
      </c>
      <c r="L80" s="108"/>
      <c r="M80" s="108"/>
      <c r="N80" s="108"/>
      <c r="O80" s="108"/>
      <c r="P80" s="108"/>
      <c r="Q80" s="108">
        <f t="shared" si="7"/>
        <v>200</v>
      </c>
    </row>
    <row r="81" spans="1:17" ht="15" customHeight="1" x14ac:dyDescent="0.25">
      <c r="A81" s="129"/>
      <c r="B81" s="129"/>
      <c r="C81" s="145"/>
      <c r="D81" s="278" t="s">
        <v>366</v>
      </c>
      <c r="E81" s="108">
        <v>2</v>
      </c>
      <c r="F81" s="108">
        <v>131348</v>
      </c>
      <c r="G81" s="108"/>
      <c r="H81" s="108"/>
      <c r="I81" s="108"/>
      <c r="J81" s="108"/>
      <c r="K81" s="108">
        <f>2000+táj2!K81</f>
        <v>2000</v>
      </c>
      <c r="L81" s="108"/>
      <c r="M81" s="108"/>
      <c r="N81" s="108"/>
      <c r="O81" s="108"/>
      <c r="P81" s="108"/>
      <c r="Q81" s="108">
        <f t="shared" si="7"/>
        <v>2000</v>
      </c>
    </row>
    <row r="82" spans="1:17" ht="23.25" customHeight="1" x14ac:dyDescent="0.25">
      <c r="A82" s="129"/>
      <c r="B82" s="129"/>
      <c r="C82" s="145"/>
      <c r="D82" s="280" t="s">
        <v>367</v>
      </c>
      <c r="E82" s="108">
        <v>2</v>
      </c>
      <c r="F82" s="108">
        <v>131345</v>
      </c>
      <c r="G82" s="108"/>
      <c r="H82" s="108"/>
      <c r="I82" s="108"/>
      <c r="J82" s="108"/>
      <c r="K82" s="108">
        <f>100+táj2!K82</f>
        <v>100</v>
      </c>
      <c r="L82" s="108"/>
      <c r="M82" s="108"/>
      <c r="N82" s="108"/>
      <c r="O82" s="108"/>
      <c r="P82" s="108"/>
      <c r="Q82" s="108">
        <f t="shared" si="7"/>
        <v>100</v>
      </c>
    </row>
    <row r="83" spans="1:17" ht="14.1" customHeight="1" x14ac:dyDescent="0.25">
      <c r="A83" s="129"/>
      <c r="B83" s="129"/>
      <c r="C83" s="145"/>
      <c r="D83" s="108" t="s">
        <v>368</v>
      </c>
      <c r="E83" s="161"/>
      <c r="F83" s="140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</row>
    <row r="84" spans="1:17" ht="24.9" customHeight="1" x14ac:dyDescent="0.25">
      <c r="A84" s="129"/>
      <c r="B84" s="129"/>
      <c r="C84" s="145"/>
      <c r="D84" s="150" t="s">
        <v>369</v>
      </c>
      <c r="E84" s="140">
        <v>2</v>
      </c>
      <c r="F84" s="108">
        <v>131401</v>
      </c>
      <c r="G84" s="108"/>
      <c r="H84" s="108"/>
      <c r="I84" s="108"/>
      <c r="J84" s="108"/>
      <c r="K84" s="108">
        <f>500+táj2!K84</f>
        <v>500</v>
      </c>
      <c r="L84" s="108"/>
      <c r="M84" s="108"/>
      <c r="N84" s="108"/>
      <c r="O84" s="108"/>
      <c r="P84" s="108"/>
      <c r="Q84" s="108">
        <f t="shared" ref="Q84:Q90" si="8">SUM(G84:P84)</f>
        <v>500</v>
      </c>
    </row>
    <row r="85" spans="1:17" ht="14.1" customHeight="1" x14ac:dyDescent="0.25">
      <c r="A85" s="129"/>
      <c r="B85" s="129"/>
      <c r="C85" s="281"/>
      <c r="D85" s="282" t="s">
        <v>370</v>
      </c>
      <c r="E85" s="140">
        <v>2</v>
      </c>
      <c r="F85" s="108">
        <v>131402</v>
      </c>
      <c r="G85" s="108"/>
      <c r="H85" s="108"/>
      <c r="I85" s="108"/>
      <c r="J85" s="108"/>
      <c r="K85" s="108">
        <f>3000+táj2!K85</f>
        <v>3000</v>
      </c>
      <c r="L85" s="108"/>
      <c r="M85" s="108"/>
      <c r="N85" s="108"/>
      <c r="O85" s="108"/>
      <c r="P85" s="108"/>
      <c r="Q85" s="108">
        <f t="shared" si="8"/>
        <v>3000</v>
      </c>
    </row>
    <row r="86" spans="1:17" ht="14.1" customHeight="1" x14ac:dyDescent="0.25">
      <c r="A86" s="129"/>
      <c r="B86" s="129"/>
      <c r="C86" s="145"/>
      <c r="D86" s="143" t="s">
        <v>371</v>
      </c>
      <c r="E86" s="140">
        <v>2</v>
      </c>
      <c r="F86" s="108">
        <v>131403</v>
      </c>
      <c r="G86" s="108"/>
      <c r="H86" s="108"/>
      <c r="I86" s="108"/>
      <c r="J86" s="108"/>
      <c r="K86" s="108">
        <f>3000+táj2!K86</f>
        <v>3000</v>
      </c>
      <c r="L86" s="108"/>
      <c r="M86" s="108"/>
      <c r="N86" s="108"/>
      <c r="O86" s="108"/>
      <c r="P86" s="108"/>
      <c r="Q86" s="108">
        <f t="shared" si="8"/>
        <v>3000</v>
      </c>
    </row>
    <row r="87" spans="1:17" ht="14.1" customHeight="1" x14ac:dyDescent="0.25">
      <c r="A87" s="129"/>
      <c r="B87" s="129"/>
      <c r="C87" s="145"/>
      <c r="D87" s="143" t="s">
        <v>372</v>
      </c>
      <c r="E87" s="140">
        <v>2</v>
      </c>
      <c r="F87" s="108">
        <v>131404</v>
      </c>
      <c r="G87" s="108"/>
      <c r="H87" s="108"/>
      <c r="I87" s="108"/>
      <c r="J87" s="108"/>
      <c r="K87" s="108">
        <f>1870+táj2!K87</f>
        <v>1870</v>
      </c>
      <c r="L87" s="108"/>
      <c r="M87" s="108"/>
      <c r="N87" s="108"/>
      <c r="O87" s="108"/>
      <c r="P87" s="108"/>
      <c r="Q87" s="108">
        <f t="shared" si="8"/>
        <v>1870</v>
      </c>
    </row>
    <row r="88" spans="1:17" ht="14.1" customHeight="1" x14ac:dyDescent="0.25">
      <c r="A88" s="129"/>
      <c r="B88" s="129"/>
      <c r="C88" s="145"/>
      <c r="D88" s="143" t="s">
        <v>373</v>
      </c>
      <c r="E88" s="140">
        <v>2</v>
      </c>
      <c r="F88" s="108">
        <v>131330</v>
      </c>
      <c r="G88" s="108"/>
      <c r="H88" s="108"/>
      <c r="I88" s="108"/>
      <c r="J88" s="108"/>
      <c r="K88" s="108">
        <f>1000+táj2!K88</f>
        <v>1000</v>
      </c>
      <c r="L88" s="108"/>
      <c r="M88" s="108"/>
      <c r="N88" s="108"/>
      <c r="O88" s="108"/>
      <c r="P88" s="108"/>
      <c r="Q88" s="108">
        <f t="shared" si="8"/>
        <v>1000</v>
      </c>
    </row>
    <row r="89" spans="1:17" ht="14.1" customHeight="1" x14ac:dyDescent="0.25">
      <c r="A89" s="129"/>
      <c r="B89" s="129"/>
      <c r="C89" s="145"/>
      <c r="D89" s="143" t="s">
        <v>374</v>
      </c>
      <c r="E89" s="140">
        <v>2</v>
      </c>
      <c r="F89" s="108">
        <v>131507</v>
      </c>
      <c r="G89" s="108"/>
      <c r="H89" s="108"/>
      <c r="I89" s="108"/>
      <c r="J89" s="108"/>
      <c r="K89" s="108">
        <f>1500+táj2!K89</f>
        <v>1600</v>
      </c>
      <c r="L89" s="108"/>
      <c r="M89" s="108"/>
      <c r="N89" s="108"/>
      <c r="O89" s="108"/>
      <c r="P89" s="108"/>
      <c r="Q89" s="108">
        <f t="shared" si="8"/>
        <v>1600</v>
      </c>
    </row>
    <row r="90" spans="1:17" ht="14.1" customHeight="1" x14ac:dyDescent="0.25">
      <c r="A90" s="129"/>
      <c r="B90" s="129"/>
      <c r="C90" s="281"/>
      <c r="D90" s="374" t="s">
        <v>375</v>
      </c>
      <c r="E90" s="140">
        <v>2</v>
      </c>
      <c r="F90" s="108">
        <v>171943</v>
      </c>
      <c r="G90" s="108"/>
      <c r="H90" s="108"/>
      <c r="I90" s="108"/>
      <c r="J90" s="108"/>
      <c r="K90" s="108">
        <f>400+táj2!K90</f>
        <v>400</v>
      </c>
      <c r="L90" s="108"/>
      <c r="M90" s="108"/>
      <c r="N90" s="108"/>
      <c r="O90" s="108"/>
      <c r="P90" s="108"/>
      <c r="Q90" s="108">
        <f t="shared" si="8"/>
        <v>400</v>
      </c>
    </row>
    <row r="91" spans="1:17" ht="14.1" customHeight="1" x14ac:dyDescent="0.25">
      <c r="A91" s="129"/>
      <c r="B91" s="129"/>
      <c r="C91" s="145"/>
      <c r="D91" s="162" t="s">
        <v>376</v>
      </c>
      <c r="E91" s="165"/>
      <c r="F91" s="165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</row>
    <row r="92" spans="1:17" ht="14.1" customHeight="1" x14ac:dyDescent="0.25">
      <c r="A92" s="129"/>
      <c r="B92" s="129"/>
      <c r="C92" s="145"/>
      <c r="D92" s="162" t="s">
        <v>377</v>
      </c>
      <c r="E92" s="166">
        <v>2</v>
      </c>
      <c r="F92" s="167">
        <v>131502</v>
      </c>
      <c r="G92" s="108"/>
      <c r="H92" s="108"/>
      <c r="I92" s="108"/>
      <c r="J92" s="108">
        <f>400+táj2!J92</f>
        <v>175</v>
      </c>
      <c r="K92" s="108"/>
      <c r="L92" s="108"/>
      <c r="M92" s="108"/>
      <c r="N92" s="108"/>
      <c r="O92" s="108"/>
      <c r="P92" s="108"/>
      <c r="Q92" s="108">
        <f>SUM(G92:P92)</f>
        <v>175</v>
      </c>
    </row>
    <row r="93" spans="1:17" ht="25.5" customHeight="1" x14ac:dyDescent="0.25">
      <c r="A93" s="129"/>
      <c r="B93" s="129"/>
      <c r="C93" s="145"/>
      <c r="D93" s="150" t="s">
        <v>844</v>
      </c>
      <c r="E93" s="166">
        <v>2</v>
      </c>
      <c r="F93" s="353">
        <v>131867</v>
      </c>
      <c r="G93" s="108"/>
      <c r="H93" s="108"/>
      <c r="I93" s="108">
        <f>2000+táj2!I93</f>
        <v>2000</v>
      </c>
      <c r="J93" s="108"/>
      <c r="K93" s="108"/>
      <c r="L93" s="108"/>
      <c r="M93" s="108"/>
      <c r="N93" s="108"/>
      <c r="O93" s="108"/>
      <c r="P93" s="108"/>
      <c r="Q93" s="108">
        <f t="shared" ref="Q93" si="9">SUM(G93:P93)</f>
        <v>2000</v>
      </c>
    </row>
    <row r="94" spans="1:17" ht="15" customHeight="1" x14ac:dyDescent="0.25">
      <c r="A94" s="129"/>
      <c r="B94" s="129"/>
      <c r="C94" s="145"/>
      <c r="D94" s="315" t="s">
        <v>740</v>
      </c>
      <c r="E94" s="354"/>
      <c r="F94" s="167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</row>
    <row r="95" spans="1:17" ht="22.5" customHeight="1" x14ac:dyDescent="0.25">
      <c r="A95" s="129"/>
      <c r="B95" s="129"/>
      <c r="C95" s="145"/>
      <c r="D95" s="162" t="s">
        <v>752</v>
      </c>
      <c r="E95" s="486">
        <v>1</v>
      </c>
      <c r="F95" s="167">
        <v>131508</v>
      </c>
      <c r="G95" s="108"/>
      <c r="H95" s="108"/>
      <c r="I95" s="108"/>
      <c r="J95" s="108"/>
      <c r="K95" s="108">
        <f>288500+táj2!K95</f>
        <v>288500</v>
      </c>
      <c r="L95" s="108"/>
      <c r="M95" s="108"/>
      <c r="N95" s="108"/>
      <c r="O95" s="108"/>
      <c r="P95" s="108"/>
      <c r="Q95" s="108">
        <f>SUM(G95:P95)</f>
        <v>288500</v>
      </c>
    </row>
    <row r="96" spans="1:17" ht="14.1" customHeight="1" x14ac:dyDescent="0.25">
      <c r="A96" s="129"/>
      <c r="B96" s="129"/>
      <c r="C96" s="145"/>
      <c r="D96" s="162" t="s">
        <v>753</v>
      </c>
      <c r="E96" s="486">
        <v>1</v>
      </c>
      <c r="F96" s="167">
        <v>131509</v>
      </c>
      <c r="G96" s="108"/>
      <c r="H96" s="108"/>
      <c r="I96" s="108"/>
      <c r="J96" s="108"/>
      <c r="K96" s="108">
        <f>65000+táj2!K96</f>
        <v>65000</v>
      </c>
      <c r="L96" s="108"/>
      <c r="M96" s="108"/>
      <c r="N96" s="108"/>
      <c r="O96" s="108"/>
      <c r="P96" s="108"/>
      <c r="Q96" s="108">
        <f>SUM(G96:P96)</f>
        <v>65000</v>
      </c>
    </row>
    <row r="97" spans="1:17" ht="14.1" customHeight="1" x14ac:dyDescent="0.25">
      <c r="A97" s="129"/>
      <c r="B97" s="129"/>
      <c r="C97" s="145"/>
      <c r="D97" s="218" t="s">
        <v>378</v>
      </c>
      <c r="E97" s="284"/>
      <c r="F97" s="285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</row>
    <row r="98" spans="1:17" ht="14.1" customHeight="1" x14ac:dyDescent="0.25">
      <c r="A98" s="129"/>
      <c r="B98" s="129"/>
      <c r="C98" s="145"/>
      <c r="D98" s="141" t="s">
        <v>379</v>
      </c>
      <c r="E98" s="161"/>
      <c r="F98" s="140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</row>
    <row r="99" spans="1:17" ht="14.1" customHeight="1" x14ac:dyDescent="0.25">
      <c r="A99" s="129"/>
      <c r="B99" s="129"/>
      <c r="C99" s="145"/>
      <c r="D99" s="139" t="s">
        <v>380</v>
      </c>
      <c r="E99" s="140">
        <v>1</v>
      </c>
      <c r="F99" s="108">
        <v>131703</v>
      </c>
      <c r="G99" s="108"/>
      <c r="H99" s="108"/>
      <c r="I99" s="108">
        <f>15750+táj2!I99</f>
        <v>15750</v>
      </c>
      <c r="J99" s="108"/>
      <c r="K99" s="108"/>
      <c r="L99" s="108"/>
      <c r="M99" s="108"/>
      <c r="N99" s="108"/>
      <c r="O99" s="108"/>
      <c r="P99" s="108"/>
      <c r="Q99" s="108">
        <f>SUM(G99:P99)</f>
        <v>15750</v>
      </c>
    </row>
    <row r="100" spans="1:17" ht="15" customHeight="1" x14ac:dyDescent="0.25">
      <c r="A100" s="129"/>
      <c r="B100" s="129"/>
      <c r="C100" s="145"/>
      <c r="D100" s="142" t="s">
        <v>381</v>
      </c>
      <c r="E100" s="140">
        <v>1</v>
      </c>
      <c r="F100" s="108">
        <v>121319</v>
      </c>
      <c r="G100" s="108"/>
      <c r="H100" s="108"/>
      <c r="I100" s="108"/>
      <c r="J100" s="108"/>
      <c r="K100" s="108">
        <f>4452+táj2!K100</f>
        <v>4452</v>
      </c>
      <c r="L100" s="108"/>
      <c r="M100" s="108"/>
      <c r="N100" s="108"/>
      <c r="O100" s="108"/>
      <c r="P100" s="108"/>
      <c r="Q100" s="108">
        <f>SUM(G100:P100)</f>
        <v>4452</v>
      </c>
    </row>
    <row r="101" spans="1:17" ht="27" customHeight="1" x14ac:dyDescent="0.25">
      <c r="A101" s="129"/>
      <c r="B101" s="129"/>
      <c r="C101" s="145"/>
      <c r="D101" s="286" t="s">
        <v>382</v>
      </c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</row>
    <row r="102" spans="1:17" ht="16.5" customHeight="1" x14ac:dyDescent="0.25">
      <c r="A102" s="129"/>
      <c r="B102" s="129"/>
      <c r="C102" s="145"/>
      <c r="D102" s="286" t="s">
        <v>383</v>
      </c>
      <c r="E102" s="108">
        <v>2</v>
      </c>
      <c r="F102" s="108">
        <v>131506</v>
      </c>
      <c r="G102" s="108">
        <f>400+táj2!G102</f>
        <v>559</v>
      </c>
      <c r="H102" s="108">
        <f>120+táj2!H102</f>
        <v>170</v>
      </c>
      <c r="I102" s="108">
        <f>480+táj2!I102</f>
        <v>271</v>
      </c>
      <c r="J102" s="108"/>
      <c r="K102" s="108"/>
      <c r="L102" s="108"/>
      <c r="M102" s="108"/>
      <c r="N102" s="108"/>
      <c r="O102" s="108"/>
      <c r="P102" s="108"/>
      <c r="Q102" s="108">
        <f>SUM(G102:P102)</f>
        <v>1000</v>
      </c>
    </row>
    <row r="103" spans="1:17" ht="15" customHeight="1" x14ac:dyDescent="0.25">
      <c r="A103" s="129"/>
      <c r="B103" s="129"/>
      <c r="C103" s="145"/>
      <c r="D103" s="143" t="s">
        <v>384</v>
      </c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</row>
    <row r="104" spans="1:17" ht="15" customHeight="1" x14ac:dyDescent="0.25">
      <c r="A104" s="129"/>
      <c r="B104" s="129"/>
      <c r="C104" s="145"/>
      <c r="D104" s="143" t="s">
        <v>739</v>
      </c>
      <c r="E104" s="108">
        <v>2</v>
      </c>
      <c r="F104" s="108">
        <v>131707</v>
      </c>
      <c r="G104" s="108"/>
      <c r="H104" s="108"/>
      <c r="I104" s="108"/>
      <c r="J104" s="108"/>
      <c r="K104" s="108">
        <f>11500+táj2!K104</f>
        <v>11500</v>
      </c>
      <c r="L104" s="108"/>
      <c r="M104" s="108"/>
      <c r="N104" s="108"/>
      <c r="O104" s="108"/>
      <c r="P104" s="108"/>
      <c r="Q104" s="108">
        <f>SUM(G104:P104)</f>
        <v>11500</v>
      </c>
    </row>
    <row r="105" spans="1:17" ht="15" customHeight="1" x14ac:dyDescent="0.25">
      <c r="A105" s="129"/>
      <c r="B105" s="129"/>
      <c r="C105" s="145"/>
      <c r="D105" s="143" t="s">
        <v>385</v>
      </c>
      <c r="E105" s="108">
        <v>2</v>
      </c>
      <c r="F105" s="108">
        <v>131713</v>
      </c>
      <c r="G105" s="108"/>
      <c r="H105" s="108"/>
      <c r="I105" s="108"/>
      <c r="J105" s="108"/>
      <c r="K105" s="108">
        <f>3000+táj2!K105</f>
        <v>3000</v>
      </c>
      <c r="L105" s="108"/>
      <c r="M105" s="108"/>
      <c r="N105" s="108"/>
      <c r="O105" s="108"/>
      <c r="P105" s="108"/>
      <c r="Q105" s="108">
        <f>SUM(G105:P105)</f>
        <v>3000</v>
      </c>
    </row>
    <row r="106" spans="1:17" ht="15" customHeight="1" x14ac:dyDescent="0.25">
      <c r="A106" s="511"/>
      <c r="B106" s="511"/>
      <c r="C106" s="544"/>
      <c r="D106" s="633" t="s">
        <v>1073</v>
      </c>
      <c r="E106" s="537">
        <v>1</v>
      </c>
      <c r="F106" s="537">
        <v>131718</v>
      </c>
      <c r="G106" s="537"/>
      <c r="H106" s="537"/>
      <c r="I106" s="537"/>
      <c r="J106" s="537"/>
      <c r="K106" s="108">
        <f>2280+táj2!K106</f>
        <v>2430</v>
      </c>
      <c r="L106" s="537"/>
      <c r="M106" s="537"/>
      <c r="N106" s="537"/>
      <c r="O106" s="537"/>
      <c r="P106" s="537"/>
      <c r="Q106" s="108">
        <f>SUM(G106:P106)</f>
        <v>2430</v>
      </c>
    </row>
    <row r="107" spans="1:17" ht="16.5" customHeight="1" x14ac:dyDescent="0.25">
      <c r="A107" s="129"/>
      <c r="B107" s="129"/>
      <c r="C107" s="145"/>
      <c r="D107" s="150" t="s">
        <v>329</v>
      </c>
      <c r="E107" s="165"/>
      <c r="F107" s="165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</row>
    <row r="108" spans="1:17" ht="15" customHeight="1" x14ac:dyDescent="0.25">
      <c r="A108" s="129"/>
      <c r="B108" s="129"/>
      <c r="C108" s="145"/>
      <c r="D108" s="143" t="s">
        <v>386</v>
      </c>
      <c r="E108" s="140">
        <v>2</v>
      </c>
      <c r="F108" s="108">
        <v>131706</v>
      </c>
      <c r="G108" s="108">
        <f>415+táj2!G108</f>
        <v>499</v>
      </c>
      <c r="H108" s="108">
        <f>120+táj2!H108</f>
        <v>99</v>
      </c>
      <c r="I108" s="108">
        <f>430+táj2!I108</f>
        <v>367</v>
      </c>
      <c r="J108" s="108"/>
      <c r="K108" s="108">
        <f>1335+táj2!K108</f>
        <v>1335</v>
      </c>
      <c r="L108" s="108"/>
      <c r="M108" s="108"/>
      <c r="N108" s="108"/>
      <c r="O108" s="108"/>
      <c r="P108" s="108"/>
      <c r="Q108" s="108">
        <f>SUM(G108:P108)</f>
        <v>2300</v>
      </c>
    </row>
    <row r="109" spans="1:17" ht="15" customHeight="1" x14ac:dyDescent="0.25">
      <c r="A109" s="129"/>
      <c r="B109" s="129"/>
      <c r="C109" s="145"/>
      <c r="D109" s="528" t="s">
        <v>1098</v>
      </c>
      <c r="E109" s="140">
        <v>2</v>
      </c>
      <c r="F109" s="108">
        <v>131712</v>
      </c>
      <c r="G109" s="108"/>
      <c r="H109" s="108">
        <f>49+táj2!H109</f>
        <v>49</v>
      </c>
      <c r="I109" s="108">
        <f>1865+táj2!I109</f>
        <v>1865</v>
      </c>
      <c r="J109" s="108"/>
      <c r="K109" s="108"/>
      <c r="L109" s="108"/>
      <c r="M109" s="108"/>
      <c r="N109" s="108"/>
      <c r="O109" s="108"/>
      <c r="P109" s="108"/>
      <c r="Q109" s="108">
        <f>SUM(G109:P109)</f>
        <v>1914</v>
      </c>
    </row>
    <row r="110" spans="1:17" ht="15" customHeight="1" x14ac:dyDescent="0.25">
      <c r="A110" s="129"/>
      <c r="B110" s="129"/>
      <c r="C110" s="145"/>
      <c r="D110" s="150" t="s">
        <v>387</v>
      </c>
      <c r="E110" s="140">
        <v>2</v>
      </c>
      <c r="F110" s="108">
        <v>131714</v>
      </c>
      <c r="G110" s="108"/>
      <c r="H110" s="108"/>
      <c r="I110" s="108"/>
      <c r="J110" s="108"/>
      <c r="K110" s="108">
        <f>200+táj2!K110</f>
        <v>200</v>
      </c>
      <c r="L110" s="108"/>
      <c r="M110" s="108"/>
      <c r="N110" s="108"/>
      <c r="O110" s="108"/>
      <c r="P110" s="108"/>
      <c r="Q110" s="108">
        <f>SUM(G110:P110)</f>
        <v>200</v>
      </c>
    </row>
    <row r="111" spans="1:17" ht="15" customHeight="1" x14ac:dyDescent="0.25">
      <c r="A111" s="129"/>
      <c r="B111" s="129"/>
      <c r="C111" s="145"/>
      <c r="D111" s="108" t="s">
        <v>368</v>
      </c>
      <c r="E111" s="161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</row>
    <row r="112" spans="1:17" ht="15" customHeight="1" x14ac:dyDescent="0.25">
      <c r="A112" s="129"/>
      <c r="B112" s="129"/>
      <c r="C112" s="145"/>
      <c r="D112" s="143" t="s">
        <v>388</v>
      </c>
      <c r="E112" s="140">
        <v>2</v>
      </c>
      <c r="F112" s="108">
        <v>128901</v>
      </c>
      <c r="G112" s="108"/>
      <c r="H112" s="108"/>
      <c r="I112" s="108"/>
      <c r="J112" s="108"/>
      <c r="K112" s="108">
        <f>750+táj2!K112</f>
        <v>750</v>
      </c>
      <c r="L112" s="108"/>
      <c r="M112" s="108"/>
      <c r="N112" s="108"/>
      <c r="O112" s="108"/>
      <c r="P112" s="108"/>
      <c r="Q112" s="108">
        <f>SUM(G112:P112)</f>
        <v>750</v>
      </c>
    </row>
    <row r="113" spans="1:17" ht="15" customHeight="1" x14ac:dyDescent="0.25">
      <c r="A113" s="372"/>
      <c r="B113" s="372"/>
      <c r="C113" s="373"/>
      <c r="D113" s="143" t="s">
        <v>679</v>
      </c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</row>
    <row r="114" spans="1:17" ht="15" customHeight="1" x14ac:dyDescent="0.25">
      <c r="A114" s="372"/>
      <c r="B114" s="372"/>
      <c r="C114" s="373"/>
      <c r="D114" s="143" t="s">
        <v>680</v>
      </c>
      <c r="E114" s="108">
        <v>2</v>
      </c>
      <c r="F114" s="108">
        <v>191401</v>
      </c>
      <c r="G114" s="108"/>
      <c r="H114" s="108"/>
      <c r="I114" s="108"/>
      <c r="J114" s="108"/>
      <c r="K114" s="108">
        <f>3000+táj2!K114</f>
        <v>3000</v>
      </c>
      <c r="L114" s="108"/>
      <c r="M114" s="108"/>
      <c r="N114" s="108"/>
      <c r="O114" s="108"/>
      <c r="P114" s="108"/>
      <c r="Q114" s="108">
        <f>SUM(G114:P114)</f>
        <v>3000</v>
      </c>
    </row>
    <row r="115" spans="1:17" ht="15" customHeight="1" x14ac:dyDescent="0.25">
      <c r="A115" s="129"/>
      <c r="B115" s="129"/>
      <c r="C115" s="145"/>
      <c r="D115" s="175" t="s">
        <v>389</v>
      </c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</row>
    <row r="116" spans="1:17" ht="15" customHeight="1" x14ac:dyDescent="0.25">
      <c r="A116" s="129"/>
      <c r="B116" s="129"/>
      <c r="C116" s="145"/>
      <c r="D116" s="142" t="s">
        <v>390</v>
      </c>
      <c r="E116" s="140"/>
      <c r="F116" s="140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</row>
    <row r="117" spans="1:17" ht="15" customHeight="1" x14ac:dyDescent="0.25">
      <c r="A117" s="129"/>
      <c r="B117" s="129"/>
      <c r="C117" s="145"/>
      <c r="D117" s="143" t="s">
        <v>920</v>
      </c>
      <c r="E117" s="108">
        <v>2</v>
      </c>
      <c r="F117" s="108">
        <v>131803</v>
      </c>
      <c r="G117" s="108"/>
      <c r="H117" s="108"/>
      <c r="I117" s="108"/>
      <c r="J117" s="108"/>
      <c r="K117" s="108">
        <f>153000+táj2!K117</f>
        <v>153000</v>
      </c>
      <c r="L117" s="108"/>
      <c r="M117" s="108"/>
      <c r="N117" s="108"/>
      <c r="O117" s="108"/>
      <c r="P117" s="108"/>
      <c r="Q117" s="108">
        <f>SUM(G117:P117)</f>
        <v>153000</v>
      </c>
    </row>
    <row r="118" spans="1:17" ht="15" customHeight="1" x14ac:dyDescent="0.25">
      <c r="A118" s="129"/>
      <c r="B118" s="129"/>
      <c r="C118" s="145"/>
      <c r="D118" s="143" t="s">
        <v>391</v>
      </c>
      <c r="E118" s="108">
        <v>2</v>
      </c>
      <c r="F118" s="108">
        <v>131804</v>
      </c>
      <c r="G118" s="108"/>
      <c r="H118" s="108"/>
      <c r="I118" s="108"/>
      <c r="J118" s="108"/>
      <c r="K118" s="108">
        <f>147694+táj2!K118</f>
        <v>147694</v>
      </c>
      <c r="L118" s="108"/>
      <c r="M118" s="108"/>
      <c r="N118" s="108"/>
      <c r="O118" s="108"/>
      <c r="P118" s="108"/>
      <c r="Q118" s="108">
        <f>SUM(G118:P118)</f>
        <v>147694</v>
      </c>
    </row>
    <row r="119" spans="1:17" ht="15" customHeight="1" x14ac:dyDescent="0.25">
      <c r="A119" s="511"/>
      <c r="B119" s="511"/>
      <c r="C119" s="544"/>
      <c r="D119" s="528" t="s">
        <v>1084</v>
      </c>
      <c r="E119" s="108">
        <v>2</v>
      </c>
      <c r="F119" s="108">
        <v>131804</v>
      </c>
      <c r="G119" s="537"/>
      <c r="H119" s="537"/>
      <c r="I119" s="537"/>
      <c r="J119" s="537"/>
      <c r="K119" s="108">
        <f>36750+táj2!K119</f>
        <v>36750</v>
      </c>
      <c r="L119" s="537"/>
      <c r="M119" s="537"/>
      <c r="N119" s="537"/>
      <c r="O119" s="537"/>
      <c r="P119" s="537"/>
      <c r="Q119" s="108">
        <f>SUM(G119:P119)</f>
        <v>36750</v>
      </c>
    </row>
    <row r="120" spans="1:17" ht="15" customHeight="1" x14ac:dyDescent="0.25">
      <c r="A120" s="129"/>
      <c r="B120" s="129"/>
      <c r="C120" s="145"/>
      <c r="D120" s="143" t="s">
        <v>392</v>
      </c>
      <c r="E120" s="108">
        <v>2</v>
      </c>
      <c r="F120" s="108">
        <v>131805</v>
      </c>
      <c r="G120" s="108"/>
      <c r="H120" s="108"/>
      <c r="I120" s="108"/>
      <c r="J120" s="108"/>
      <c r="K120" s="108">
        <f>6000+táj2!K120</f>
        <v>6000</v>
      </c>
      <c r="L120" s="108"/>
      <c r="M120" s="108"/>
      <c r="N120" s="108"/>
      <c r="O120" s="108"/>
      <c r="P120" s="108"/>
      <c r="Q120" s="108">
        <f>SUM(G120:P120)</f>
        <v>6000</v>
      </c>
    </row>
    <row r="121" spans="1:17" ht="15" customHeight="1" x14ac:dyDescent="0.25">
      <c r="A121" s="129"/>
      <c r="B121" s="129"/>
      <c r="C121" s="145"/>
      <c r="D121" s="142" t="s">
        <v>393</v>
      </c>
      <c r="E121" s="140"/>
      <c r="F121" s="140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</row>
    <row r="122" spans="1:17" ht="15" customHeight="1" x14ac:dyDescent="0.25">
      <c r="A122" s="129"/>
      <c r="B122" s="129"/>
      <c r="C122" s="145"/>
      <c r="D122" s="143" t="s">
        <v>394</v>
      </c>
      <c r="E122" s="140">
        <v>1</v>
      </c>
      <c r="F122" s="108">
        <v>131808</v>
      </c>
      <c r="G122" s="108">
        <f>300+táj2!G122</f>
        <v>300</v>
      </c>
      <c r="H122" s="108">
        <f>39+táj2!H122</f>
        <v>39</v>
      </c>
      <c r="I122" s="108">
        <f>536+táj2!I122</f>
        <v>536</v>
      </c>
      <c r="J122" s="108"/>
      <c r="K122" s="108"/>
      <c r="L122" s="108"/>
      <c r="M122" s="108"/>
      <c r="N122" s="108"/>
      <c r="O122" s="108"/>
      <c r="P122" s="108"/>
      <c r="Q122" s="108">
        <f>SUM(G122:P122)</f>
        <v>875</v>
      </c>
    </row>
    <row r="123" spans="1:17" ht="15" customHeight="1" x14ac:dyDescent="0.25">
      <c r="A123" s="129"/>
      <c r="B123" s="129"/>
      <c r="C123" s="145"/>
      <c r="D123" s="143" t="s">
        <v>395</v>
      </c>
      <c r="E123" s="108">
        <v>1</v>
      </c>
      <c r="F123" s="108">
        <v>131807</v>
      </c>
      <c r="G123" s="108">
        <f>100+táj2!G123</f>
        <v>100</v>
      </c>
      <c r="H123" s="108">
        <f>13+táj2!H123</f>
        <v>13</v>
      </c>
      <c r="I123" s="108">
        <f>612+táj2!I123</f>
        <v>612</v>
      </c>
      <c r="J123" s="108"/>
      <c r="K123" s="108"/>
      <c r="L123" s="108"/>
      <c r="M123" s="108"/>
      <c r="N123" s="108"/>
      <c r="O123" s="108"/>
      <c r="P123" s="108"/>
      <c r="Q123" s="108">
        <f>SUM(G123:P123)</f>
        <v>725</v>
      </c>
    </row>
    <row r="124" spans="1:17" ht="15" customHeight="1" x14ac:dyDescent="0.25">
      <c r="A124" s="129"/>
      <c r="B124" s="129"/>
      <c r="C124" s="145"/>
      <c r="D124" s="143" t="s">
        <v>396</v>
      </c>
      <c r="E124" s="140">
        <v>1</v>
      </c>
      <c r="F124" s="108">
        <v>131809</v>
      </c>
      <c r="G124" s="108"/>
      <c r="H124" s="108"/>
      <c r="I124" s="108"/>
      <c r="J124" s="108"/>
      <c r="K124" s="108">
        <f>400+táj2!K124</f>
        <v>400</v>
      </c>
      <c r="L124" s="108"/>
      <c r="M124" s="108"/>
      <c r="N124" s="108"/>
      <c r="O124" s="108"/>
      <c r="P124" s="108"/>
      <c r="Q124" s="108">
        <f>SUM(G124:P124)</f>
        <v>400</v>
      </c>
    </row>
    <row r="125" spans="1:17" ht="15" customHeight="1" x14ac:dyDescent="0.25">
      <c r="A125" s="129"/>
      <c r="B125" s="129"/>
      <c r="C125" s="145"/>
      <c r="D125" s="143" t="s">
        <v>845</v>
      </c>
      <c r="E125" s="140">
        <v>2</v>
      </c>
      <c r="F125" s="108">
        <v>131866</v>
      </c>
      <c r="G125" s="108"/>
      <c r="H125" s="108"/>
      <c r="I125" s="108"/>
      <c r="J125" s="108"/>
      <c r="K125" s="108">
        <f>2000+táj2!K125</f>
        <v>2000</v>
      </c>
      <c r="L125" s="108"/>
      <c r="M125" s="108"/>
      <c r="N125" s="108"/>
      <c r="O125" s="108"/>
      <c r="P125" s="108"/>
      <c r="Q125" s="108">
        <f>SUM(G125:P125)</f>
        <v>2000</v>
      </c>
    </row>
    <row r="126" spans="1:17" ht="15" customHeight="1" x14ac:dyDescent="0.25">
      <c r="A126" s="129"/>
      <c r="B126" s="129"/>
      <c r="C126" s="145"/>
      <c r="D126" s="142" t="s">
        <v>397</v>
      </c>
      <c r="E126" s="140"/>
      <c r="F126" s="140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</row>
    <row r="127" spans="1:17" ht="15" customHeight="1" x14ac:dyDescent="0.25">
      <c r="A127" s="129"/>
      <c r="B127" s="129"/>
      <c r="C127" s="145"/>
      <c r="D127" s="143" t="s">
        <v>398</v>
      </c>
      <c r="E127" s="108">
        <v>1</v>
      </c>
      <c r="F127" s="108">
        <v>131811</v>
      </c>
      <c r="G127" s="108"/>
      <c r="H127" s="108"/>
      <c r="I127" s="108"/>
      <c r="J127" s="108"/>
      <c r="K127" s="108">
        <f>2250+táj2!K127</f>
        <v>2250</v>
      </c>
      <c r="L127" s="108"/>
      <c r="M127" s="108"/>
      <c r="N127" s="108"/>
      <c r="O127" s="108"/>
      <c r="P127" s="108"/>
      <c r="Q127" s="108">
        <f t="shared" ref="Q127:Q134" si="10">SUM(G127:P127)</f>
        <v>2250</v>
      </c>
    </row>
    <row r="128" spans="1:17" ht="15" customHeight="1" x14ac:dyDescent="0.25">
      <c r="A128" s="129"/>
      <c r="B128" s="129"/>
      <c r="C128" s="145"/>
      <c r="D128" s="143" t="s">
        <v>399</v>
      </c>
      <c r="E128" s="108">
        <v>1</v>
      </c>
      <c r="F128" s="108">
        <v>131812</v>
      </c>
      <c r="G128" s="108"/>
      <c r="H128" s="108"/>
      <c r="I128" s="108"/>
      <c r="J128" s="108"/>
      <c r="K128" s="108">
        <f>4000+táj2!K128</f>
        <v>4000</v>
      </c>
      <c r="L128" s="108"/>
      <c r="M128" s="108"/>
      <c r="N128" s="108"/>
      <c r="O128" s="108"/>
      <c r="P128" s="108"/>
      <c r="Q128" s="108">
        <f t="shared" si="10"/>
        <v>4000</v>
      </c>
    </row>
    <row r="129" spans="1:17" ht="15" customHeight="1" x14ac:dyDescent="0.25">
      <c r="A129" s="129"/>
      <c r="B129" s="129"/>
      <c r="C129" s="145"/>
      <c r="D129" s="143" t="s">
        <v>400</v>
      </c>
      <c r="E129" s="108">
        <v>1</v>
      </c>
      <c r="F129" s="108">
        <v>131813</v>
      </c>
      <c r="G129" s="108"/>
      <c r="H129" s="108"/>
      <c r="I129" s="108"/>
      <c r="J129" s="108"/>
      <c r="K129" s="108">
        <f>800+táj2!K129</f>
        <v>800</v>
      </c>
      <c r="L129" s="108"/>
      <c r="M129" s="108"/>
      <c r="N129" s="108"/>
      <c r="O129" s="108"/>
      <c r="P129" s="108"/>
      <c r="Q129" s="108">
        <f t="shared" si="10"/>
        <v>800</v>
      </c>
    </row>
    <row r="130" spans="1:17" ht="15" customHeight="1" x14ac:dyDescent="0.25">
      <c r="A130" s="129"/>
      <c r="B130" s="129"/>
      <c r="C130" s="145"/>
      <c r="D130" s="143" t="s">
        <v>401</v>
      </c>
      <c r="E130" s="108">
        <v>1</v>
      </c>
      <c r="F130" s="108">
        <v>131816</v>
      </c>
      <c r="G130" s="108"/>
      <c r="H130" s="108"/>
      <c r="I130" s="108"/>
      <c r="J130" s="108"/>
      <c r="K130" s="108">
        <f>500+táj2!K130</f>
        <v>500</v>
      </c>
      <c r="L130" s="108"/>
      <c r="M130" s="108"/>
      <c r="N130" s="108"/>
      <c r="O130" s="108"/>
      <c r="P130" s="108"/>
      <c r="Q130" s="108">
        <f t="shared" si="10"/>
        <v>500</v>
      </c>
    </row>
    <row r="131" spans="1:17" ht="15" customHeight="1" x14ac:dyDescent="0.25">
      <c r="A131" s="129"/>
      <c r="B131" s="129"/>
      <c r="C131" s="145"/>
      <c r="D131" s="143" t="s">
        <v>402</v>
      </c>
      <c r="E131" s="108">
        <v>1</v>
      </c>
      <c r="F131" s="108">
        <v>131817</v>
      </c>
      <c r="G131" s="108"/>
      <c r="H131" s="108"/>
      <c r="I131" s="108"/>
      <c r="J131" s="108"/>
      <c r="K131" s="108">
        <f>300+táj2!K131</f>
        <v>300</v>
      </c>
      <c r="L131" s="108"/>
      <c r="M131" s="108"/>
      <c r="N131" s="108"/>
      <c r="O131" s="108"/>
      <c r="P131" s="108"/>
      <c r="Q131" s="108">
        <f t="shared" si="10"/>
        <v>300</v>
      </c>
    </row>
    <row r="132" spans="1:17" ht="15" customHeight="1" x14ac:dyDescent="0.25">
      <c r="A132" s="129"/>
      <c r="B132" s="129"/>
      <c r="C132" s="145"/>
      <c r="D132" s="143" t="s">
        <v>403</v>
      </c>
      <c r="E132" s="108">
        <v>1</v>
      </c>
      <c r="F132" s="108">
        <v>131818</v>
      </c>
      <c r="G132" s="108"/>
      <c r="H132" s="108"/>
      <c r="I132" s="108"/>
      <c r="J132" s="108"/>
      <c r="K132" s="108">
        <f>150+táj2!K132</f>
        <v>150</v>
      </c>
      <c r="L132" s="108"/>
      <c r="M132" s="108"/>
      <c r="N132" s="108"/>
      <c r="O132" s="108"/>
      <c r="P132" s="108"/>
      <c r="Q132" s="108">
        <f t="shared" si="10"/>
        <v>150</v>
      </c>
    </row>
    <row r="133" spans="1:17" ht="15" customHeight="1" x14ac:dyDescent="0.25">
      <c r="A133" s="129"/>
      <c r="B133" s="129"/>
      <c r="C133" s="145"/>
      <c r="D133" s="143" t="s">
        <v>404</v>
      </c>
      <c r="E133" s="108">
        <v>1</v>
      </c>
      <c r="F133" s="108">
        <v>131832</v>
      </c>
      <c r="G133" s="108"/>
      <c r="H133" s="108"/>
      <c r="I133" s="108"/>
      <c r="J133" s="108"/>
      <c r="K133" s="108">
        <f>50+táj2!K133</f>
        <v>50</v>
      </c>
      <c r="L133" s="108"/>
      <c r="M133" s="108"/>
      <c r="N133" s="108"/>
      <c r="O133" s="108"/>
      <c r="P133" s="108"/>
      <c r="Q133" s="108">
        <f t="shared" si="10"/>
        <v>50</v>
      </c>
    </row>
    <row r="134" spans="1:17" ht="15" customHeight="1" x14ac:dyDescent="0.25">
      <c r="A134" s="129"/>
      <c r="B134" s="129"/>
      <c r="C134" s="145"/>
      <c r="D134" s="143" t="s">
        <v>405</v>
      </c>
      <c r="E134" s="108">
        <v>1</v>
      </c>
      <c r="F134" s="108">
        <v>131820</v>
      </c>
      <c r="G134" s="108">
        <f>400+táj2!G134</f>
        <v>400</v>
      </c>
      <c r="H134" s="108">
        <f>100+táj2!H134</f>
        <v>100</v>
      </c>
      <c r="I134" s="108">
        <f>512+táj2!I134</f>
        <v>628</v>
      </c>
      <c r="J134" s="108"/>
      <c r="K134" s="108">
        <f>1788+táj2!K134</f>
        <v>3134</v>
      </c>
      <c r="L134" s="108"/>
      <c r="M134" s="108"/>
      <c r="N134" s="108">
        <f>500+táj2!N134</f>
        <v>500</v>
      </c>
      <c r="O134" s="108"/>
      <c r="P134" s="108"/>
      <c r="Q134" s="108">
        <f t="shared" si="10"/>
        <v>4762</v>
      </c>
    </row>
    <row r="135" spans="1:17" ht="15" customHeight="1" x14ac:dyDescent="0.25">
      <c r="A135" s="129"/>
      <c r="B135" s="129"/>
      <c r="C135" s="145"/>
      <c r="D135" s="143" t="s">
        <v>406</v>
      </c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</row>
    <row r="136" spans="1:17" ht="15" customHeight="1" x14ac:dyDescent="0.25">
      <c r="A136" s="129"/>
      <c r="B136" s="129"/>
      <c r="C136" s="145"/>
      <c r="D136" s="143" t="s">
        <v>407</v>
      </c>
      <c r="E136" s="140">
        <v>2</v>
      </c>
      <c r="F136" s="108">
        <v>131821</v>
      </c>
      <c r="G136" s="108"/>
      <c r="H136" s="108"/>
      <c r="I136" s="108"/>
      <c r="J136" s="108"/>
      <c r="K136" s="108">
        <f>2000+táj2!K136</f>
        <v>2200</v>
      </c>
      <c r="L136" s="108"/>
      <c r="M136" s="108"/>
      <c r="N136" s="108"/>
      <c r="O136" s="108"/>
      <c r="P136" s="108"/>
      <c r="Q136" s="108">
        <f t="shared" ref="Q136:Q157" si="11">SUM(G136:P136)</f>
        <v>2200</v>
      </c>
    </row>
    <row r="137" spans="1:17" ht="15" customHeight="1" x14ac:dyDescent="0.25">
      <c r="A137" s="129"/>
      <c r="B137" s="129"/>
      <c r="C137" s="145"/>
      <c r="D137" s="143" t="s">
        <v>408</v>
      </c>
      <c r="E137" s="140">
        <v>2</v>
      </c>
      <c r="F137" s="108">
        <v>131822</v>
      </c>
      <c r="G137" s="108"/>
      <c r="H137" s="108"/>
      <c r="I137" s="108"/>
      <c r="J137" s="108"/>
      <c r="K137" s="108">
        <f>200+táj2!K137</f>
        <v>200</v>
      </c>
      <c r="L137" s="108"/>
      <c r="M137" s="108"/>
      <c r="N137" s="108"/>
      <c r="O137" s="108"/>
      <c r="P137" s="108"/>
      <c r="Q137" s="108">
        <f t="shared" si="11"/>
        <v>200</v>
      </c>
    </row>
    <row r="138" spans="1:17" ht="15" customHeight="1" x14ac:dyDescent="0.25">
      <c r="A138" s="129"/>
      <c r="B138" s="129"/>
      <c r="C138" s="145"/>
      <c r="D138" s="287" t="s">
        <v>409</v>
      </c>
      <c r="E138" s="288">
        <v>2</v>
      </c>
      <c r="F138" s="108">
        <v>131823</v>
      </c>
      <c r="G138" s="108"/>
      <c r="H138" s="108"/>
      <c r="I138" s="108"/>
      <c r="J138" s="108"/>
      <c r="K138" s="108">
        <f>10500+táj2!K138</f>
        <v>10500</v>
      </c>
      <c r="L138" s="108"/>
      <c r="M138" s="108"/>
      <c r="N138" s="108"/>
      <c r="O138" s="108"/>
      <c r="P138" s="108"/>
      <c r="Q138" s="108">
        <f t="shared" si="11"/>
        <v>10500</v>
      </c>
    </row>
    <row r="139" spans="1:17" ht="15" customHeight="1" x14ac:dyDescent="0.25">
      <c r="A139" s="129"/>
      <c r="B139" s="129"/>
      <c r="C139" s="145"/>
      <c r="D139" s="287" t="s">
        <v>410</v>
      </c>
      <c r="E139" s="168">
        <v>2</v>
      </c>
      <c r="F139" s="108">
        <v>131824</v>
      </c>
      <c r="G139" s="108"/>
      <c r="H139" s="108"/>
      <c r="I139" s="108"/>
      <c r="J139" s="108"/>
      <c r="K139" s="108">
        <f>1500+táj2!K139</f>
        <v>3000</v>
      </c>
      <c r="L139" s="108"/>
      <c r="M139" s="108"/>
      <c r="N139" s="108">
        <f>1000+táj2!N139</f>
        <v>1000</v>
      </c>
      <c r="O139" s="108"/>
      <c r="P139" s="108"/>
      <c r="Q139" s="108">
        <f t="shared" si="11"/>
        <v>4000</v>
      </c>
    </row>
    <row r="140" spans="1:17" ht="15" customHeight="1" x14ac:dyDescent="0.25">
      <c r="A140" s="129"/>
      <c r="B140" s="129"/>
      <c r="C140" s="145"/>
      <c r="D140" s="287" t="s">
        <v>411</v>
      </c>
      <c r="E140" s="168">
        <v>2</v>
      </c>
      <c r="F140" s="169">
        <v>131833</v>
      </c>
      <c r="G140" s="108"/>
      <c r="H140" s="108"/>
      <c r="I140" s="108"/>
      <c r="J140" s="108"/>
      <c r="K140" s="108">
        <f>1000+táj2!K140</f>
        <v>1000</v>
      </c>
      <c r="L140" s="108"/>
      <c r="M140" s="108"/>
      <c r="N140" s="108"/>
      <c r="O140" s="108"/>
      <c r="P140" s="108"/>
      <c r="Q140" s="108">
        <f t="shared" si="11"/>
        <v>1000</v>
      </c>
    </row>
    <row r="141" spans="1:17" ht="15" customHeight="1" x14ac:dyDescent="0.25">
      <c r="A141" s="129"/>
      <c r="B141" s="129"/>
      <c r="C141" s="145"/>
      <c r="D141" s="287" t="s">
        <v>412</v>
      </c>
      <c r="E141" s="168">
        <v>2</v>
      </c>
      <c r="F141" s="169">
        <v>131834</v>
      </c>
      <c r="G141" s="108"/>
      <c r="H141" s="108"/>
      <c r="I141" s="108"/>
      <c r="J141" s="108"/>
      <c r="K141" s="108">
        <f>1000+táj2!K141</f>
        <v>1000</v>
      </c>
      <c r="L141" s="108"/>
      <c r="M141" s="108"/>
      <c r="N141" s="108"/>
      <c r="O141" s="108"/>
      <c r="P141" s="108"/>
      <c r="Q141" s="108">
        <f t="shared" si="11"/>
        <v>1000</v>
      </c>
    </row>
    <row r="142" spans="1:17" ht="15" customHeight="1" x14ac:dyDescent="0.25">
      <c r="A142" s="129"/>
      <c r="B142" s="129"/>
      <c r="C142" s="145"/>
      <c r="D142" s="287" t="s">
        <v>413</v>
      </c>
      <c r="E142" s="168">
        <v>2</v>
      </c>
      <c r="F142" s="169">
        <v>131836</v>
      </c>
      <c r="G142" s="108"/>
      <c r="H142" s="108"/>
      <c r="I142" s="108"/>
      <c r="J142" s="108"/>
      <c r="K142" s="108">
        <f>7000+táj2!K142</f>
        <v>7000</v>
      </c>
      <c r="L142" s="108"/>
      <c r="M142" s="108"/>
      <c r="N142" s="108"/>
      <c r="O142" s="108"/>
      <c r="P142" s="108"/>
      <c r="Q142" s="108">
        <f t="shared" si="11"/>
        <v>7000</v>
      </c>
    </row>
    <row r="143" spans="1:17" ht="15" customHeight="1" x14ac:dyDescent="0.25">
      <c r="A143" s="129"/>
      <c r="B143" s="129"/>
      <c r="C143" s="145"/>
      <c r="D143" s="287" t="s">
        <v>414</v>
      </c>
      <c r="E143" s="168">
        <v>2</v>
      </c>
      <c r="F143" s="169">
        <v>131837</v>
      </c>
      <c r="G143" s="108"/>
      <c r="H143" s="108"/>
      <c r="I143" s="108"/>
      <c r="J143" s="108"/>
      <c r="K143" s="108">
        <f>4000+táj2!K143</f>
        <v>4000</v>
      </c>
      <c r="L143" s="108"/>
      <c r="M143" s="108"/>
      <c r="N143" s="108"/>
      <c r="O143" s="108"/>
      <c r="P143" s="108"/>
      <c r="Q143" s="108">
        <f t="shared" si="11"/>
        <v>4000</v>
      </c>
    </row>
    <row r="144" spans="1:17" ht="15" customHeight="1" x14ac:dyDescent="0.25">
      <c r="A144" s="129"/>
      <c r="B144" s="129"/>
      <c r="C144" s="145"/>
      <c r="D144" s="287" t="s">
        <v>1012</v>
      </c>
      <c r="E144" s="168">
        <v>2</v>
      </c>
      <c r="F144" s="169">
        <v>131838</v>
      </c>
      <c r="G144" s="108"/>
      <c r="H144" s="108"/>
      <c r="I144" s="108"/>
      <c r="J144" s="108"/>
      <c r="K144" s="108">
        <f>20000+táj2!K144</f>
        <v>20000</v>
      </c>
      <c r="L144" s="108"/>
      <c r="M144" s="108"/>
      <c r="N144" s="108"/>
      <c r="O144" s="108"/>
      <c r="P144" s="108"/>
      <c r="Q144" s="108">
        <f t="shared" si="11"/>
        <v>20000</v>
      </c>
    </row>
    <row r="145" spans="1:17" ht="15" customHeight="1" x14ac:dyDescent="0.25">
      <c r="A145" s="129"/>
      <c r="B145" s="129"/>
      <c r="C145" s="145"/>
      <c r="D145" s="287" t="s">
        <v>415</v>
      </c>
      <c r="E145" s="168">
        <v>2</v>
      </c>
      <c r="F145" s="169">
        <v>131840</v>
      </c>
      <c r="G145" s="108"/>
      <c r="H145" s="108"/>
      <c r="I145" s="108"/>
      <c r="J145" s="108"/>
      <c r="K145" s="108">
        <f>500+táj2!K145</f>
        <v>500</v>
      </c>
      <c r="L145" s="108"/>
      <c r="M145" s="108"/>
      <c r="N145" s="108"/>
      <c r="O145" s="108"/>
      <c r="P145" s="108"/>
      <c r="Q145" s="108">
        <f t="shared" si="11"/>
        <v>500</v>
      </c>
    </row>
    <row r="146" spans="1:17" ht="15" customHeight="1" x14ac:dyDescent="0.25">
      <c r="A146" s="129"/>
      <c r="B146" s="129"/>
      <c r="C146" s="145"/>
      <c r="D146" s="287" t="s">
        <v>1054</v>
      </c>
      <c r="E146" s="168">
        <v>2</v>
      </c>
      <c r="F146" s="169">
        <v>131841</v>
      </c>
      <c r="G146" s="108"/>
      <c r="H146" s="108"/>
      <c r="I146" s="108"/>
      <c r="J146" s="108"/>
      <c r="K146" s="108">
        <f>150+táj2!K146</f>
        <v>150</v>
      </c>
      <c r="L146" s="108"/>
      <c r="M146" s="108"/>
      <c r="N146" s="108"/>
      <c r="O146" s="108"/>
      <c r="P146" s="108"/>
      <c r="Q146" s="108">
        <f t="shared" si="11"/>
        <v>150</v>
      </c>
    </row>
    <row r="147" spans="1:17" ht="15" customHeight="1" x14ac:dyDescent="0.25">
      <c r="A147" s="129"/>
      <c r="B147" s="129"/>
      <c r="C147" s="145"/>
      <c r="D147" s="287" t="s">
        <v>416</v>
      </c>
      <c r="E147" s="168">
        <v>2</v>
      </c>
      <c r="F147" s="169">
        <v>131843</v>
      </c>
      <c r="G147" s="108"/>
      <c r="H147" s="108"/>
      <c r="I147" s="108"/>
      <c r="J147" s="108"/>
      <c r="K147" s="108">
        <f>700+táj2!K147</f>
        <v>700</v>
      </c>
      <c r="L147" s="108"/>
      <c r="M147" s="108"/>
      <c r="N147" s="108"/>
      <c r="O147" s="108"/>
      <c r="P147" s="108"/>
      <c r="Q147" s="108">
        <f t="shared" si="11"/>
        <v>700</v>
      </c>
    </row>
    <row r="148" spans="1:17" ht="15" customHeight="1" x14ac:dyDescent="0.25">
      <c r="A148" s="129"/>
      <c r="B148" s="129"/>
      <c r="C148" s="129"/>
      <c r="D148" s="108" t="s">
        <v>417</v>
      </c>
      <c r="E148" s="168">
        <v>2</v>
      </c>
      <c r="F148" s="169">
        <v>131847</v>
      </c>
      <c r="G148" s="108"/>
      <c r="H148" s="108"/>
      <c r="I148" s="108"/>
      <c r="J148" s="108"/>
      <c r="K148" s="108">
        <f>2000+táj2!K148</f>
        <v>2000</v>
      </c>
      <c r="L148" s="108"/>
      <c r="M148" s="108"/>
      <c r="N148" s="108"/>
      <c r="O148" s="108"/>
      <c r="P148" s="108"/>
      <c r="Q148" s="108">
        <f t="shared" si="11"/>
        <v>2000</v>
      </c>
    </row>
    <row r="149" spans="1:17" ht="15" customHeight="1" x14ac:dyDescent="0.25">
      <c r="A149" s="129"/>
      <c r="B149" s="129"/>
      <c r="C149" s="129"/>
      <c r="D149" s="289" t="s">
        <v>418</v>
      </c>
      <c r="E149" s="168">
        <v>2</v>
      </c>
      <c r="F149" s="169">
        <v>131848</v>
      </c>
      <c r="G149" s="108"/>
      <c r="H149" s="108"/>
      <c r="I149" s="108"/>
      <c r="J149" s="108"/>
      <c r="K149" s="108">
        <f>200+táj2!K149</f>
        <v>200</v>
      </c>
      <c r="L149" s="108"/>
      <c r="M149" s="108"/>
      <c r="N149" s="108"/>
      <c r="O149" s="108"/>
      <c r="P149" s="108"/>
      <c r="Q149" s="108">
        <f t="shared" si="11"/>
        <v>200</v>
      </c>
    </row>
    <row r="150" spans="1:17" ht="15" customHeight="1" x14ac:dyDescent="0.25">
      <c r="A150" s="129"/>
      <c r="B150" s="129"/>
      <c r="C150" s="129"/>
      <c r="D150" s="289" t="s">
        <v>419</v>
      </c>
      <c r="E150" s="168">
        <v>2</v>
      </c>
      <c r="F150" s="169">
        <v>131851</v>
      </c>
      <c r="G150" s="108"/>
      <c r="H150" s="108"/>
      <c r="I150" s="108"/>
      <c r="J150" s="108"/>
      <c r="K150" s="108">
        <f>360+táj2!K150</f>
        <v>360</v>
      </c>
      <c r="L150" s="108"/>
      <c r="M150" s="108"/>
      <c r="N150" s="108"/>
      <c r="O150" s="108"/>
      <c r="P150" s="108"/>
      <c r="Q150" s="108">
        <f t="shared" si="11"/>
        <v>360</v>
      </c>
    </row>
    <row r="151" spans="1:17" ht="15" customHeight="1" x14ac:dyDescent="0.25">
      <c r="A151" s="129"/>
      <c r="B151" s="129"/>
      <c r="C151" s="129"/>
      <c r="D151" s="283" t="s">
        <v>420</v>
      </c>
      <c r="E151" s="168">
        <v>2</v>
      </c>
      <c r="F151" s="169">
        <v>131852</v>
      </c>
      <c r="G151" s="108"/>
      <c r="H151" s="108"/>
      <c r="I151" s="108"/>
      <c r="J151" s="108"/>
      <c r="K151" s="108">
        <f>1000+táj2!K151</f>
        <v>1000</v>
      </c>
      <c r="L151" s="108"/>
      <c r="M151" s="108"/>
      <c r="N151" s="108"/>
      <c r="O151" s="108"/>
      <c r="P151" s="108"/>
      <c r="Q151" s="108">
        <f t="shared" si="11"/>
        <v>1000</v>
      </c>
    </row>
    <row r="152" spans="1:17" ht="26.25" customHeight="1" x14ac:dyDescent="0.25">
      <c r="A152" s="129"/>
      <c r="B152" s="129"/>
      <c r="C152" s="129"/>
      <c r="D152" s="170" t="s">
        <v>421</v>
      </c>
      <c r="E152" s="171">
        <v>2</v>
      </c>
      <c r="F152" s="167">
        <v>131862</v>
      </c>
      <c r="G152" s="108"/>
      <c r="H152" s="108"/>
      <c r="I152" s="108"/>
      <c r="J152" s="108"/>
      <c r="K152" s="108">
        <f>5150+táj2!K152</f>
        <v>5150</v>
      </c>
      <c r="L152" s="108"/>
      <c r="M152" s="108"/>
      <c r="N152" s="108"/>
      <c r="O152" s="108"/>
      <c r="P152" s="108"/>
      <c r="Q152" s="108">
        <f t="shared" si="11"/>
        <v>5150</v>
      </c>
    </row>
    <row r="153" spans="1:17" ht="15" customHeight="1" x14ac:dyDescent="0.25">
      <c r="A153" s="129"/>
      <c r="B153" s="129"/>
      <c r="C153" s="129"/>
      <c r="D153" s="290" t="s">
        <v>422</v>
      </c>
      <c r="E153" s="168">
        <v>2</v>
      </c>
      <c r="F153" s="169">
        <v>131859</v>
      </c>
      <c r="G153" s="108"/>
      <c r="H153" s="108"/>
      <c r="I153" s="108"/>
      <c r="J153" s="108"/>
      <c r="K153" s="108">
        <f>50+táj2!K153</f>
        <v>50</v>
      </c>
      <c r="L153" s="108"/>
      <c r="M153" s="108"/>
      <c r="N153" s="108"/>
      <c r="O153" s="108"/>
      <c r="P153" s="108"/>
      <c r="Q153" s="108">
        <f t="shared" si="11"/>
        <v>50</v>
      </c>
    </row>
    <row r="154" spans="1:17" ht="15" customHeight="1" x14ac:dyDescent="0.25">
      <c r="A154" s="129"/>
      <c r="B154" s="129"/>
      <c r="C154" s="129"/>
      <c r="D154" s="290" t="s">
        <v>423</v>
      </c>
      <c r="E154" s="168">
        <v>2</v>
      </c>
      <c r="F154" s="169">
        <v>131860</v>
      </c>
      <c r="G154" s="108"/>
      <c r="H154" s="108"/>
      <c r="I154" s="108"/>
      <c r="J154" s="108"/>
      <c r="K154" s="108">
        <f>50+táj2!K154</f>
        <v>50</v>
      </c>
      <c r="L154" s="108"/>
      <c r="M154" s="108"/>
      <c r="N154" s="108"/>
      <c r="O154" s="108"/>
      <c r="P154" s="108"/>
      <c r="Q154" s="108">
        <f t="shared" si="11"/>
        <v>50</v>
      </c>
    </row>
    <row r="155" spans="1:17" ht="15" customHeight="1" x14ac:dyDescent="0.25">
      <c r="A155" s="129"/>
      <c r="B155" s="129"/>
      <c r="C155" s="129"/>
      <c r="D155" s="290" t="s">
        <v>424</v>
      </c>
      <c r="E155" s="168">
        <v>2</v>
      </c>
      <c r="F155" s="169">
        <v>131861</v>
      </c>
      <c r="G155" s="108"/>
      <c r="H155" s="108"/>
      <c r="I155" s="108"/>
      <c r="J155" s="108"/>
      <c r="K155" s="108">
        <f>50+táj2!K155</f>
        <v>50</v>
      </c>
      <c r="L155" s="108"/>
      <c r="M155" s="108"/>
      <c r="N155" s="108"/>
      <c r="O155" s="108"/>
      <c r="P155" s="108"/>
      <c r="Q155" s="108">
        <f t="shared" si="11"/>
        <v>50</v>
      </c>
    </row>
    <row r="156" spans="1:17" ht="15" customHeight="1" x14ac:dyDescent="0.25">
      <c r="A156" s="511"/>
      <c r="B156" s="511"/>
      <c r="C156" s="511"/>
      <c r="D156" s="816" t="s">
        <v>1141</v>
      </c>
      <c r="E156" s="815">
        <v>2</v>
      </c>
      <c r="F156" s="817">
        <v>131879</v>
      </c>
      <c r="G156" s="537"/>
      <c r="H156" s="537"/>
      <c r="I156" s="537"/>
      <c r="J156" s="537"/>
      <c r="K156" s="108">
        <f>75+táj2!K156</f>
        <v>0</v>
      </c>
      <c r="L156" s="537"/>
      <c r="M156" s="537"/>
      <c r="N156" s="537"/>
      <c r="O156" s="537"/>
      <c r="P156" s="537"/>
      <c r="Q156" s="108">
        <f t="shared" si="11"/>
        <v>0</v>
      </c>
    </row>
    <row r="157" spans="1:17" ht="15" customHeight="1" x14ac:dyDescent="0.25">
      <c r="A157" s="129"/>
      <c r="B157" s="129"/>
      <c r="C157" s="129"/>
      <c r="D157" s="142" t="s">
        <v>425</v>
      </c>
      <c r="E157" s="140">
        <v>2</v>
      </c>
      <c r="F157" s="108">
        <v>131829</v>
      </c>
      <c r="G157" s="108">
        <f>0+táj2!G157</f>
        <v>157</v>
      </c>
      <c r="H157" s="108">
        <f>0+táj2!H157</f>
        <v>54</v>
      </c>
      <c r="I157" s="108">
        <f>200+táj2!I157</f>
        <v>200</v>
      </c>
      <c r="J157" s="108"/>
      <c r="K157" s="108">
        <f>1550+táj2!K157</f>
        <v>1339</v>
      </c>
      <c r="L157" s="108"/>
      <c r="M157" s="108"/>
      <c r="N157" s="108"/>
      <c r="O157" s="108"/>
      <c r="P157" s="108"/>
      <c r="Q157" s="108">
        <f t="shared" si="11"/>
        <v>1750</v>
      </c>
    </row>
    <row r="158" spans="1:17" ht="15" customHeight="1" x14ac:dyDescent="0.25">
      <c r="A158" s="129"/>
      <c r="B158" s="129"/>
      <c r="C158" s="129"/>
      <c r="D158" s="108" t="s">
        <v>426</v>
      </c>
      <c r="E158" s="140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</row>
    <row r="159" spans="1:17" ht="15" customHeight="1" x14ac:dyDescent="0.25">
      <c r="A159" s="129"/>
      <c r="B159" s="129"/>
      <c r="C159" s="145"/>
      <c r="D159" s="143" t="s">
        <v>427</v>
      </c>
      <c r="E159" s="140">
        <v>1</v>
      </c>
      <c r="F159" s="108">
        <v>131827</v>
      </c>
      <c r="G159" s="108"/>
      <c r="H159" s="108"/>
      <c r="I159" s="108">
        <f>6500+táj2!I159</f>
        <v>9798</v>
      </c>
      <c r="J159" s="108"/>
      <c r="K159" s="108">
        <f>20233+táj2!K159</f>
        <v>32589</v>
      </c>
      <c r="L159" s="108"/>
      <c r="M159" s="108"/>
      <c r="N159" s="108"/>
      <c r="O159" s="108"/>
      <c r="P159" s="108"/>
      <c r="Q159" s="108">
        <f>SUM(G159:P159)</f>
        <v>42387</v>
      </c>
    </row>
    <row r="160" spans="1:17" ht="15" customHeight="1" x14ac:dyDescent="0.25">
      <c r="A160" s="129"/>
      <c r="B160" s="129"/>
      <c r="C160" s="145"/>
      <c r="D160" s="143" t="s">
        <v>428</v>
      </c>
      <c r="E160" s="108">
        <v>2</v>
      </c>
      <c r="F160" s="108">
        <v>131857</v>
      </c>
      <c r="G160" s="108"/>
      <c r="H160" s="108"/>
      <c r="I160" s="108"/>
      <c r="J160" s="108"/>
      <c r="K160" s="108">
        <f>9000+táj2!K160</f>
        <v>9000</v>
      </c>
      <c r="L160" s="108"/>
      <c r="M160" s="108"/>
      <c r="N160" s="108"/>
      <c r="O160" s="108"/>
      <c r="P160" s="108"/>
      <c r="Q160" s="108">
        <f>SUM(G160:P160)</f>
        <v>9000</v>
      </c>
    </row>
    <row r="161" spans="1:17" ht="15" customHeight="1" x14ac:dyDescent="0.25">
      <c r="A161" s="129"/>
      <c r="B161" s="129"/>
      <c r="C161" s="145"/>
      <c r="D161" s="172" t="s">
        <v>429</v>
      </c>
      <c r="E161" s="108">
        <v>2</v>
      </c>
      <c r="F161" s="108">
        <v>131844</v>
      </c>
      <c r="G161" s="108"/>
      <c r="H161" s="108"/>
      <c r="I161" s="108"/>
      <c r="J161" s="108"/>
      <c r="K161" s="108">
        <f>23200+táj2!K161</f>
        <v>23200</v>
      </c>
      <c r="L161" s="108"/>
      <c r="M161" s="108"/>
      <c r="N161" s="108"/>
      <c r="O161" s="108"/>
      <c r="P161" s="108"/>
      <c r="Q161" s="108">
        <f>SUM(G161:P161)</f>
        <v>23200</v>
      </c>
    </row>
    <row r="162" spans="1:17" ht="15" customHeight="1" x14ac:dyDescent="0.25">
      <c r="A162" s="129"/>
      <c r="B162" s="129"/>
      <c r="C162" s="145"/>
      <c r="D162" s="324" t="s">
        <v>869</v>
      </c>
      <c r="E162" s="149">
        <v>2</v>
      </c>
      <c r="F162" s="108">
        <v>221966</v>
      </c>
      <c r="G162" s="201"/>
      <c r="H162" s="201"/>
      <c r="I162" s="201"/>
      <c r="J162" s="201"/>
      <c r="K162" s="108">
        <f>110500+táj2!K162</f>
        <v>100500</v>
      </c>
      <c r="L162" s="201"/>
      <c r="M162" s="201"/>
      <c r="N162" s="201"/>
      <c r="O162" s="201"/>
      <c r="P162" s="201"/>
      <c r="Q162" s="192">
        <f>SUM(G162:P162)</f>
        <v>100500</v>
      </c>
    </row>
    <row r="163" spans="1:17" ht="15" customHeight="1" x14ac:dyDescent="0.25">
      <c r="A163" s="129"/>
      <c r="B163" s="129"/>
      <c r="C163" s="145"/>
      <c r="D163" s="143" t="s">
        <v>866</v>
      </c>
      <c r="E163" s="108">
        <v>2</v>
      </c>
      <c r="F163" s="108">
        <v>191801</v>
      </c>
      <c r="G163" s="108"/>
      <c r="H163" s="108"/>
      <c r="I163" s="108"/>
      <c r="J163" s="108"/>
      <c r="K163" s="108">
        <f>416230+táj2!K163</f>
        <v>416230</v>
      </c>
      <c r="L163" s="108"/>
      <c r="M163" s="108"/>
      <c r="N163" s="108"/>
      <c r="O163" s="108"/>
      <c r="P163" s="108"/>
      <c r="Q163" s="108">
        <f>SUM(G163:P163)</f>
        <v>416230</v>
      </c>
    </row>
    <row r="164" spans="1:17" ht="12" customHeight="1" x14ac:dyDescent="0.25">
      <c r="A164" s="151"/>
      <c r="B164" s="151"/>
      <c r="C164" s="152"/>
      <c r="D164" s="153" t="s">
        <v>430</v>
      </c>
      <c r="E164" s="154"/>
      <c r="F164" s="155"/>
      <c r="G164" s="173">
        <f t="shared" ref="G164:Q164" si="12">SUM(G52:G163)</f>
        <v>4073</v>
      </c>
      <c r="H164" s="173">
        <f t="shared" si="12"/>
        <v>1035</v>
      </c>
      <c r="I164" s="173">
        <f t="shared" si="12"/>
        <v>35552</v>
      </c>
      <c r="J164" s="173">
        <f t="shared" si="12"/>
        <v>3500</v>
      </c>
      <c r="K164" s="173">
        <f t="shared" si="12"/>
        <v>1562984</v>
      </c>
      <c r="L164" s="173">
        <f t="shared" si="12"/>
        <v>0</v>
      </c>
      <c r="M164" s="173">
        <f t="shared" si="12"/>
        <v>0</v>
      </c>
      <c r="N164" s="173">
        <f t="shared" si="12"/>
        <v>1500</v>
      </c>
      <c r="O164" s="173">
        <f t="shared" si="12"/>
        <v>0</v>
      </c>
      <c r="P164" s="173">
        <f t="shared" si="12"/>
        <v>0</v>
      </c>
      <c r="Q164" s="173">
        <f t="shared" si="12"/>
        <v>1608644</v>
      </c>
    </row>
    <row r="165" spans="1:17" ht="12" customHeight="1" x14ac:dyDescent="0.25">
      <c r="A165" s="156"/>
      <c r="B165" s="156"/>
      <c r="C165" s="174"/>
      <c r="D165" s="175" t="s">
        <v>332</v>
      </c>
      <c r="E165" s="158"/>
      <c r="F165" s="159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</row>
    <row r="166" spans="1:17" ht="12" customHeight="1" x14ac:dyDescent="0.25">
      <c r="A166" s="539"/>
      <c r="B166" s="539"/>
      <c r="C166" s="665" t="s">
        <v>90</v>
      </c>
      <c r="D166" s="668" t="s">
        <v>341</v>
      </c>
      <c r="E166" s="666"/>
      <c r="F166" s="543"/>
      <c r="G166" s="667"/>
      <c r="H166" s="667"/>
      <c r="I166" s="667"/>
      <c r="J166" s="667"/>
      <c r="K166" s="667"/>
      <c r="L166" s="667"/>
      <c r="M166" s="667"/>
      <c r="N166" s="667"/>
      <c r="O166" s="667"/>
      <c r="P166" s="667"/>
      <c r="Q166" s="667"/>
    </row>
    <row r="167" spans="1:17" ht="12" customHeight="1" x14ac:dyDescent="0.25">
      <c r="A167" s="539"/>
      <c r="B167" s="539"/>
      <c r="C167" s="539" t="s">
        <v>1038</v>
      </c>
      <c r="D167" s="669" t="s">
        <v>1039</v>
      </c>
      <c r="E167" s="666"/>
      <c r="F167" s="543"/>
      <c r="G167" s="667"/>
      <c r="H167" s="667"/>
      <c r="I167" s="667"/>
      <c r="J167" s="667"/>
      <c r="K167" s="667"/>
      <c r="L167" s="667"/>
      <c r="M167" s="667"/>
      <c r="N167" s="667"/>
      <c r="O167" s="667"/>
      <c r="P167" s="667"/>
      <c r="Q167" s="667"/>
    </row>
    <row r="168" spans="1:17" ht="12" customHeight="1" x14ac:dyDescent="0.25">
      <c r="A168" s="539"/>
      <c r="B168" s="539"/>
      <c r="C168" s="511" t="s">
        <v>1040</v>
      </c>
      <c r="D168" s="670" t="s">
        <v>1041</v>
      </c>
      <c r="E168" s="666"/>
      <c r="F168" s="537">
        <v>134997</v>
      </c>
      <c r="G168" s="667"/>
      <c r="H168" s="667"/>
      <c r="I168" s="667"/>
      <c r="J168" s="667"/>
      <c r="K168" s="667"/>
      <c r="L168" s="667"/>
      <c r="M168" s="149">
        <f>1177+táj2!M168</f>
        <v>1177</v>
      </c>
      <c r="N168" s="667"/>
      <c r="O168" s="667"/>
      <c r="P168" s="667"/>
      <c r="Q168" s="179">
        <f t="shared" ref="Q168:Q177" si="13">SUM(G168:P168)</f>
        <v>1177</v>
      </c>
    </row>
    <row r="169" spans="1:17" ht="12" customHeight="1" x14ac:dyDescent="0.25">
      <c r="A169" s="539"/>
      <c r="B169" s="539"/>
      <c r="C169" s="542" t="s">
        <v>1044</v>
      </c>
      <c r="D169" s="702" t="s">
        <v>1045</v>
      </c>
      <c r="E169" s="485"/>
      <c r="F169" s="543"/>
      <c r="G169" s="700"/>
      <c r="H169" s="700"/>
      <c r="I169" s="700"/>
      <c r="J169" s="700"/>
      <c r="K169" s="700"/>
      <c r="L169" s="700"/>
      <c r="M169" s="149"/>
      <c r="N169" s="700"/>
      <c r="O169" s="700"/>
      <c r="P169" s="700"/>
      <c r="Q169" s="179"/>
    </row>
    <row r="170" spans="1:17" ht="12" customHeight="1" x14ac:dyDescent="0.25">
      <c r="A170" s="539"/>
      <c r="B170" s="539"/>
      <c r="C170" s="703" t="s">
        <v>1046</v>
      </c>
      <c r="D170" s="568" t="s">
        <v>1047</v>
      </c>
      <c r="E170" s="485"/>
      <c r="F170" s="537">
        <v>134974</v>
      </c>
      <c r="G170" s="700"/>
      <c r="H170" s="700"/>
      <c r="I170" s="700"/>
      <c r="J170" s="700"/>
      <c r="K170" s="700"/>
      <c r="L170" s="700"/>
      <c r="M170" s="149"/>
      <c r="N170" s="149">
        <f>6500+táj2!N170</f>
        <v>6500</v>
      </c>
      <c r="O170" s="700"/>
      <c r="P170" s="700"/>
      <c r="Q170" s="179">
        <f t="shared" si="13"/>
        <v>6500</v>
      </c>
    </row>
    <row r="171" spans="1:17" ht="12" customHeight="1" x14ac:dyDescent="0.25">
      <c r="A171" s="539"/>
      <c r="B171" s="539"/>
      <c r="C171" s="704" t="s">
        <v>89</v>
      </c>
      <c r="D171" s="539" t="s">
        <v>348</v>
      </c>
      <c r="E171" s="485"/>
      <c r="F171" s="537"/>
      <c r="G171" s="700"/>
      <c r="H171" s="700"/>
      <c r="I171" s="700"/>
      <c r="J171" s="700"/>
      <c r="K171" s="700"/>
      <c r="L171" s="700"/>
      <c r="M171" s="149"/>
      <c r="N171" s="700"/>
      <c r="O171" s="700"/>
      <c r="P171" s="700"/>
      <c r="Q171" s="179"/>
    </row>
    <row r="172" spans="1:17" ht="12" customHeight="1" x14ac:dyDescent="0.25">
      <c r="A172" s="539"/>
      <c r="B172" s="539"/>
      <c r="C172" s="511" t="s">
        <v>1048</v>
      </c>
      <c r="D172" s="699" t="s">
        <v>1049</v>
      </c>
      <c r="E172" s="485"/>
      <c r="F172" s="537">
        <v>132943</v>
      </c>
      <c r="G172" s="700"/>
      <c r="H172" s="700"/>
      <c r="I172" s="700"/>
      <c r="J172" s="700"/>
      <c r="K172" s="700"/>
      <c r="L172" s="149">
        <f>0+táj2!L172</f>
        <v>0</v>
      </c>
      <c r="M172" s="149"/>
      <c r="N172" s="700"/>
      <c r="O172" s="700"/>
      <c r="P172" s="700"/>
      <c r="Q172" s="179">
        <f t="shared" si="13"/>
        <v>0</v>
      </c>
    </row>
    <row r="173" spans="1:17" ht="12" customHeight="1" x14ac:dyDescent="0.25">
      <c r="A173" s="539"/>
      <c r="B173" s="539"/>
      <c r="C173" s="511" t="s">
        <v>1061</v>
      </c>
      <c r="D173" s="699" t="s">
        <v>1129</v>
      </c>
      <c r="E173" s="756"/>
      <c r="F173" s="537">
        <v>132945</v>
      </c>
      <c r="G173" s="770"/>
      <c r="H173" s="770"/>
      <c r="I173" s="770"/>
      <c r="J173" s="770"/>
      <c r="K173" s="770"/>
      <c r="L173" s="149">
        <f>800+táj2!L173</f>
        <v>800</v>
      </c>
      <c r="M173" s="636"/>
      <c r="N173" s="770"/>
      <c r="O173" s="770"/>
      <c r="P173" s="770"/>
      <c r="Q173" s="179">
        <f t="shared" si="13"/>
        <v>800</v>
      </c>
    </row>
    <row r="174" spans="1:17" ht="12" customHeight="1" x14ac:dyDescent="0.25">
      <c r="A174" s="539"/>
      <c r="B174" s="539"/>
      <c r="C174" s="511" t="s">
        <v>1130</v>
      </c>
      <c r="D174" s="699" t="s">
        <v>1131</v>
      </c>
      <c r="E174" s="756"/>
      <c r="F174" s="537">
        <v>132946</v>
      </c>
      <c r="G174" s="770"/>
      <c r="H174" s="770"/>
      <c r="I174" s="770"/>
      <c r="J174" s="770"/>
      <c r="K174" s="770"/>
      <c r="L174" s="149">
        <f>950+táj2!L174</f>
        <v>950</v>
      </c>
      <c r="M174" s="636"/>
      <c r="N174" s="770"/>
      <c r="O174" s="770"/>
      <c r="P174" s="770"/>
      <c r="Q174" s="179">
        <f t="shared" si="13"/>
        <v>950</v>
      </c>
    </row>
    <row r="175" spans="1:17" ht="12" customHeight="1" x14ac:dyDescent="0.25">
      <c r="A175" s="793"/>
      <c r="B175" s="793"/>
      <c r="C175" s="738" t="s">
        <v>1138</v>
      </c>
      <c r="D175" s="783" t="s">
        <v>1139</v>
      </c>
      <c r="E175" s="794"/>
      <c r="F175" s="736">
        <v>132944</v>
      </c>
      <c r="G175" s="795"/>
      <c r="H175" s="795"/>
      <c r="I175" s="795"/>
      <c r="J175" s="795"/>
      <c r="K175" s="795"/>
      <c r="L175" s="149">
        <f>800+táj2!L175</f>
        <v>800</v>
      </c>
      <c r="M175" s="797"/>
      <c r="N175" s="795"/>
      <c r="O175" s="795"/>
      <c r="P175" s="795"/>
      <c r="Q175" s="179">
        <f t="shared" si="13"/>
        <v>800</v>
      </c>
    </row>
    <row r="176" spans="1:17" ht="12" customHeight="1" x14ac:dyDescent="0.25">
      <c r="A176" s="539"/>
      <c r="B176" s="539"/>
      <c r="C176" s="511" t="s">
        <v>91</v>
      </c>
      <c r="D176" s="671" t="s">
        <v>378</v>
      </c>
      <c r="E176" s="666"/>
      <c r="F176" s="543"/>
      <c r="G176" s="667"/>
      <c r="H176" s="667"/>
      <c r="I176" s="667"/>
      <c r="J176" s="667"/>
      <c r="K176" s="667"/>
      <c r="L176" s="667"/>
      <c r="M176" s="149"/>
      <c r="N176" s="667"/>
      <c r="O176" s="667"/>
      <c r="P176" s="667"/>
      <c r="Q176" s="179"/>
    </row>
    <row r="177" spans="1:17" ht="24" customHeight="1" x14ac:dyDescent="0.25">
      <c r="A177" s="539"/>
      <c r="B177" s="539"/>
      <c r="C177" s="511" t="s">
        <v>1042</v>
      </c>
      <c r="D177" s="672" t="s">
        <v>1156</v>
      </c>
      <c r="E177" s="666"/>
      <c r="F177" s="537">
        <v>134990</v>
      </c>
      <c r="G177" s="667"/>
      <c r="H177" s="667"/>
      <c r="I177" s="667"/>
      <c r="J177" s="667"/>
      <c r="K177" s="667"/>
      <c r="L177" s="667"/>
      <c r="M177" s="149">
        <f>1566+táj2!M177</f>
        <v>6354</v>
      </c>
      <c r="N177" s="667"/>
      <c r="O177" s="667"/>
      <c r="P177" s="667"/>
      <c r="Q177" s="179">
        <f t="shared" si="13"/>
        <v>6354</v>
      </c>
    </row>
    <row r="178" spans="1:17" ht="15" customHeight="1" x14ac:dyDescent="0.25">
      <c r="A178" s="156"/>
      <c r="B178" s="156"/>
      <c r="C178" s="539" t="s">
        <v>92</v>
      </c>
      <c r="D178" s="540" t="s">
        <v>737</v>
      </c>
      <c r="E178" s="410"/>
      <c r="F178" s="537"/>
      <c r="G178" s="176"/>
      <c r="H178" s="176"/>
      <c r="I178" s="176"/>
      <c r="J178" s="176"/>
      <c r="K178" s="176"/>
      <c r="L178" s="176"/>
      <c r="M178" s="149"/>
      <c r="N178" s="176"/>
      <c r="O178" s="176"/>
      <c r="P178" s="176"/>
      <c r="Q178" s="179"/>
    </row>
    <row r="179" spans="1:17" ht="15" customHeight="1" x14ac:dyDescent="0.25">
      <c r="A179" s="156"/>
      <c r="B179" s="156"/>
      <c r="C179" s="511" t="s">
        <v>533</v>
      </c>
      <c r="D179" s="541" t="s">
        <v>971</v>
      </c>
      <c r="E179" s="410"/>
      <c r="F179" s="537">
        <v>134954</v>
      </c>
      <c r="G179" s="179"/>
      <c r="H179" s="179"/>
      <c r="I179" s="179"/>
      <c r="J179" s="179"/>
      <c r="K179" s="179"/>
      <c r="L179" s="179"/>
      <c r="M179" s="149">
        <f>1000+táj2!M179</f>
        <v>1000</v>
      </c>
      <c r="N179" s="179"/>
      <c r="O179" s="179"/>
      <c r="P179" s="179"/>
      <c r="Q179" s="179">
        <f t="shared" ref="Q179:Q180" si="14">SUM(G179:P179)</f>
        <v>1000</v>
      </c>
    </row>
    <row r="180" spans="1:17" ht="15" customHeight="1" x14ac:dyDescent="0.25">
      <c r="A180" s="539"/>
      <c r="B180" s="539"/>
      <c r="C180" s="544" t="s">
        <v>1077</v>
      </c>
      <c r="D180" s="541" t="s">
        <v>1078</v>
      </c>
      <c r="E180" s="742"/>
      <c r="F180" s="537">
        <v>134975</v>
      </c>
      <c r="G180" s="743"/>
      <c r="H180" s="743"/>
      <c r="I180" s="743"/>
      <c r="J180" s="743"/>
      <c r="K180" s="743"/>
      <c r="L180" s="743"/>
      <c r="M180" s="149">
        <f>4064+táj2!M180</f>
        <v>4064</v>
      </c>
      <c r="N180" s="743"/>
      <c r="O180" s="743"/>
      <c r="P180" s="743"/>
      <c r="Q180" s="179">
        <f t="shared" si="14"/>
        <v>4064</v>
      </c>
    </row>
    <row r="181" spans="1:17" ht="18.75" customHeight="1" x14ac:dyDescent="0.25">
      <c r="A181" s="156"/>
      <c r="B181" s="156"/>
      <c r="C181" s="542" t="s">
        <v>79</v>
      </c>
      <c r="D181" s="528" t="s">
        <v>968</v>
      </c>
      <c r="E181" s="485"/>
      <c r="F181" s="543"/>
      <c r="G181" s="149"/>
      <c r="H181" s="149"/>
      <c r="I181" s="149"/>
      <c r="J181" s="149"/>
      <c r="K181" s="149"/>
      <c r="L181" s="149"/>
      <c r="M181" s="149"/>
      <c r="N181" s="149"/>
      <c r="O181" s="149"/>
      <c r="P181" s="149"/>
      <c r="Q181" s="179"/>
    </row>
    <row r="182" spans="1:17" ht="18" customHeight="1" x14ac:dyDescent="0.25">
      <c r="A182" s="156"/>
      <c r="B182" s="156"/>
      <c r="C182" s="544" t="s">
        <v>434</v>
      </c>
      <c r="D182" s="545" t="s">
        <v>431</v>
      </c>
      <c r="E182" s="410"/>
      <c r="F182" s="537">
        <v>134908</v>
      </c>
      <c r="G182" s="149"/>
      <c r="H182" s="149"/>
      <c r="I182" s="149"/>
      <c r="J182" s="149"/>
      <c r="K182" s="149"/>
      <c r="L182" s="149"/>
      <c r="M182" s="149">
        <f>1421+táj2!M182</f>
        <v>1421</v>
      </c>
      <c r="N182" s="149"/>
      <c r="O182" s="149"/>
      <c r="P182" s="149"/>
      <c r="Q182" s="179">
        <f t="shared" ref="Q182:Q188" si="15">SUM(G182:P182)</f>
        <v>1421</v>
      </c>
    </row>
    <row r="183" spans="1:17" ht="18" customHeight="1" x14ac:dyDescent="0.25">
      <c r="A183" s="156"/>
      <c r="B183" s="156"/>
      <c r="C183" s="544" t="s">
        <v>435</v>
      </c>
      <c r="D183" s="545" t="s">
        <v>918</v>
      </c>
      <c r="E183" s="410"/>
      <c r="F183" s="537">
        <v>134916</v>
      </c>
      <c r="G183" s="149"/>
      <c r="H183" s="149"/>
      <c r="I183" s="149"/>
      <c r="J183" s="149"/>
      <c r="K183" s="149"/>
      <c r="L183" s="149"/>
      <c r="M183" s="149">
        <f>2000+táj2!M183</f>
        <v>0</v>
      </c>
      <c r="N183" s="149"/>
      <c r="O183" s="149"/>
      <c r="P183" s="149"/>
      <c r="Q183" s="179">
        <f t="shared" si="15"/>
        <v>0</v>
      </c>
    </row>
    <row r="184" spans="1:17" ht="18" customHeight="1" x14ac:dyDescent="0.25">
      <c r="A184" s="156"/>
      <c r="B184" s="156"/>
      <c r="C184" s="544" t="s">
        <v>436</v>
      </c>
      <c r="D184" s="546" t="s">
        <v>972</v>
      </c>
      <c r="F184" s="537">
        <v>134915</v>
      </c>
      <c r="G184" s="149"/>
      <c r="H184" s="149"/>
      <c r="I184" s="149"/>
      <c r="J184" s="149"/>
      <c r="K184" s="149"/>
      <c r="L184" s="149"/>
      <c r="M184" s="149">
        <f>32503+táj2!M184</f>
        <v>32503</v>
      </c>
      <c r="N184" s="149"/>
      <c r="O184" s="149"/>
      <c r="P184" s="149"/>
      <c r="Q184" s="179">
        <f t="shared" si="15"/>
        <v>32503</v>
      </c>
    </row>
    <row r="185" spans="1:17" ht="18" customHeight="1" x14ac:dyDescent="0.25">
      <c r="A185" s="156"/>
      <c r="B185" s="156"/>
      <c r="C185" s="544" t="s">
        <v>437</v>
      </c>
      <c r="D185" s="547" t="s">
        <v>901</v>
      </c>
      <c r="E185" s="410"/>
      <c r="F185" s="26">
        <v>132965</v>
      </c>
      <c r="G185" s="149"/>
      <c r="H185" s="149"/>
      <c r="I185" s="149"/>
      <c r="J185" s="149"/>
      <c r="K185" s="149"/>
      <c r="L185" s="149"/>
      <c r="M185" s="149"/>
      <c r="N185" s="149">
        <f>0+táj2!N185</f>
        <v>0</v>
      </c>
      <c r="O185" s="149"/>
      <c r="P185" s="149"/>
      <c r="Q185" s="179">
        <f t="shared" si="15"/>
        <v>0</v>
      </c>
    </row>
    <row r="186" spans="1:17" ht="18" customHeight="1" x14ac:dyDescent="0.25">
      <c r="A186" s="411"/>
      <c r="B186" s="411"/>
      <c r="C186" s="544" t="s">
        <v>846</v>
      </c>
      <c r="D186" s="547" t="s">
        <v>973</v>
      </c>
      <c r="E186" s="410"/>
      <c r="F186" s="537">
        <v>132992</v>
      </c>
      <c r="G186" s="407"/>
      <c r="H186" s="407"/>
      <c r="I186" s="407"/>
      <c r="J186" s="407"/>
      <c r="K186" s="407"/>
      <c r="L186" s="407"/>
      <c r="M186" s="149"/>
      <c r="N186" s="149">
        <f>300+táj2!N186</f>
        <v>300</v>
      </c>
      <c r="O186" s="407"/>
      <c r="P186" s="407"/>
      <c r="Q186" s="179">
        <f t="shared" si="15"/>
        <v>300</v>
      </c>
    </row>
    <row r="187" spans="1:17" ht="23.25" customHeight="1" x14ac:dyDescent="0.25">
      <c r="A187" s="466"/>
      <c r="B187" s="466"/>
      <c r="C187" s="544" t="s">
        <v>847</v>
      </c>
      <c r="D187" s="546" t="s">
        <v>1157</v>
      </c>
      <c r="E187" s="410"/>
      <c r="F187" s="537">
        <v>134972</v>
      </c>
      <c r="G187" s="469"/>
      <c r="H187" s="469"/>
      <c r="I187" s="469"/>
      <c r="J187" s="469"/>
      <c r="K187" s="469"/>
      <c r="L187" s="469"/>
      <c r="M187" s="149">
        <f>11518+táj2!M187</f>
        <v>14718</v>
      </c>
      <c r="N187" s="469"/>
      <c r="O187" s="469"/>
      <c r="P187" s="469"/>
      <c r="Q187" s="179">
        <f t="shared" si="15"/>
        <v>14718</v>
      </c>
    </row>
    <row r="188" spans="1:17" ht="24.6" customHeight="1" x14ac:dyDescent="0.25">
      <c r="A188" s="156"/>
      <c r="B188" s="156"/>
      <c r="C188" s="544" t="s">
        <v>848</v>
      </c>
      <c r="D188" s="545" t="s">
        <v>897</v>
      </c>
      <c r="E188" s="410"/>
      <c r="F188" s="537">
        <v>134935</v>
      </c>
      <c r="G188" s="149"/>
      <c r="H188" s="149"/>
      <c r="I188" s="149">
        <f>95+táj2!I188</f>
        <v>95</v>
      </c>
      <c r="J188" s="149"/>
      <c r="K188" s="149"/>
      <c r="L188" s="149"/>
      <c r="M188" s="149">
        <f>56+táj2!M188</f>
        <v>56</v>
      </c>
      <c r="N188" s="149"/>
      <c r="O188" s="149"/>
      <c r="P188" s="149"/>
      <c r="Q188" s="179">
        <f t="shared" si="15"/>
        <v>151</v>
      </c>
    </row>
    <row r="189" spans="1:17" ht="17.25" customHeight="1" x14ac:dyDescent="0.25">
      <c r="A189" s="156"/>
      <c r="B189" s="156"/>
      <c r="C189" s="544" t="s">
        <v>849</v>
      </c>
      <c r="D189" s="545" t="s">
        <v>916</v>
      </c>
      <c r="E189" s="410"/>
      <c r="F189" s="537">
        <v>132938</v>
      </c>
      <c r="G189" s="149"/>
      <c r="H189" s="149"/>
      <c r="I189" s="149"/>
      <c r="J189" s="149"/>
      <c r="K189" s="149"/>
      <c r="L189" s="149">
        <f>250+táj2!L189</f>
        <v>250</v>
      </c>
      <c r="M189" s="149"/>
      <c r="N189" s="149"/>
      <c r="O189" s="149"/>
      <c r="P189" s="149"/>
      <c r="Q189" s="179">
        <f>SUM(G189:P189)</f>
        <v>250</v>
      </c>
    </row>
    <row r="190" spans="1:17" ht="23.25" customHeight="1" x14ac:dyDescent="0.25">
      <c r="A190" s="156"/>
      <c r="B190" s="156"/>
      <c r="C190" s="544" t="s">
        <v>850</v>
      </c>
      <c r="D190" s="545" t="s">
        <v>974</v>
      </c>
      <c r="E190" s="410"/>
      <c r="F190" s="537">
        <v>132937</v>
      </c>
      <c r="G190" s="149">
        <f>0+táj2!G190</f>
        <v>0</v>
      </c>
      <c r="H190" s="149">
        <f>0+táj2!H190</f>
        <v>0</v>
      </c>
      <c r="I190" s="149">
        <f>0+táj2!I190</f>
        <v>0</v>
      </c>
      <c r="J190" s="149"/>
      <c r="K190" s="149"/>
      <c r="L190" s="149">
        <f>0+táj2!L190</f>
        <v>0</v>
      </c>
      <c r="M190" s="149"/>
      <c r="N190" s="149"/>
      <c r="O190" s="149"/>
      <c r="P190" s="149"/>
      <c r="Q190" s="179">
        <f>SUM(G190:P190)</f>
        <v>0</v>
      </c>
    </row>
    <row r="191" spans="1:17" ht="17.399999999999999" customHeight="1" x14ac:dyDescent="0.25">
      <c r="A191" s="156"/>
      <c r="B191" s="156"/>
      <c r="C191" s="544" t="s">
        <v>851</v>
      </c>
      <c r="D191" s="541" t="s">
        <v>935</v>
      </c>
      <c r="E191" s="410"/>
      <c r="F191" s="537">
        <v>134955</v>
      </c>
      <c r="G191" s="149"/>
      <c r="H191" s="149"/>
      <c r="I191" s="149"/>
      <c r="J191" s="149"/>
      <c r="K191" s="149"/>
      <c r="L191" s="149"/>
      <c r="M191" s="149"/>
      <c r="N191" s="149">
        <f>4622+táj2!N191</f>
        <v>4622</v>
      </c>
      <c r="O191" s="149"/>
      <c r="P191" s="149"/>
      <c r="Q191" s="179">
        <f t="shared" ref="Q191" si="16">SUM(L191:P191)</f>
        <v>4622</v>
      </c>
    </row>
    <row r="192" spans="1:17" ht="19.5" customHeight="1" x14ac:dyDescent="0.25">
      <c r="A192" s="397"/>
      <c r="B192" s="397"/>
      <c r="C192" s="544" t="s">
        <v>852</v>
      </c>
      <c r="D192" s="548" t="s">
        <v>1113</v>
      </c>
      <c r="E192" s="410"/>
      <c r="F192" s="537">
        <v>134930</v>
      </c>
      <c r="G192" s="375"/>
      <c r="H192" s="375"/>
      <c r="I192" s="149"/>
      <c r="J192" s="375"/>
      <c r="K192" s="149">
        <f>578+táj2!K192</f>
        <v>578</v>
      </c>
      <c r="L192" s="149"/>
      <c r="M192" s="149"/>
      <c r="N192" s="149">
        <f>13576+táj2!N192</f>
        <v>13576</v>
      </c>
      <c r="O192" s="375"/>
      <c r="P192" s="375"/>
      <c r="Q192" s="179">
        <f>SUM(G192:P192)</f>
        <v>14154</v>
      </c>
    </row>
    <row r="193" spans="1:17" ht="20.25" customHeight="1" x14ac:dyDescent="0.25">
      <c r="A193" s="397"/>
      <c r="B193" s="397"/>
      <c r="C193" s="544" t="s">
        <v>975</v>
      </c>
      <c r="D193" s="548" t="s">
        <v>738</v>
      </c>
      <c r="E193" s="410"/>
      <c r="F193" s="537">
        <v>132933</v>
      </c>
      <c r="G193" s="375"/>
      <c r="H193" s="375"/>
      <c r="I193" s="149">
        <f>35+táj2!I193</f>
        <v>35</v>
      </c>
      <c r="J193" s="375"/>
      <c r="K193" s="375"/>
      <c r="L193" s="375"/>
      <c r="M193" s="149"/>
      <c r="N193" s="149"/>
      <c r="O193" s="375"/>
      <c r="P193" s="375"/>
      <c r="Q193" s="179">
        <f>SUM(G193:P193)</f>
        <v>35</v>
      </c>
    </row>
    <row r="194" spans="1:17" ht="18.75" customHeight="1" x14ac:dyDescent="0.25">
      <c r="A194" s="151"/>
      <c r="B194" s="151"/>
      <c r="C194" s="152"/>
      <c r="D194" s="153" t="s">
        <v>214</v>
      </c>
      <c r="E194" s="154"/>
      <c r="F194" s="155"/>
      <c r="G194" s="173">
        <f t="shared" ref="G194:Q194" si="17">SUM(G164:G193)</f>
        <v>4073</v>
      </c>
      <c r="H194" s="173">
        <f t="shared" si="17"/>
        <v>1035</v>
      </c>
      <c r="I194" s="173">
        <f t="shared" si="17"/>
        <v>35682</v>
      </c>
      <c r="J194" s="173">
        <f t="shared" si="17"/>
        <v>3500</v>
      </c>
      <c r="K194" s="173">
        <f t="shared" si="17"/>
        <v>1563562</v>
      </c>
      <c r="L194" s="173">
        <f t="shared" si="17"/>
        <v>2800</v>
      </c>
      <c r="M194" s="173">
        <f t="shared" si="17"/>
        <v>61293</v>
      </c>
      <c r="N194" s="173">
        <f t="shared" si="17"/>
        <v>26498</v>
      </c>
      <c r="O194" s="173">
        <f t="shared" si="17"/>
        <v>0</v>
      </c>
      <c r="P194" s="173">
        <f t="shared" si="17"/>
        <v>0</v>
      </c>
      <c r="Q194" s="173">
        <f t="shared" si="17"/>
        <v>1698443</v>
      </c>
    </row>
    <row r="195" spans="1:17" ht="12.9" customHeight="1" x14ac:dyDescent="0.25">
      <c r="A195" s="156">
        <v>1</v>
      </c>
      <c r="B195" s="156">
        <v>14</v>
      </c>
      <c r="C195" s="174"/>
      <c r="D195" s="178" t="s">
        <v>175</v>
      </c>
      <c r="E195" s="158"/>
      <c r="F195" s="159"/>
      <c r="G195" s="159"/>
      <c r="H195" s="134"/>
      <c r="I195" s="134"/>
      <c r="J195" s="134"/>
      <c r="K195" s="134"/>
      <c r="L195" s="134"/>
      <c r="M195" s="159"/>
      <c r="N195" s="159"/>
      <c r="O195" s="159"/>
      <c r="P195" s="159"/>
      <c r="Q195" s="159"/>
    </row>
    <row r="196" spans="1:17" ht="12.9" customHeight="1" x14ac:dyDescent="0.25">
      <c r="A196" s="156"/>
      <c r="B196" s="156"/>
      <c r="C196" s="174"/>
      <c r="D196" s="146" t="s">
        <v>215</v>
      </c>
      <c r="E196" s="158"/>
      <c r="F196" s="159"/>
      <c r="G196" s="159"/>
      <c r="H196" s="134"/>
      <c r="I196" s="134"/>
      <c r="J196" s="134"/>
      <c r="K196" s="134"/>
      <c r="L196" s="134"/>
      <c r="M196" s="159"/>
      <c r="N196" s="159"/>
      <c r="O196" s="159"/>
      <c r="P196" s="159"/>
      <c r="Q196" s="159"/>
    </row>
    <row r="197" spans="1:17" ht="12.9" customHeight="1" x14ac:dyDescent="0.25">
      <c r="A197" s="156"/>
      <c r="B197" s="156"/>
      <c r="C197" s="174"/>
      <c r="D197" s="143" t="s">
        <v>438</v>
      </c>
      <c r="E197" s="108">
        <v>1</v>
      </c>
      <c r="F197" s="108">
        <v>171918</v>
      </c>
      <c r="G197" s="108"/>
      <c r="H197" s="108"/>
      <c r="I197" s="134">
        <f>1000+táj2!I197</f>
        <v>1000</v>
      </c>
      <c r="J197" s="108"/>
      <c r="K197" s="108"/>
      <c r="L197" s="108"/>
      <c r="M197" s="108"/>
      <c r="N197" s="108"/>
      <c r="O197" s="108"/>
      <c r="P197" s="108"/>
      <c r="Q197" s="108">
        <f>SUM(G197:P197)</f>
        <v>1000</v>
      </c>
    </row>
    <row r="198" spans="1:17" ht="30" customHeight="1" x14ac:dyDescent="0.25">
      <c r="A198" s="156"/>
      <c r="B198" s="156"/>
      <c r="C198" s="174"/>
      <c r="D198" s="150" t="s">
        <v>439</v>
      </c>
      <c r="E198" s="108">
        <v>1</v>
      </c>
      <c r="F198" s="108">
        <v>171922</v>
      </c>
      <c r="G198" s="108"/>
      <c r="H198" s="108"/>
      <c r="I198" s="134">
        <f>1865+táj2!I198</f>
        <v>1865</v>
      </c>
      <c r="J198" s="108"/>
      <c r="K198" s="108"/>
      <c r="L198" s="108"/>
      <c r="M198" s="108"/>
      <c r="N198" s="108"/>
      <c r="O198" s="108"/>
      <c r="P198" s="108"/>
      <c r="Q198" s="108">
        <f>SUM(G198:P198)</f>
        <v>1865</v>
      </c>
    </row>
    <row r="199" spans="1:17" ht="12.9" customHeight="1" x14ac:dyDescent="0.25">
      <c r="A199" s="156"/>
      <c r="B199" s="156"/>
      <c r="C199" s="174"/>
      <c r="D199" s="143" t="s">
        <v>440</v>
      </c>
      <c r="E199" s="108">
        <v>1</v>
      </c>
      <c r="F199" s="108">
        <v>171926</v>
      </c>
      <c r="G199" s="108"/>
      <c r="H199" s="108"/>
      <c r="I199" s="134">
        <f>1740+táj2!I199</f>
        <v>1740</v>
      </c>
      <c r="J199" s="108"/>
      <c r="K199" s="108"/>
      <c r="L199" s="108"/>
      <c r="M199" s="108"/>
      <c r="N199" s="108"/>
      <c r="O199" s="108"/>
      <c r="P199" s="108"/>
      <c r="Q199" s="108">
        <f>SUM(G199:P199)</f>
        <v>1740</v>
      </c>
    </row>
    <row r="200" spans="1:17" ht="12.9" customHeight="1" x14ac:dyDescent="0.25">
      <c r="A200" s="156"/>
      <c r="B200" s="156"/>
      <c r="C200" s="174"/>
      <c r="D200" s="143" t="s">
        <v>441</v>
      </c>
      <c r="E200" s="108">
        <v>1</v>
      </c>
      <c r="F200" s="108">
        <v>171967</v>
      </c>
      <c r="G200" s="108"/>
      <c r="H200" s="108"/>
      <c r="I200" s="134">
        <f>4192+táj2!I200</f>
        <v>4192</v>
      </c>
      <c r="J200" s="108"/>
      <c r="K200" s="108"/>
      <c r="L200" s="108"/>
      <c r="M200" s="108"/>
      <c r="N200" s="108"/>
      <c r="O200" s="108"/>
      <c r="P200" s="108"/>
      <c r="Q200" s="108">
        <f>SUM(G200:P200)</f>
        <v>4192</v>
      </c>
    </row>
    <row r="201" spans="1:17" ht="12.9" customHeight="1" x14ac:dyDescent="0.25">
      <c r="A201" s="151"/>
      <c r="B201" s="151"/>
      <c r="C201" s="152"/>
      <c r="D201" s="153" t="s">
        <v>442</v>
      </c>
      <c r="E201" s="180"/>
      <c r="F201" s="181"/>
      <c r="G201" s="182">
        <f t="shared" ref="G201:Q201" si="18">SUM(G197:G200)</f>
        <v>0</v>
      </c>
      <c r="H201" s="182">
        <f t="shared" si="18"/>
        <v>0</v>
      </c>
      <c r="I201" s="182">
        <f t="shared" si="18"/>
        <v>8797</v>
      </c>
      <c r="J201" s="182">
        <f t="shared" si="18"/>
        <v>0</v>
      </c>
      <c r="K201" s="182">
        <f t="shared" si="18"/>
        <v>0</v>
      </c>
      <c r="L201" s="182">
        <f t="shared" si="18"/>
        <v>0</v>
      </c>
      <c r="M201" s="182">
        <f t="shared" si="18"/>
        <v>0</v>
      </c>
      <c r="N201" s="182">
        <f t="shared" si="18"/>
        <v>0</v>
      </c>
      <c r="O201" s="182">
        <f t="shared" si="18"/>
        <v>0</v>
      </c>
      <c r="P201" s="182">
        <f t="shared" si="18"/>
        <v>0</v>
      </c>
      <c r="Q201" s="182">
        <f t="shared" si="18"/>
        <v>8797</v>
      </c>
    </row>
    <row r="202" spans="1:17" ht="12.9" customHeight="1" x14ac:dyDescent="0.25">
      <c r="A202" s="156"/>
      <c r="B202" s="156"/>
      <c r="C202" s="174"/>
      <c r="D202" s="175" t="s">
        <v>443</v>
      </c>
      <c r="E202" s="157"/>
      <c r="F202" s="108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</row>
    <row r="203" spans="1:17" ht="12.9" customHeight="1" x14ac:dyDescent="0.25">
      <c r="A203" s="156"/>
      <c r="B203" s="156"/>
      <c r="C203" s="292"/>
      <c r="D203" s="143" t="s">
        <v>968</v>
      </c>
      <c r="E203" s="194"/>
      <c r="F203" s="108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</row>
    <row r="204" spans="1:17" ht="12.9" customHeight="1" x14ac:dyDescent="0.25">
      <c r="A204" s="156"/>
      <c r="B204" s="156"/>
      <c r="C204" s="219" t="s">
        <v>335</v>
      </c>
      <c r="D204" s="289" t="s">
        <v>444</v>
      </c>
      <c r="E204" s="194"/>
      <c r="F204" s="108">
        <v>162650</v>
      </c>
      <c r="G204" s="134"/>
      <c r="H204" s="134"/>
      <c r="I204" s="134"/>
      <c r="J204" s="134"/>
      <c r="K204" s="134"/>
      <c r="L204" s="134">
        <f>37736+táj2!L204</f>
        <v>37736</v>
      </c>
      <c r="M204" s="134"/>
      <c r="N204" s="134"/>
      <c r="O204" s="134"/>
      <c r="P204" s="134"/>
      <c r="Q204" s="134">
        <f>SUM(G204:P204)</f>
        <v>37736</v>
      </c>
    </row>
    <row r="205" spans="1:17" ht="12.9" customHeight="1" x14ac:dyDescent="0.25">
      <c r="A205" s="156"/>
      <c r="B205" s="156"/>
      <c r="C205" s="219" t="s">
        <v>337</v>
      </c>
      <c r="D205" s="293" t="s">
        <v>445</v>
      </c>
      <c r="E205" s="194"/>
      <c r="F205" s="108">
        <v>164903</v>
      </c>
      <c r="G205" s="134"/>
      <c r="H205" s="134"/>
      <c r="I205" s="134"/>
      <c r="J205" s="134"/>
      <c r="K205" s="134"/>
      <c r="L205" s="134"/>
      <c r="M205" s="134"/>
      <c r="N205" s="134">
        <f>6151+táj2!N205</f>
        <v>6151</v>
      </c>
      <c r="O205" s="134"/>
      <c r="P205" s="134"/>
      <c r="Q205" s="134">
        <f>SUM(G205:P205)</f>
        <v>6151</v>
      </c>
    </row>
    <row r="206" spans="1:17" ht="12.9" customHeight="1" x14ac:dyDescent="0.25">
      <c r="A206" s="151"/>
      <c r="B206" s="151"/>
      <c r="C206" s="152"/>
      <c r="D206" s="153" t="s">
        <v>217</v>
      </c>
      <c r="E206" s="180"/>
      <c r="F206" s="181"/>
      <c r="G206" s="207">
        <f t="shared" ref="G206:Q206" si="19">SUM(G201:G205)</f>
        <v>0</v>
      </c>
      <c r="H206" s="207">
        <f t="shared" si="19"/>
        <v>0</v>
      </c>
      <c r="I206" s="207">
        <f t="shared" si="19"/>
        <v>8797</v>
      </c>
      <c r="J206" s="207">
        <f t="shared" si="19"/>
        <v>0</v>
      </c>
      <c r="K206" s="207">
        <f t="shared" si="19"/>
        <v>0</v>
      </c>
      <c r="L206" s="207">
        <f t="shared" si="19"/>
        <v>37736</v>
      </c>
      <c r="M206" s="207">
        <f t="shared" si="19"/>
        <v>0</v>
      </c>
      <c r="N206" s="207">
        <f t="shared" si="19"/>
        <v>6151</v>
      </c>
      <c r="O206" s="207">
        <f t="shared" si="19"/>
        <v>0</v>
      </c>
      <c r="P206" s="207">
        <f t="shared" si="19"/>
        <v>0</v>
      </c>
      <c r="Q206" s="207">
        <f t="shared" si="19"/>
        <v>52684</v>
      </c>
    </row>
    <row r="207" spans="1:17" ht="14.1" customHeight="1" x14ac:dyDescent="0.25">
      <c r="A207" s="129">
        <v>1</v>
      </c>
      <c r="B207" s="129">
        <v>15</v>
      </c>
      <c r="C207" s="145"/>
      <c r="D207" s="178" t="s">
        <v>446</v>
      </c>
      <c r="E207" s="157"/>
      <c r="F207" s="108"/>
      <c r="G207" s="108"/>
      <c r="H207" s="134"/>
      <c r="I207" s="134"/>
      <c r="J207" s="134"/>
      <c r="K207" s="134"/>
      <c r="L207" s="134"/>
      <c r="M207" s="108"/>
      <c r="N207" s="108"/>
      <c r="O207" s="108"/>
      <c r="P207" s="108"/>
      <c r="Q207" s="108"/>
    </row>
    <row r="208" spans="1:17" ht="14.1" customHeight="1" x14ac:dyDescent="0.25">
      <c r="A208" s="129"/>
      <c r="B208" s="129"/>
      <c r="C208" s="145"/>
      <c r="D208" s="294" t="s">
        <v>447</v>
      </c>
      <c r="E208" s="157"/>
      <c r="F208" s="108"/>
      <c r="G208" s="108"/>
      <c r="H208" s="134"/>
      <c r="I208" s="134"/>
      <c r="J208" s="134"/>
      <c r="K208" s="134"/>
      <c r="L208" s="134"/>
      <c r="M208" s="108"/>
      <c r="N208" s="108"/>
      <c r="O208" s="108"/>
      <c r="P208" s="108"/>
      <c r="Q208" s="108"/>
    </row>
    <row r="209" spans="1:17" ht="15" customHeight="1" x14ac:dyDescent="0.25">
      <c r="A209" s="129"/>
      <c r="B209" s="129"/>
      <c r="C209" s="145"/>
      <c r="D209" s="143" t="s">
        <v>448</v>
      </c>
      <c r="E209" s="108">
        <v>1</v>
      </c>
      <c r="F209" s="108">
        <v>151502</v>
      </c>
      <c r="G209" s="108"/>
      <c r="H209" s="108"/>
      <c r="I209" s="108">
        <f>35541+táj2!I209</f>
        <v>33319</v>
      </c>
      <c r="J209" s="108"/>
      <c r="K209" s="108"/>
      <c r="L209" s="108"/>
      <c r="M209" s="108"/>
      <c r="N209" s="108"/>
      <c r="O209" s="108"/>
      <c r="P209" s="108"/>
      <c r="Q209" s="108">
        <f t="shared" ref="Q209:Q226" si="20">SUM(G209:P209)</f>
        <v>33319</v>
      </c>
    </row>
    <row r="210" spans="1:17" ht="15.75" customHeight="1" x14ac:dyDescent="0.25">
      <c r="A210" s="129"/>
      <c r="B210" s="129"/>
      <c r="C210" s="145"/>
      <c r="D210" s="150" t="s">
        <v>734</v>
      </c>
      <c r="E210" s="108">
        <v>1</v>
      </c>
      <c r="F210" s="108">
        <v>151530</v>
      </c>
      <c r="G210" s="108"/>
      <c r="H210" s="108"/>
      <c r="I210" s="108">
        <f>3200+táj2!I210</f>
        <v>3200</v>
      </c>
      <c r="J210" s="108"/>
      <c r="K210" s="108"/>
      <c r="L210" s="108"/>
      <c r="M210" s="108"/>
      <c r="N210" s="108"/>
      <c r="O210" s="108"/>
      <c r="P210" s="108"/>
      <c r="Q210" s="108">
        <f t="shared" si="20"/>
        <v>3200</v>
      </c>
    </row>
    <row r="211" spans="1:17" ht="14.1" customHeight="1" x14ac:dyDescent="0.25">
      <c r="A211" s="129"/>
      <c r="B211" s="129"/>
      <c r="C211" s="145"/>
      <c r="D211" s="143" t="s">
        <v>449</v>
      </c>
      <c r="E211" s="108">
        <v>1</v>
      </c>
      <c r="F211" s="108">
        <v>151504</v>
      </c>
      <c r="G211" s="108"/>
      <c r="H211" s="108"/>
      <c r="I211" s="108">
        <f>340020+táj2!I211</f>
        <v>340020</v>
      </c>
      <c r="J211" s="108"/>
      <c r="K211" s="108"/>
      <c r="L211" s="108"/>
      <c r="M211" s="108"/>
      <c r="N211" s="108"/>
      <c r="O211" s="108"/>
      <c r="P211" s="108"/>
      <c r="Q211" s="108">
        <f t="shared" si="20"/>
        <v>340020</v>
      </c>
    </row>
    <row r="212" spans="1:17" ht="14.1" customHeight="1" x14ac:dyDescent="0.25">
      <c r="A212" s="129"/>
      <c r="B212" s="129"/>
      <c r="C212" s="145"/>
      <c r="D212" s="142" t="s">
        <v>450</v>
      </c>
      <c r="E212" s="108">
        <v>1</v>
      </c>
      <c r="F212" s="108">
        <v>151501</v>
      </c>
      <c r="G212" s="108"/>
      <c r="H212" s="108"/>
      <c r="I212" s="108">
        <f>19471+táj2!I212</f>
        <v>19471</v>
      </c>
      <c r="J212" s="108"/>
      <c r="K212" s="108"/>
      <c r="L212" s="108"/>
      <c r="M212" s="108"/>
      <c r="N212" s="108"/>
      <c r="O212" s="108"/>
      <c r="P212" s="108"/>
      <c r="Q212" s="108">
        <f t="shared" si="20"/>
        <v>19471</v>
      </c>
    </row>
    <row r="213" spans="1:17" ht="14.1" customHeight="1" x14ac:dyDescent="0.25">
      <c r="A213" s="129"/>
      <c r="B213" s="129"/>
      <c r="C213" s="145"/>
      <c r="D213" s="142" t="s">
        <v>451</v>
      </c>
      <c r="E213" s="108">
        <v>1</v>
      </c>
      <c r="F213" s="108">
        <v>151905</v>
      </c>
      <c r="G213" s="108"/>
      <c r="H213" s="108"/>
      <c r="I213" s="108">
        <f>348+táj2!I213</f>
        <v>348</v>
      </c>
      <c r="J213" s="108"/>
      <c r="K213" s="108"/>
      <c r="L213" s="108">
        <f>586+táj2!L213</f>
        <v>586</v>
      </c>
      <c r="M213" s="108"/>
      <c r="N213" s="108"/>
      <c r="O213" s="108"/>
      <c r="P213" s="108"/>
      <c r="Q213" s="108">
        <f t="shared" si="20"/>
        <v>934</v>
      </c>
    </row>
    <row r="214" spans="1:17" ht="14.1" customHeight="1" x14ac:dyDescent="0.25">
      <c r="A214" s="129"/>
      <c r="B214" s="129"/>
      <c r="C214" s="145"/>
      <c r="D214" s="142" t="s">
        <v>452</v>
      </c>
      <c r="E214" s="108">
        <v>1</v>
      </c>
      <c r="F214" s="108">
        <v>151920</v>
      </c>
      <c r="G214" s="108"/>
      <c r="H214" s="108"/>
      <c r="I214" s="108">
        <f>3495+táj2!I214</f>
        <v>5495</v>
      </c>
      <c r="J214" s="108"/>
      <c r="K214" s="108"/>
      <c r="L214" s="108"/>
      <c r="M214" s="108"/>
      <c r="N214" s="108"/>
      <c r="O214" s="108"/>
      <c r="P214" s="108"/>
      <c r="Q214" s="108">
        <f t="shared" si="20"/>
        <v>5495</v>
      </c>
    </row>
    <row r="215" spans="1:17" ht="14.1" customHeight="1" x14ac:dyDescent="0.25">
      <c r="A215" s="129"/>
      <c r="B215" s="129"/>
      <c r="C215" s="145"/>
      <c r="D215" s="142" t="s">
        <v>453</v>
      </c>
      <c r="E215" s="108">
        <v>1</v>
      </c>
      <c r="F215" s="108">
        <v>151917</v>
      </c>
      <c r="G215" s="108"/>
      <c r="H215" s="108"/>
      <c r="I215" s="108">
        <f>2600+táj2!I215</f>
        <v>2600</v>
      </c>
      <c r="J215" s="108"/>
      <c r="K215" s="108"/>
      <c r="L215" s="108"/>
      <c r="M215" s="108"/>
      <c r="N215" s="108"/>
      <c r="O215" s="108"/>
      <c r="P215" s="108"/>
      <c r="Q215" s="108">
        <f t="shared" si="20"/>
        <v>2600</v>
      </c>
    </row>
    <row r="216" spans="1:17" ht="15" customHeight="1" x14ac:dyDescent="0.25">
      <c r="A216" s="129"/>
      <c r="B216" s="129"/>
      <c r="C216" s="145"/>
      <c r="D216" s="142" t="s">
        <v>454</v>
      </c>
      <c r="E216" s="108">
        <v>2</v>
      </c>
      <c r="F216" s="108">
        <v>151503</v>
      </c>
      <c r="G216" s="108"/>
      <c r="H216" s="108"/>
      <c r="I216" s="108">
        <f>2665+táj2!I216</f>
        <v>2665</v>
      </c>
      <c r="J216" s="108"/>
      <c r="K216" s="108"/>
      <c r="L216" s="108"/>
      <c r="M216" s="108"/>
      <c r="N216" s="108"/>
      <c r="O216" s="108"/>
      <c r="P216" s="108"/>
      <c r="Q216" s="108">
        <f t="shared" si="20"/>
        <v>2665</v>
      </c>
    </row>
    <row r="217" spans="1:17" ht="15" customHeight="1" x14ac:dyDescent="0.25">
      <c r="A217" s="129"/>
      <c r="B217" s="129"/>
      <c r="C217" s="145"/>
      <c r="D217" s="142" t="s">
        <v>455</v>
      </c>
      <c r="E217" s="108">
        <v>1</v>
      </c>
      <c r="F217" s="108">
        <v>151510</v>
      </c>
      <c r="G217" s="108"/>
      <c r="H217" s="108"/>
      <c r="I217" s="108">
        <f>16058+táj2!I217</f>
        <v>16058</v>
      </c>
      <c r="J217" s="108"/>
      <c r="K217" s="108"/>
      <c r="L217" s="108">
        <f>7621+táj2!L217</f>
        <v>9621</v>
      </c>
      <c r="M217" s="108"/>
      <c r="N217" s="108"/>
      <c r="O217" s="108"/>
      <c r="P217" s="108"/>
      <c r="Q217" s="108">
        <f t="shared" si="20"/>
        <v>25679</v>
      </c>
    </row>
    <row r="218" spans="1:17" ht="15" customHeight="1" x14ac:dyDescent="0.25">
      <c r="A218" s="129"/>
      <c r="B218" s="129"/>
      <c r="C218" s="145"/>
      <c r="D218" s="295" t="s">
        <v>456</v>
      </c>
      <c r="E218" s="125">
        <v>1</v>
      </c>
      <c r="F218" s="108">
        <v>151520</v>
      </c>
      <c r="G218" s="108"/>
      <c r="H218" s="108"/>
      <c r="I218" s="108">
        <f>0+táj2!I218</f>
        <v>0</v>
      </c>
      <c r="J218" s="108"/>
      <c r="K218" s="108"/>
      <c r="L218" s="108"/>
      <c r="M218" s="108"/>
      <c r="N218" s="108"/>
      <c r="O218" s="108"/>
      <c r="P218" s="108"/>
      <c r="Q218" s="108">
        <f t="shared" si="20"/>
        <v>0</v>
      </c>
    </row>
    <row r="219" spans="1:17" ht="15" customHeight="1" x14ac:dyDescent="0.25">
      <c r="A219" s="129"/>
      <c r="B219" s="129"/>
      <c r="C219" s="145"/>
      <c r="D219" s="142" t="s">
        <v>457</v>
      </c>
      <c r="E219" s="108">
        <v>1</v>
      </c>
      <c r="F219" s="108">
        <v>151512</v>
      </c>
      <c r="G219" s="108"/>
      <c r="H219" s="108"/>
      <c r="I219" s="108">
        <f>950+táj2!I219</f>
        <v>950</v>
      </c>
      <c r="J219" s="108"/>
      <c r="K219" s="108"/>
      <c r="L219" s="108"/>
      <c r="M219" s="108"/>
      <c r="N219" s="108"/>
      <c r="O219" s="108"/>
      <c r="P219" s="108"/>
      <c r="Q219" s="108">
        <f t="shared" si="20"/>
        <v>950</v>
      </c>
    </row>
    <row r="220" spans="1:17" ht="15" customHeight="1" x14ac:dyDescent="0.25">
      <c r="A220" s="129"/>
      <c r="B220" s="129"/>
      <c r="C220" s="145"/>
      <c r="D220" s="142" t="s">
        <v>458</v>
      </c>
      <c r="E220" s="108">
        <v>2</v>
      </c>
      <c r="F220" s="108">
        <v>151511</v>
      </c>
      <c r="G220" s="108"/>
      <c r="H220" s="108"/>
      <c r="I220" s="108">
        <f>4275+táj2!I220</f>
        <v>4275</v>
      </c>
      <c r="J220" s="108"/>
      <c r="K220" s="108"/>
      <c r="L220" s="108"/>
      <c r="M220" s="108"/>
      <c r="N220" s="108"/>
      <c r="O220" s="108"/>
      <c r="P220" s="108"/>
      <c r="Q220" s="108">
        <f t="shared" si="20"/>
        <v>4275</v>
      </c>
    </row>
    <row r="221" spans="1:17" ht="15" customHeight="1" x14ac:dyDescent="0.25">
      <c r="A221" s="129"/>
      <c r="B221" s="129"/>
      <c r="C221" s="145"/>
      <c r="D221" s="142" t="s">
        <v>459</v>
      </c>
      <c r="E221" s="140">
        <v>2</v>
      </c>
      <c r="F221" s="108">
        <v>151514</v>
      </c>
      <c r="G221" s="108"/>
      <c r="H221" s="108"/>
      <c r="I221" s="108">
        <f>3325+táj2!I221</f>
        <v>3785</v>
      </c>
      <c r="J221" s="108"/>
      <c r="K221" s="108"/>
      <c r="L221" s="108"/>
      <c r="M221" s="108"/>
      <c r="N221" s="108"/>
      <c r="O221" s="108"/>
      <c r="P221" s="108"/>
      <c r="Q221" s="108">
        <f t="shared" si="20"/>
        <v>3785</v>
      </c>
    </row>
    <row r="222" spans="1:17" ht="15" customHeight="1" x14ac:dyDescent="0.25">
      <c r="A222" s="129"/>
      <c r="B222" s="129"/>
      <c r="C222" s="145"/>
      <c r="D222" s="142" t="s">
        <v>460</v>
      </c>
      <c r="E222" s="140">
        <v>2</v>
      </c>
      <c r="F222" s="108">
        <v>151515</v>
      </c>
      <c r="G222" s="108"/>
      <c r="H222" s="108"/>
      <c r="I222" s="108">
        <f>475+táj2!I222</f>
        <v>299</v>
      </c>
      <c r="J222" s="108"/>
      <c r="K222" s="108"/>
      <c r="L222" s="108"/>
      <c r="M222" s="108"/>
      <c r="N222" s="108"/>
      <c r="O222" s="108"/>
      <c r="P222" s="108"/>
      <c r="Q222" s="108">
        <f t="shared" si="20"/>
        <v>299</v>
      </c>
    </row>
    <row r="223" spans="1:17" ht="15" customHeight="1" x14ac:dyDescent="0.25">
      <c r="A223" s="129"/>
      <c r="B223" s="129"/>
      <c r="C223" s="145"/>
      <c r="D223" s="142" t="s">
        <v>461</v>
      </c>
      <c r="E223" s="140">
        <v>1</v>
      </c>
      <c r="F223" s="108">
        <v>151513</v>
      </c>
      <c r="G223" s="108"/>
      <c r="H223" s="108"/>
      <c r="I223" s="108">
        <f>5000+táj2!I223</f>
        <v>5000</v>
      </c>
      <c r="J223" s="108"/>
      <c r="K223" s="108"/>
      <c r="L223" s="108"/>
      <c r="M223" s="108"/>
      <c r="N223" s="108"/>
      <c r="O223" s="108"/>
      <c r="P223" s="108"/>
      <c r="Q223" s="108">
        <f t="shared" si="20"/>
        <v>5000</v>
      </c>
    </row>
    <row r="224" spans="1:17" ht="21.75" customHeight="1" x14ac:dyDescent="0.25">
      <c r="A224" s="129"/>
      <c r="B224" s="129"/>
      <c r="C224" s="145"/>
      <c r="D224" s="162" t="s">
        <v>1114</v>
      </c>
      <c r="E224" s="140">
        <v>2</v>
      </c>
      <c r="F224" s="108">
        <v>151918</v>
      </c>
      <c r="G224" s="108"/>
      <c r="H224" s="108"/>
      <c r="I224" s="108">
        <f>5334+táj2!I224</f>
        <v>10187</v>
      </c>
      <c r="J224" s="108"/>
      <c r="K224" s="108"/>
      <c r="L224" s="108"/>
      <c r="M224" s="108"/>
      <c r="N224" s="108"/>
      <c r="O224" s="108"/>
      <c r="P224" s="108"/>
      <c r="Q224" s="108">
        <f t="shared" si="20"/>
        <v>10187</v>
      </c>
    </row>
    <row r="225" spans="1:17" ht="17.25" customHeight="1" x14ac:dyDescent="0.25">
      <c r="A225" s="129"/>
      <c r="B225" s="129"/>
      <c r="C225" s="145"/>
      <c r="D225" s="479" t="s">
        <v>754</v>
      </c>
      <c r="E225" s="480">
        <v>2</v>
      </c>
      <c r="F225" s="108">
        <v>151524</v>
      </c>
      <c r="G225" s="108"/>
      <c r="H225" s="108"/>
      <c r="I225" s="108">
        <f>119+táj2!I225</f>
        <v>119</v>
      </c>
      <c r="J225" s="108"/>
      <c r="K225" s="108"/>
      <c r="L225" s="108"/>
      <c r="M225" s="108"/>
      <c r="N225" s="108"/>
      <c r="O225" s="108"/>
      <c r="P225" s="108"/>
      <c r="Q225" s="108">
        <f t="shared" si="20"/>
        <v>119</v>
      </c>
    </row>
    <row r="226" spans="1:17" ht="17.25" customHeight="1" x14ac:dyDescent="0.25">
      <c r="A226" s="511"/>
      <c r="B226" s="511"/>
      <c r="C226" s="544"/>
      <c r="D226" s="612" t="s">
        <v>1125</v>
      </c>
      <c r="E226" s="759">
        <v>1</v>
      </c>
      <c r="F226" s="537">
        <v>151425</v>
      </c>
      <c r="G226" s="537"/>
      <c r="H226" s="537"/>
      <c r="I226" s="108">
        <f>2500+táj2!I226</f>
        <v>2500</v>
      </c>
      <c r="J226" s="537"/>
      <c r="K226" s="537"/>
      <c r="L226" s="537"/>
      <c r="M226" s="537"/>
      <c r="N226" s="537"/>
      <c r="O226" s="537"/>
      <c r="P226" s="537"/>
      <c r="Q226" s="108">
        <f t="shared" si="20"/>
        <v>2500</v>
      </c>
    </row>
    <row r="227" spans="1:17" ht="15" customHeight="1" thickBot="1" x14ac:dyDescent="0.3">
      <c r="A227" s="129"/>
      <c r="B227" s="129"/>
      <c r="C227" s="145"/>
      <c r="D227" s="858" t="s">
        <v>931</v>
      </c>
      <c r="E227" s="859"/>
      <c r="F227" s="487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</row>
    <row r="228" spans="1:17" ht="15" customHeight="1" x14ac:dyDescent="0.25">
      <c r="A228" s="129"/>
      <c r="B228" s="129"/>
      <c r="C228" s="145"/>
      <c r="D228" s="468" t="s">
        <v>462</v>
      </c>
      <c r="E228" s="108">
        <v>1</v>
      </c>
      <c r="F228" s="108">
        <v>151401</v>
      </c>
      <c r="G228" s="108"/>
      <c r="H228" s="108"/>
      <c r="I228" s="108">
        <f>217343+táj2!I228</f>
        <v>201699</v>
      </c>
      <c r="J228" s="108"/>
      <c r="K228" s="108"/>
      <c r="L228" s="108"/>
      <c r="M228" s="108"/>
      <c r="N228" s="108"/>
      <c r="O228" s="108"/>
      <c r="P228" s="108"/>
      <c r="Q228" s="108">
        <f t="shared" ref="Q228:Q236" si="21">SUM(G228:P228)</f>
        <v>201699</v>
      </c>
    </row>
    <row r="229" spans="1:17" ht="15" customHeight="1" x14ac:dyDescent="0.25">
      <c r="A229" s="129"/>
      <c r="B229" s="129"/>
      <c r="C229" s="145"/>
      <c r="D229" s="143" t="s">
        <v>463</v>
      </c>
      <c r="E229" s="140">
        <v>1</v>
      </c>
      <c r="F229" s="108">
        <v>151402</v>
      </c>
      <c r="G229" s="108"/>
      <c r="H229" s="108"/>
      <c r="I229" s="108">
        <f>77022+táj2!I229</f>
        <v>74822</v>
      </c>
      <c r="J229" s="108"/>
      <c r="K229" s="108">
        <f>8906+táj2!K229</f>
        <v>8906</v>
      </c>
      <c r="L229" s="108"/>
      <c r="M229" s="108"/>
      <c r="N229" s="108"/>
      <c r="O229" s="108"/>
      <c r="P229" s="108"/>
      <c r="Q229" s="108">
        <f t="shared" si="21"/>
        <v>83728</v>
      </c>
    </row>
    <row r="230" spans="1:17" ht="15" customHeight="1" x14ac:dyDescent="0.25">
      <c r="A230" s="129"/>
      <c r="B230" s="129"/>
      <c r="C230" s="145"/>
      <c r="D230" s="468" t="s">
        <v>464</v>
      </c>
      <c r="E230" s="140">
        <v>1</v>
      </c>
      <c r="F230" s="108">
        <v>151411</v>
      </c>
      <c r="G230" s="108"/>
      <c r="H230" s="108"/>
      <c r="I230" s="108">
        <f>8000+táj2!I230</f>
        <v>8000</v>
      </c>
      <c r="J230" s="108"/>
      <c r="K230" s="108"/>
      <c r="L230" s="108"/>
      <c r="M230" s="108"/>
      <c r="N230" s="108"/>
      <c r="O230" s="108"/>
      <c r="P230" s="108"/>
      <c r="Q230" s="108">
        <f t="shared" si="21"/>
        <v>8000</v>
      </c>
    </row>
    <row r="231" spans="1:17" ht="15" customHeight="1" x14ac:dyDescent="0.25">
      <c r="A231" s="129"/>
      <c r="B231" s="129"/>
      <c r="C231" s="145"/>
      <c r="D231" s="143" t="s">
        <v>465</v>
      </c>
      <c r="E231" s="140">
        <v>2</v>
      </c>
      <c r="F231" s="108">
        <v>151415</v>
      </c>
      <c r="G231" s="108"/>
      <c r="H231" s="108"/>
      <c r="I231" s="108">
        <f>2150+táj2!I231</f>
        <v>5960</v>
      </c>
      <c r="J231" s="108"/>
      <c r="K231" s="108"/>
      <c r="L231" s="108"/>
      <c r="M231" s="108"/>
      <c r="N231" s="108"/>
      <c r="O231" s="108"/>
      <c r="P231" s="108"/>
      <c r="Q231" s="108">
        <f t="shared" si="21"/>
        <v>5960</v>
      </c>
    </row>
    <row r="232" spans="1:17" ht="15" customHeight="1" x14ac:dyDescent="0.25">
      <c r="A232" s="129"/>
      <c r="B232" s="129"/>
      <c r="C232" s="145"/>
      <c r="D232" s="143" t="s">
        <v>466</v>
      </c>
      <c r="E232" s="140">
        <v>1</v>
      </c>
      <c r="F232" s="108">
        <v>151416</v>
      </c>
      <c r="G232" s="108"/>
      <c r="H232" s="108"/>
      <c r="I232" s="108">
        <f>2850+táj2!I232</f>
        <v>2117</v>
      </c>
      <c r="J232" s="108"/>
      <c r="K232" s="108"/>
      <c r="L232" s="108"/>
      <c r="M232" s="108"/>
      <c r="N232" s="108"/>
      <c r="O232" s="108"/>
      <c r="P232" s="108"/>
      <c r="Q232" s="108">
        <f t="shared" si="21"/>
        <v>2117</v>
      </c>
    </row>
    <row r="233" spans="1:17" ht="15" customHeight="1" x14ac:dyDescent="0.25">
      <c r="A233" s="129"/>
      <c r="B233" s="129"/>
      <c r="C233" s="145"/>
      <c r="D233" s="143" t="s">
        <v>467</v>
      </c>
      <c r="E233" s="140">
        <v>1</v>
      </c>
      <c r="F233" s="108">
        <v>151417</v>
      </c>
      <c r="G233" s="108"/>
      <c r="H233" s="108"/>
      <c r="I233" s="108">
        <f>3500+táj2!I233</f>
        <v>1267</v>
      </c>
      <c r="J233" s="108"/>
      <c r="K233" s="108"/>
      <c r="L233" s="108"/>
      <c r="M233" s="108">
        <f>0+táj2!M233</f>
        <v>2868</v>
      </c>
      <c r="N233" s="108"/>
      <c r="O233" s="108"/>
      <c r="P233" s="108"/>
      <c r="Q233" s="108">
        <f t="shared" si="21"/>
        <v>4135</v>
      </c>
    </row>
    <row r="234" spans="1:17" ht="15" customHeight="1" x14ac:dyDescent="0.25">
      <c r="A234" s="129"/>
      <c r="B234" s="129"/>
      <c r="C234" s="145"/>
      <c r="D234" s="143" t="s">
        <v>468</v>
      </c>
      <c r="E234" s="140">
        <v>2</v>
      </c>
      <c r="F234" s="108">
        <v>151407</v>
      </c>
      <c r="G234" s="108"/>
      <c r="H234" s="108"/>
      <c r="I234" s="108">
        <f>2808+táj2!I234</f>
        <v>2808</v>
      </c>
      <c r="J234" s="108"/>
      <c r="K234" s="108"/>
      <c r="L234" s="108"/>
      <c r="M234" s="108"/>
      <c r="N234" s="108"/>
      <c r="O234" s="108"/>
      <c r="P234" s="108"/>
      <c r="Q234" s="108">
        <f t="shared" si="21"/>
        <v>2808</v>
      </c>
    </row>
    <row r="235" spans="1:17" ht="15" customHeight="1" x14ac:dyDescent="0.25">
      <c r="A235" s="129"/>
      <c r="B235" s="129"/>
      <c r="C235" s="145"/>
      <c r="D235" s="143" t="s">
        <v>469</v>
      </c>
      <c r="E235" s="140">
        <v>2</v>
      </c>
      <c r="F235" s="140">
        <v>151404</v>
      </c>
      <c r="G235" s="108"/>
      <c r="H235" s="108"/>
      <c r="I235" s="108">
        <f>9825+táj2!I235</f>
        <v>9825</v>
      </c>
      <c r="J235" s="108"/>
      <c r="K235" s="108"/>
      <c r="L235" s="108">
        <f>979+táj2!L235</f>
        <v>979</v>
      </c>
      <c r="M235" s="108"/>
      <c r="N235" s="108"/>
      <c r="O235" s="108"/>
      <c r="P235" s="108"/>
      <c r="Q235" s="108">
        <f t="shared" si="21"/>
        <v>10804</v>
      </c>
    </row>
    <row r="236" spans="1:17" ht="28.5" customHeight="1" x14ac:dyDescent="0.25">
      <c r="A236" s="129"/>
      <c r="B236" s="129"/>
      <c r="C236" s="145"/>
      <c r="D236" s="278" t="s">
        <v>872</v>
      </c>
      <c r="E236" s="140">
        <v>2</v>
      </c>
      <c r="F236" s="140">
        <v>151408</v>
      </c>
      <c r="G236" s="108"/>
      <c r="H236" s="108"/>
      <c r="I236" s="108">
        <f>1750+táj2!I236</f>
        <v>1750</v>
      </c>
      <c r="J236" s="108"/>
      <c r="K236" s="108"/>
      <c r="L236" s="108"/>
      <c r="M236" s="108"/>
      <c r="N236" s="108"/>
      <c r="O236" s="108"/>
      <c r="P236" s="108"/>
      <c r="Q236" s="108">
        <f t="shared" si="21"/>
        <v>1750</v>
      </c>
    </row>
    <row r="237" spans="1:17" ht="15" customHeight="1" x14ac:dyDescent="0.25">
      <c r="A237" s="129"/>
      <c r="B237" s="129"/>
      <c r="C237" s="145"/>
      <c r="D237" s="143" t="s">
        <v>470</v>
      </c>
      <c r="E237" s="140"/>
      <c r="F237" s="140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</row>
    <row r="238" spans="1:17" ht="24.75" customHeight="1" x14ac:dyDescent="0.25">
      <c r="A238" s="129"/>
      <c r="B238" s="129"/>
      <c r="C238" s="145"/>
      <c r="D238" s="150" t="s">
        <v>471</v>
      </c>
      <c r="E238" s="165">
        <v>1</v>
      </c>
      <c r="F238" s="167">
        <v>191129</v>
      </c>
      <c r="G238" s="108"/>
      <c r="H238" s="108"/>
      <c r="I238" s="108"/>
      <c r="J238" s="108"/>
      <c r="K238" s="108">
        <f>741382+táj2!K238</f>
        <v>741382</v>
      </c>
      <c r="L238" s="108"/>
      <c r="M238" s="108"/>
      <c r="N238" s="108"/>
      <c r="O238" s="108"/>
      <c r="P238" s="108"/>
      <c r="Q238" s="108">
        <f>SUM(G238:P238)</f>
        <v>741382</v>
      </c>
    </row>
    <row r="239" spans="1:17" ht="14.25" customHeight="1" x14ac:dyDescent="0.25">
      <c r="A239" s="129"/>
      <c r="B239" s="129"/>
      <c r="C239" s="145"/>
      <c r="D239" s="142" t="s">
        <v>472</v>
      </c>
      <c r="E239" s="140"/>
      <c r="F239" s="140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</row>
    <row r="240" spans="1:17" ht="15" customHeight="1" x14ac:dyDescent="0.25">
      <c r="A240" s="108"/>
      <c r="B240" s="108"/>
      <c r="C240" s="108"/>
      <c r="D240" s="143" t="s">
        <v>473</v>
      </c>
      <c r="E240" s="108">
        <v>1</v>
      </c>
      <c r="F240" s="108">
        <v>151102</v>
      </c>
      <c r="G240" s="108"/>
      <c r="H240" s="108"/>
      <c r="I240" s="108">
        <f>2550+táj2!I240</f>
        <v>2550</v>
      </c>
      <c r="J240" s="108"/>
      <c r="K240" s="108"/>
      <c r="L240" s="108"/>
      <c r="M240" s="108"/>
      <c r="N240" s="108"/>
      <c r="O240" s="108"/>
      <c r="P240" s="108"/>
      <c r="Q240" s="108">
        <f>SUM(G240:P240)</f>
        <v>2550</v>
      </c>
    </row>
    <row r="241" spans="1:17" ht="15" customHeight="1" x14ac:dyDescent="0.25">
      <c r="A241" s="129"/>
      <c r="B241" s="129"/>
      <c r="C241" s="145"/>
      <c r="D241" s="143" t="s">
        <v>474</v>
      </c>
      <c r="E241" s="108">
        <v>1</v>
      </c>
      <c r="F241" s="108">
        <v>151103</v>
      </c>
      <c r="G241" s="108"/>
      <c r="H241" s="108"/>
      <c r="I241" s="108">
        <f>6327+táj2!I241</f>
        <v>6327</v>
      </c>
      <c r="J241" s="108"/>
      <c r="K241" s="108"/>
      <c r="L241" s="108"/>
      <c r="M241" s="108"/>
      <c r="N241" s="108"/>
      <c r="O241" s="108"/>
      <c r="P241" s="108"/>
      <c r="Q241" s="108">
        <f>SUM(G241:P241)</f>
        <v>6327</v>
      </c>
    </row>
    <row r="242" spans="1:17" ht="15" customHeight="1" x14ac:dyDescent="0.25">
      <c r="A242" s="129"/>
      <c r="B242" s="129"/>
      <c r="C242" s="145"/>
      <c r="D242" s="143" t="s">
        <v>475</v>
      </c>
      <c r="E242" s="108">
        <v>1</v>
      </c>
      <c r="F242" s="108">
        <v>151105</v>
      </c>
      <c r="G242" s="108"/>
      <c r="H242" s="108"/>
      <c r="I242" s="108">
        <f>1000+táj2!I242</f>
        <v>1000</v>
      </c>
      <c r="J242" s="108"/>
      <c r="K242" s="108"/>
      <c r="L242" s="108"/>
      <c r="M242" s="108"/>
      <c r="N242" s="108"/>
      <c r="O242" s="108"/>
      <c r="P242" s="108"/>
      <c r="Q242" s="108">
        <f>SUM(G242:P242)</f>
        <v>1000</v>
      </c>
    </row>
    <row r="243" spans="1:17" ht="15" customHeight="1" x14ac:dyDescent="0.25">
      <c r="A243" s="129"/>
      <c r="B243" s="129"/>
      <c r="C243" s="145"/>
      <c r="D243" s="143" t="s">
        <v>476</v>
      </c>
      <c r="E243" s="140"/>
      <c r="F243" s="140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</row>
    <row r="244" spans="1:17" ht="15" customHeight="1" x14ac:dyDescent="0.25">
      <c r="A244" s="129"/>
      <c r="B244" s="129"/>
      <c r="C244" s="145"/>
      <c r="D244" s="142" t="s">
        <v>477</v>
      </c>
      <c r="E244" s="140">
        <v>1</v>
      </c>
      <c r="F244" s="108">
        <v>151301</v>
      </c>
      <c r="G244" s="108"/>
      <c r="H244" s="108"/>
      <c r="I244" s="108">
        <f>24698+táj2!I244</f>
        <v>24698</v>
      </c>
      <c r="J244" s="108"/>
      <c r="K244" s="108"/>
      <c r="L244" s="108"/>
      <c r="M244" s="108"/>
      <c r="N244" s="108"/>
      <c r="O244" s="108"/>
      <c r="P244" s="108"/>
      <c r="Q244" s="108">
        <f t="shared" ref="Q244:Q256" si="22">SUM(G244:P244)</f>
        <v>24698</v>
      </c>
    </row>
    <row r="245" spans="1:17" ht="15" customHeight="1" x14ac:dyDescent="0.25">
      <c r="A245" s="129"/>
      <c r="B245" s="129"/>
      <c r="C245" s="145"/>
      <c r="D245" s="142" t="s">
        <v>478</v>
      </c>
      <c r="E245" s="140">
        <v>1</v>
      </c>
      <c r="F245" s="108">
        <v>151310</v>
      </c>
      <c r="G245" s="108"/>
      <c r="H245" s="108"/>
      <c r="I245" s="108">
        <f>15476+táj2!I245</f>
        <v>15476</v>
      </c>
      <c r="J245" s="108"/>
      <c r="K245" s="108"/>
      <c r="L245" s="108"/>
      <c r="M245" s="108"/>
      <c r="N245" s="108"/>
      <c r="O245" s="108"/>
      <c r="P245" s="108"/>
      <c r="Q245" s="108">
        <f t="shared" si="22"/>
        <v>15476</v>
      </c>
    </row>
    <row r="246" spans="1:17" ht="15" customHeight="1" x14ac:dyDescent="0.25">
      <c r="A246" s="129"/>
      <c r="B246" s="129"/>
      <c r="C246" s="145"/>
      <c r="D246" s="142" t="s">
        <v>479</v>
      </c>
      <c r="E246" s="140">
        <v>1</v>
      </c>
      <c r="F246" s="108">
        <v>151313</v>
      </c>
      <c r="G246" s="108"/>
      <c r="H246" s="108"/>
      <c r="I246" s="108">
        <f>21699+táj2!I246</f>
        <v>21699</v>
      </c>
      <c r="J246" s="108"/>
      <c r="K246" s="108"/>
      <c r="L246" s="108"/>
      <c r="M246" s="108"/>
      <c r="N246" s="108"/>
      <c r="O246" s="108"/>
      <c r="P246" s="108"/>
      <c r="Q246" s="108">
        <f t="shared" si="22"/>
        <v>21699</v>
      </c>
    </row>
    <row r="247" spans="1:17" ht="15" customHeight="1" x14ac:dyDescent="0.25">
      <c r="A247" s="129"/>
      <c r="B247" s="129"/>
      <c r="C247" s="145"/>
      <c r="D247" s="142" t="s">
        <v>480</v>
      </c>
      <c r="E247" s="140">
        <v>1</v>
      </c>
      <c r="F247" s="108">
        <v>151314</v>
      </c>
      <c r="G247" s="108"/>
      <c r="H247" s="108"/>
      <c r="I247" s="108">
        <f>56839+táj2!I247</f>
        <v>56839</v>
      </c>
      <c r="J247" s="108"/>
      <c r="K247" s="108"/>
      <c r="L247" s="108"/>
      <c r="M247" s="108"/>
      <c r="N247" s="108"/>
      <c r="O247" s="108"/>
      <c r="P247" s="108"/>
      <c r="Q247" s="108">
        <f t="shared" si="22"/>
        <v>56839</v>
      </c>
    </row>
    <row r="248" spans="1:17" ht="15" customHeight="1" x14ac:dyDescent="0.25">
      <c r="A248" s="129"/>
      <c r="B248" s="129"/>
      <c r="C248" s="145"/>
      <c r="D248" s="142" t="s">
        <v>481</v>
      </c>
      <c r="E248" s="140">
        <v>1</v>
      </c>
      <c r="F248" s="108">
        <v>151317</v>
      </c>
      <c r="G248" s="108"/>
      <c r="H248" s="108"/>
      <c r="I248" s="108">
        <f>17701+táj2!I248</f>
        <v>17701</v>
      </c>
      <c r="J248" s="108"/>
      <c r="K248" s="108"/>
      <c r="L248" s="108"/>
      <c r="M248" s="108"/>
      <c r="N248" s="108"/>
      <c r="O248" s="108"/>
      <c r="P248" s="108"/>
      <c r="Q248" s="108">
        <f t="shared" si="22"/>
        <v>17701</v>
      </c>
    </row>
    <row r="249" spans="1:17" ht="16.5" customHeight="1" x14ac:dyDescent="0.25">
      <c r="A249" s="129"/>
      <c r="B249" s="129"/>
      <c r="C249" s="145"/>
      <c r="D249" s="150" t="s">
        <v>755</v>
      </c>
      <c r="E249" s="140">
        <v>1</v>
      </c>
      <c r="F249" s="108">
        <v>151306</v>
      </c>
      <c r="G249" s="108"/>
      <c r="H249" s="108"/>
      <c r="I249" s="108">
        <f>3531+táj2!I249</f>
        <v>3531</v>
      </c>
      <c r="J249" s="108"/>
      <c r="K249" s="108"/>
      <c r="L249" s="108"/>
      <c r="M249" s="108"/>
      <c r="N249" s="108"/>
      <c r="O249" s="108"/>
      <c r="P249" s="108"/>
      <c r="Q249" s="108">
        <f t="shared" si="22"/>
        <v>3531</v>
      </c>
    </row>
    <row r="250" spans="1:17" ht="28.5" customHeight="1" x14ac:dyDescent="0.25">
      <c r="A250" s="129"/>
      <c r="B250" s="129"/>
      <c r="C250" s="145"/>
      <c r="D250" s="150" t="s">
        <v>482</v>
      </c>
      <c r="E250" s="140">
        <v>1</v>
      </c>
      <c r="F250" s="108">
        <v>151307</v>
      </c>
      <c r="G250" s="108"/>
      <c r="H250" s="108"/>
      <c r="I250" s="108">
        <f>7303+táj2!I250</f>
        <v>6126</v>
      </c>
      <c r="J250" s="108"/>
      <c r="K250" s="108"/>
      <c r="L250" s="108">
        <f>1172+táj2!L250</f>
        <v>2249</v>
      </c>
      <c r="M250" s="108"/>
      <c r="N250" s="108"/>
      <c r="O250" s="108"/>
      <c r="P250" s="108"/>
      <c r="Q250" s="108">
        <f t="shared" si="22"/>
        <v>8375</v>
      </c>
    </row>
    <row r="251" spans="1:17" ht="24" customHeight="1" x14ac:dyDescent="0.25">
      <c r="A251" s="129"/>
      <c r="B251" s="129"/>
      <c r="C251" s="145"/>
      <c r="D251" s="150" t="s">
        <v>483</v>
      </c>
      <c r="E251" s="165">
        <v>1</v>
      </c>
      <c r="F251" s="167">
        <v>151311</v>
      </c>
      <c r="G251" s="108"/>
      <c r="H251" s="108"/>
      <c r="I251" s="108">
        <f>1339+táj2!I251</f>
        <v>1339</v>
      </c>
      <c r="J251" s="108"/>
      <c r="K251" s="108"/>
      <c r="L251" s="108"/>
      <c r="M251" s="108"/>
      <c r="N251" s="108"/>
      <c r="O251" s="108"/>
      <c r="P251" s="108"/>
      <c r="Q251" s="108">
        <f t="shared" si="22"/>
        <v>1339</v>
      </c>
    </row>
    <row r="252" spans="1:17" ht="15" customHeight="1" x14ac:dyDescent="0.25">
      <c r="A252" s="129"/>
      <c r="B252" s="129"/>
      <c r="C252" s="145"/>
      <c r="D252" s="143" t="s">
        <v>484</v>
      </c>
      <c r="E252" s="140">
        <v>1</v>
      </c>
      <c r="F252" s="108">
        <v>151312</v>
      </c>
      <c r="G252" s="108"/>
      <c r="H252" s="108"/>
      <c r="I252" s="108">
        <f>482+táj2!I252</f>
        <v>562</v>
      </c>
      <c r="J252" s="108"/>
      <c r="K252" s="108"/>
      <c r="L252" s="108"/>
      <c r="M252" s="108"/>
      <c r="N252" s="108"/>
      <c r="O252" s="108"/>
      <c r="P252" s="108"/>
      <c r="Q252" s="108">
        <f t="shared" si="22"/>
        <v>562</v>
      </c>
    </row>
    <row r="253" spans="1:17" ht="17.25" customHeight="1" x14ac:dyDescent="0.25">
      <c r="A253" s="129"/>
      <c r="B253" s="129"/>
      <c r="C253" s="145"/>
      <c r="D253" s="150" t="s">
        <v>873</v>
      </c>
      <c r="E253" s="140">
        <v>1</v>
      </c>
      <c r="F253" s="108">
        <v>151302</v>
      </c>
      <c r="G253" s="108"/>
      <c r="H253" s="108"/>
      <c r="I253" s="108">
        <f>718+táj2!I253</f>
        <v>718</v>
      </c>
      <c r="J253" s="108"/>
      <c r="K253" s="108"/>
      <c r="L253" s="108"/>
      <c r="M253" s="108"/>
      <c r="N253" s="108"/>
      <c r="O253" s="108"/>
      <c r="P253" s="108"/>
      <c r="Q253" s="108">
        <f t="shared" si="22"/>
        <v>718</v>
      </c>
    </row>
    <row r="254" spans="1:17" ht="25.5" customHeight="1" x14ac:dyDescent="0.25">
      <c r="A254" s="129"/>
      <c r="B254" s="129"/>
      <c r="C254" s="145"/>
      <c r="D254" s="297" t="s">
        <v>756</v>
      </c>
      <c r="E254" s="298">
        <v>1</v>
      </c>
      <c r="F254" s="167">
        <v>151321</v>
      </c>
      <c r="G254" s="108"/>
      <c r="H254" s="108"/>
      <c r="I254" s="108">
        <f>2200+táj2!I254</f>
        <v>2200</v>
      </c>
      <c r="J254" s="108"/>
      <c r="K254" s="108"/>
      <c r="L254" s="108"/>
      <c r="M254" s="108"/>
      <c r="N254" s="108"/>
      <c r="O254" s="108"/>
      <c r="P254" s="108"/>
      <c r="Q254" s="108">
        <f t="shared" si="22"/>
        <v>2200</v>
      </c>
    </row>
    <row r="255" spans="1:17" ht="16.5" customHeight="1" x14ac:dyDescent="0.25">
      <c r="A255" s="129"/>
      <c r="B255" s="129"/>
      <c r="C255" s="145"/>
      <c r="D255" s="150" t="s">
        <v>485</v>
      </c>
      <c r="E255" s="165">
        <v>1</v>
      </c>
      <c r="F255" s="167">
        <v>151319</v>
      </c>
      <c r="G255" s="108"/>
      <c r="H255" s="108"/>
      <c r="I255" s="108">
        <f>2202+táj2!I255</f>
        <v>2302</v>
      </c>
      <c r="J255" s="108"/>
      <c r="K255" s="108"/>
      <c r="L255" s="108"/>
      <c r="M255" s="108"/>
      <c r="N255" s="108"/>
      <c r="O255" s="108"/>
      <c r="P255" s="108"/>
      <c r="Q255" s="108">
        <f t="shared" si="22"/>
        <v>2302</v>
      </c>
    </row>
    <row r="256" spans="1:17" ht="16.5" customHeight="1" x14ac:dyDescent="0.25">
      <c r="A256" s="511"/>
      <c r="B256" s="511"/>
      <c r="C256" s="544"/>
      <c r="D256" s="546" t="s">
        <v>976</v>
      </c>
      <c r="E256" s="549">
        <v>1</v>
      </c>
      <c r="F256" s="550">
        <v>151322</v>
      </c>
      <c r="G256" s="537"/>
      <c r="H256" s="537"/>
      <c r="I256" s="108">
        <f>11114+táj2!I256</f>
        <v>11114</v>
      </c>
      <c r="J256" s="537"/>
      <c r="K256" s="537"/>
      <c r="L256" s="537"/>
      <c r="M256" s="537"/>
      <c r="N256" s="537"/>
      <c r="O256" s="537"/>
      <c r="P256" s="537"/>
      <c r="Q256" s="108">
        <f t="shared" si="22"/>
        <v>11114</v>
      </c>
    </row>
    <row r="257" spans="1:17" ht="24.9" customHeight="1" x14ac:dyDescent="0.25">
      <c r="A257" s="129"/>
      <c r="B257" s="129"/>
      <c r="C257" s="145"/>
      <c r="D257" s="150" t="s">
        <v>486</v>
      </c>
      <c r="E257" s="165"/>
      <c r="F257" s="165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</row>
    <row r="258" spans="1:17" ht="14.1" customHeight="1" x14ac:dyDescent="0.25">
      <c r="A258" s="129"/>
      <c r="B258" s="129"/>
      <c r="C258" s="145"/>
      <c r="D258" s="143" t="s">
        <v>487</v>
      </c>
      <c r="E258" s="108">
        <v>1</v>
      </c>
      <c r="F258" s="108">
        <v>151703</v>
      </c>
      <c r="G258" s="108"/>
      <c r="H258" s="108"/>
      <c r="I258" s="108">
        <f>1900+táj2!I258</f>
        <v>1900</v>
      </c>
      <c r="J258" s="108"/>
      <c r="K258" s="108"/>
      <c r="L258" s="108"/>
      <c r="M258" s="108"/>
      <c r="N258" s="108"/>
      <c r="O258" s="108"/>
      <c r="P258" s="108"/>
      <c r="Q258" s="108">
        <f>SUM(G258:P258)</f>
        <v>1900</v>
      </c>
    </row>
    <row r="259" spans="1:17" ht="14.1" customHeight="1" x14ac:dyDescent="0.25">
      <c r="A259" s="129"/>
      <c r="B259" s="129"/>
      <c r="C259" s="145"/>
      <c r="D259" s="142" t="s">
        <v>229</v>
      </c>
      <c r="E259" s="140"/>
      <c r="F259" s="140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</row>
    <row r="260" spans="1:17" ht="14.1" customHeight="1" x14ac:dyDescent="0.25">
      <c r="A260" s="129"/>
      <c r="B260" s="129"/>
      <c r="C260" s="145"/>
      <c r="D260" s="143" t="s">
        <v>488</v>
      </c>
      <c r="E260" s="108">
        <v>1</v>
      </c>
      <c r="F260" s="108">
        <v>151601</v>
      </c>
      <c r="G260" s="108"/>
      <c r="H260" s="108"/>
      <c r="I260" s="108">
        <f>22394+táj2!I260</f>
        <v>20044</v>
      </c>
      <c r="J260" s="108"/>
      <c r="K260" s="108"/>
      <c r="L260" s="108"/>
      <c r="M260" s="108">
        <f>794+táj2!M260</f>
        <v>794</v>
      </c>
      <c r="N260" s="108"/>
      <c r="O260" s="108"/>
      <c r="P260" s="108"/>
      <c r="Q260" s="108">
        <f t="shared" ref="Q260:Q275" si="23">SUM(G260:P260)</f>
        <v>20838</v>
      </c>
    </row>
    <row r="261" spans="1:17" ht="14.1" customHeight="1" x14ac:dyDescent="0.25">
      <c r="A261" s="129"/>
      <c r="B261" s="129"/>
      <c r="C261" s="145"/>
      <c r="D261" s="143" t="s">
        <v>489</v>
      </c>
      <c r="E261" s="108">
        <v>1</v>
      </c>
      <c r="F261" s="108">
        <v>151602</v>
      </c>
      <c r="G261" s="108"/>
      <c r="H261" s="108"/>
      <c r="I261" s="108"/>
      <c r="J261" s="108"/>
      <c r="K261" s="108">
        <f>19500+táj2!K261</f>
        <v>19500</v>
      </c>
      <c r="L261" s="108"/>
      <c r="M261" s="108"/>
      <c r="N261" s="108"/>
      <c r="O261" s="108"/>
      <c r="P261" s="108"/>
      <c r="Q261" s="108">
        <f t="shared" si="23"/>
        <v>19500</v>
      </c>
    </row>
    <row r="262" spans="1:17" ht="14.1" customHeight="1" x14ac:dyDescent="0.25">
      <c r="A262" s="129"/>
      <c r="B262" s="129"/>
      <c r="C262" s="145"/>
      <c r="D262" s="143" t="s">
        <v>490</v>
      </c>
      <c r="E262" s="108">
        <v>1</v>
      </c>
      <c r="F262" s="108">
        <v>151607</v>
      </c>
      <c r="G262" s="108"/>
      <c r="H262" s="108"/>
      <c r="I262" s="108">
        <f>30856+táj2!I262</f>
        <v>30856</v>
      </c>
      <c r="J262" s="108"/>
      <c r="K262" s="108"/>
      <c r="L262" s="108"/>
      <c r="M262" s="108"/>
      <c r="N262" s="108"/>
      <c r="O262" s="108"/>
      <c r="P262" s="108"/>
      <c r="Q262" s="108">
        <f t="shared" si="23"/>
        <v>30856</v>
      </c>
    </row>
    <row r="263" spans="1:17" ht="14.1" customHeight="1" x14ac:dyDescent="0.25">
      <c r="A263" s="129"/>
      <c r="B263" s="129"/>
      <c r="C263" s="145"/>
      <c r="D263" s="143" t="s">
        <v>491</v>
      </c>
      <c r="E263" s="108">
        <v>2</v>
      </c>
      <c r="F263" s="108">
        <v>151610</v>
      </c>
      <c r="G263" s="108"/>
      <c r="H263" s="108"/>
      <c r="I263" s="108">
        <f>0+táj2!I263</f>
        <v>0</v>
      </c>
      <c r="J263" s="108"/>
      <c r="K263" s="108"/>
      <c r="L263" s="108"/>
      <c r="M263" s="108"/>
      <c r="N263" s="108"/>
      <c r="O263" s="108"/>
      <c r="P263" s="108"/>
      <c r="Q263" s="108">
        <f t="shared" si="23"/>
        <v>0</v>
      </c>
    </row>
    <row r="264" spans="1:17" ht="24" customHeight="1" x14ac:dyDescent="0.25">
      <c r="A264" s="129" t="s">
        <v>86</v>
      </c>
      <c r="B264" s="129"/>
      <c r="C264" s="145"/>
      <c r="D264" s="150" t="s">
        <v>492</v>
      </c>
      <c r="E264" s="140">
        <v>2</v>
      </c>
      <c r="F264" s="108">
        <v>151619</v>
      </c>
      <c r="G264" s="108"/>
      <c r="H264" s="108"/>
      <c r="I264" s="108">
        <f>37395+táj2!I264</f>
        <v>29040</v>
      </c>
      <c r="J264" s="108"/>
      <c r="K264" s="108"/>
      <c r="L264" s="108"/>
      <c r="M264" s="108">
        <f>0+táj2!M264</f>
        <v>25000</v>
      </c>
      <c r="N264" s="108"/>
      <c r="O264" s="108"/>
      <c r="P264" s="108"/>
      <c r="Q264" s="108">
        <f t="shared" si="23"/>
        <v>54040</v>
      </c>
    </row>
    <row r="265" spans="1:17" ht="17.100000000000001" customHeight="1" x14ac:dyDescent="0.25">
      <c r="A265" s="129"/>
      <c r="B265" s="129"/>
      <c r="C265" s="145"/>
      <c r="D265" s="142" t="s">
        <v>493</v>
      </c>
      <c r="E265" s="140">
        <v>2</v>
      </c>
      <c r="F265" s="108">
        <v>151626</v>
      </c>
      <c r="G265" s="108"/>
      <c r="H265" s="108"/>
      <c r="I265" s="108">
        <f>475+táj2!I265</f>
        <v>475</v>
      </c>
      <c r="J265" s="108"/>
      <c r="K265" s="108"/>
      <c r="L265" s="108"/>
      <c r="M265" s="108"/>
      <c r="N265" s="108"/>
      <c r="O265" s="108"/>
      <c r="P265" s="108"/>
      <c r="Q265" s="108">
        <f t="shared" si="23"/>
        <v>475</v>
      </c>
    </row>
    <row r="266" spans="1:17" ht="17.100000000000001" customHeight="1" x14ac:dyDescent="0.25">
      <c r="A266" s="129"/>
      <c r="B266" s="129"/>
      <c r="C266" s="145"/>
      <c r="D266" s="162" t="s">
        <v>494</v>
      </c>
      <c r="E266" s="165">
        <v>2</v>
      </c>
      <c r="F266" s="167">
        <v>151627</v>
      </c>
      <c r="G266" s="108"/>
      <c r="H266" s="108"/>
      <c r="I266" s="108">
        <f>1900+táj2!I266</f>
        <v>1900</v>
      </c>
      <c r="J266" s="108"/>
      <c r="K266" s="108"/>
      <c r="L266" s="108"/>
      <c r="M266" s="108"/>
      <c r="N266" s="108"/>
      <c r="O266" s="108"/>
      <c r="P266" s="108"/>
      <c r="Q266" s="108">
        <f t="shared" si="23"/>
        <v>1900</v>
      </c>
    </row>
    <row r="267" spans="1:17" ht="17.100000000000001" customHeight="1" x14ac:dyDescent="0.25">
      <c r="A267" s="129"/>
      <c r="B267" s="129"/>
      <c r="C267" s="145"/>
      <c r="D267" s="142" t="s">
        <v>874</v>
      </c>
      <c r="E267" s="165">
        <v>2</v>
      </c>
      <c r="F267" s="167">
        <v>151638</v>
      </c>
      <c r="G267" s="108"/>
      <c r="H267" s="108"/>
      <c r="I267" s="108">
        <f>2375+táj2!I267</f>
        <v>2091</v>
      </c>
      <c r="J267" s="108"/>
      <c r="K267" s="108"/>
      <c r="L267" s="108"/>
      <c r="M267" s="108"/>
      <c r="N267" s="108"/>
      <c r="O267" s="108"/>
      <c r="P267" s="108"/>
      <c r="Q267" s="108">
        <f t="shared" si="23"/>
        <v>2091</v>
      </c>
    </row>
    <row r="268" spans="1:17" ht="17.100000000000001" customHeight="1" x14ac:dyDescent="0.25">
      <c r="A268" s="129"/>
      <c r="B268" s="129"/>
      <c r="C268" s="145"/>
      <c r="D268" s="143" t="s">
        <v>495</v>
      </c>
      <c r="E268" s="108">
        <v>1</v>
      </c>
      <c r="F268" s="108">
        <v>151603</v>
      </c>
      <c r="G268" s="108"/>
      <c r="H268" s="108"/>
      <c r="I268" s="108">
        <f>57148+táj2!I268</f>
        <v>57148</v>
      </c>
      <c r="J268" s="108"/>
      <c r="K268" s="108"/>
      <c r="L268" s="108"/>
      <c r="M268" s="108"/>
      <c r="N268" s="108"/>
      <c r="O268" s="108"/>
      <c r="P268" s="108"/>
      <c r="Q268" s="108">
        <f t="shared" si="23"/>
        <v>57148</v>
      </c>
    </row>
    <row r="269" spans="1:17" ht="17.100000000000001" customHeight="1" x14ac:dyDescent="0.25">
      <c r="A269" s="129"/>
      <c r="B269" s="129"/>
      <c r="C269" s="145"/>
      <c r="D269" s="143" t="s">
        <v>496</v>
      </c>
      <c r="E269" s="108">
        <v>1</v>
      </c>
      <c r="F269" s="108">
        <v>151605</v>
      </c>
      <c r="G269" s="108"/>
      <c r="H269" s="108"/>
      <c r="I269" s="108">
        <f>115008+táj2!I269</f>
        <v>116508</v>
      </c>
      <c r="J269" s="108"/>
      <c r="K269" s="108"/>
      <c r="L269" s="108"/>
      <c r="M269" s="108"/>
      <c r="N269" s="108"/>
      <c r="O269" s="108"/>
      <c r="P269" s="108"/>
      <c r="Q269" s="108">
        <f t="shared" si="23"/>
        <v>116508</v>
      </c>
    </row>
    <row r="270" spans="1:17" ht="17.100000000000001" customHeight="1" x14ac:dyDescent="0.25">
      <c r="A270" s="129"/>
      <c r="B270" s="129"/>
      <c r="C270" s="145"/>
      <c r="D270" s="143" t="s">
        <v>497</v>
      </c>
      <c r="E270" s="108">
        <v>1</v>
      </c>
      <c r="F270" s="108">
        <v>151608</v>
      </c>
      <c r="G270" s="108"/>
      <c r="H270" s="108"/>
      <c r="I270" s="108">
        <f>81703+táj2!I270</f>
        <v>81703</v>
      </c>
      <c r="J270" s="108"/>
      <c r="K270" s="108"/>
      <c r="L270" s="108"/>
      <c r="M270" s="108"/>
      <c r="N270" s="108"/>
      <c r="O270" s="108"/>
      <c r="P270" s="108"/>
      <c r="Q270" s="108">
        <f t="shared" si="23"/>
        <v>81703</v>
      </c>
    </row>
    <row r="271" spans="1:17" ht="17.100000000000001" customHeight="1" x14ac:dyDescent="0.25">
      <c r="A271" s="129"/>
      <c r="B271" s="129"/>
      <c r="C271" s="145"/>
      <c r="D271" s="143" t="s">
        <v>498</v>
      </c>
      <c r="E271" s="108">
        <v>2</v>
      </c>
      <c r="F271" s="108">
        <v>151624</v>
      </c>
      <c r="G271" s="108"/>
      <c r="H271" s="108"/>
      <c r="I271" s="108">
        <f>0+táj2!I271</f>
        <v>0</v>
      </c>
      <c r="J271" s="108"/>
      <c r="K271" s="108">
        <f>3000+táj2!K271</f>
        <v>3000</v>
      </c>
      <c r="L271" s="108"/>
      <c r="M271" s="108"/>
      <c r="N271" s="108"/>
      <c r="O271" s="108"/>
      <c r="P271" s="108"/>
      <c r="Q271" s="108">
        <f t="shared" si="23"/>
        <v>3000</v>
      </c>
    </row>
    <row r="272" spans="1:17" ht="17.100000000000001" customHeight="1" x14ac:dyDescent="0.25">
      <c r="A272" s="129"/>
      <c r="B272" s="129"/>
      <c r="C272" s="145"/>
      <c r="D272" s="143" t="s">
        <v>499</v>
      </c>
      <c r="E272" s="108">
        <v>1</v>
      </c>
      <c r="F272" s="108">
        <v>151631</v>
      </c>
      <c r="G272" s="108"/>
      <c r="H272" s="108"/>
      <c r="I272" s="108">
        <f>10222+táj2!I272</f>
        <v>10222</v>
      </c>
      <c r="J272" s="108"/>
      <c r="K272" s="108"/>
      <c r="L272" s="108"/>
      <c r="M272" s="108"/>
      <c r="N272" s="108"/>
      <c r="O272" s="108"/>
      <c r="P272" s="108"/>
      <c r="Q272" s="108">
        <f t="shared" si="23"/>
        <v>10222</v>
      </c>
    </row>
    <row r="273" spans="1:17" ht="24.75" customHeight="1" x14ac:dyDescent="0.25">
      <c r="A273" s="129"/>
      <c r="B273" s="129"/>
      <c r="C273" s="145"/>
      <c r="D273" s="110" t="s">
        <v>500</v>
      </c>
      <c r="E273" s="108">
        <v>1</v>
      </c>
      <c r="F273" s="108">
        <v>151635</v>
      </c>
      <c r="G273" s="108"/>
      <c r="H273" s="108"/>
      <c r="I273" s="108">
        <f>1000+táj2!I273</f>
        <v>1000</v>
      </c>
      <c r="J273" s="108"/>
      <c r="K273" s="108"/>
      <c r="L273" s="108"/>
      <c r="M273" s="108"/>
      <c r="N273" s="108"/>
      <c r="O273" s="108"/>
      <c r="P273" s="108"/>
      <c r="Q273" s="108">
        <f t="shared" si="23"/>
        <v>1000</v>
      </c>
    </row>
    <row r="274" spans="1:17" ht="14.1" customHeight="1" x14ac:dyDescent="0.25">
      <c r="A274" s="129"/>
      <c r="B274" s="129"/>
      <c r="C274" s="145"/>
      <c r="D274" s="299" t="s">
        <v>501</v>
      </c>
      <c r="E274" s="108">
        <v>1</v>
      </c>
      <c r="F274" s="108">
        <v>151612</v>
      </c>
      <c r="G274" s="108"/>
      <c r="H274" s="108"/>
      <c r="I274" s="108">
        <f>2000+táj2!I274</f>
        <v>2000</v>
      </c>
      <c r="J274" s="108"/>
      <c r="K274" s="108"/>
      <c r="L274" s="108"/>
      <c r="M274" s="108"/>
      <c r="N274" s="108"/>
      <c r="O274" s="108"/>
      <c r="P274" s="108"/>
      <c r="Q274" s="108">
        <f t="shared" si="23"/>
        <v>2000</v>
      </c>
    </row>
    <row r="275" spans="1:17" ht="14.1" customHeight="1" x14ac:dyDescent="0.25">
      <c r="A275" s="129"/>
      <c r="B275" s="129"/>
      <c r="C275" s="145"/>
      <c r="D275" s="299" t="s">
        <v>502</v>
      </c>
      <c r="E275" s="108">
        <v>1</v>
      </c>
      <c r="F275" s="108">
        <v>151614</v>
      </c>
      <c r="G275" s="108"/>
      <c r="H275" s="108"/>
      <c r="I275" s="108">
        <f>554+táj2!I275</f>
        <v>554</v>
      </c>
      <c r="J275" s="108"/>
      <c r="K275" s="108"/>
      <c r="L275" s="108"/>
      <c r="M275" s="108"/>
      <c r="N275" s="108"/>
      <c r="O275" s="108"/>
      <c r="P275" s="108"/>
      <c r="Q275" s="108">
        <f t="shared" si="23"/>
        <v>554</v>
      </c>
    </row>
    <row r="276" spans="1:17" ht="12.9" customHeight="1" x14ac:dyDescent="0.25">
      <c r="A276" s="129"/>
      <c r="B276" s="129"/>
      <c r="C276" s="145"/>
      <c r="D276" s="294" t="s">
        <v>447</v>
      </c>
      <c r="E276" s="108"/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/>
    </row>
    <row r="277" spans="1:17" ht="17.25" customHeight="1" x14ac:dyDescent="0.25">
      <c r="A277" s="129"/>
      <c r="B277" s="129"/>
      <c r="C277" s="145"/>
      <c r="D277" s="150" t="s">
        <v>503</v>
      </c>
      <c r="E277" s="108">
        <v>1</v>
      </c>
      <c r="F277" s="108">
        <v>151505</v>
      </c>
      <c r="G277" s="108"/>
      <c r="H277" s="108"/>
      <c r="I277" s="108">
        <f>9259+táj2!I277</f>
        <v>9481</v>
      </c>
      <c r="J277" s="108"/>
      <c r="K277" s="108"/>
      <c r="L277" s="108"/>
      <c r="M277" s="108"/>
      <c r="N277" s="108"/>
      <c r="O277" s="108"/>
      <c r="P277" s="108"/>
      <c r="Q277" s="108">
        <f>SUM(G277:P277)</f>
        <v>9481</v>
      </c>
    </row>
    <row r="278" spans="1:17" ht="16.5" customHeight="1" x14ac:dyDescent="0.25">
      <c r="A278" s="129"/>
      <c r="B278" s="129"/>
      <c r="C278" s="145"/>
      <c r="D278" s="142" t="s">
        <v>218</v>
      </c>
      <c r="E278" s="140"/>
      <c r="F278" s="140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/>
    </row>
    <row r="279" spans="1:17" ht="16.5" customHeight="1" x14ac:dyDescent="0.25">
      <c r="A279" s="129"/>
      <c r="B279" s="129"/>
      <c r="C279" s="129"/>
      <c r="D279" s="143" t="s">
        <v>219</v>
      </c>
      <c r="E279" s="108">
        <v>2</v>
      </c>
      <c r="F279" s="108">
        <v>151906</v>
      </c>
      <c r="G279" s="108"/>
      <c r="H279" s="108"/>
      <c r="I279" s="108">
        <f>98842+táj2!I279</f>
        <v>98842</v>
      </c>
      <c r="J279" s="108"/>
      <c r="K279" s="108"/>
      <c r="L279" s="108"/>
      <c r="M279" s="108"/>
      <c r="N279" s="108"/>
      <c r="O279" s="108"/>
      <c r="P279" s="108"/>
      <c r="Q279" s="108">
        <f>SUM(G279:P279)</f>
        <v>98842</v>
      </c>
    </row>
    <row r="280" spans="1:17" ht="16.5" customHeight="1" x14ac:dyDescent="0.25">
      <c r="A280" s="129"/>
      <c r="B280" s="129"/>
      <c r="C280" s="145"/>
      <c r="D280" s="143" t="s">
        <v>504</v>
      </c>
      <c r="E280" s="108">
        <v>2</v>
      </c>
      <c r="F280" s="108">
        <v>151915</v>
      </c>
      <c r="G280" s="108"/>
      <c r="H280" s="108"/>
      <c r="I280" s="108">
        <f>222+táj2!I280</f>
        <v>222</v>
      </c>
      <c r="J280" s="108"/>
      <c r="K280" s="108"/>
      <c r="L280" s="108"/>
      <c r="M280" s="108"/>
      <c r="N280" s="108"/>
      <c r="O280" s="108"/>
      <c r="P280" s="108"/>
      <c r="Q280" s="108">
        <f>SUM(G280:P280)</f>
        <v>222</v>
      </c>
    </row>
    <row r="281" spans="1:17" ht="17.25" customHeight="1" x14ac:dyDescent="0.25">
      <c r="A281" s="129"/>
      <c r="B281" s="129"/>
      <c r="C281" s="145"/>
      <c r="D281" s="143" t="s">
        <v>220</v>
      </c>
      <c r="E281" s="108">
        <v>2</v>
      </c>
      <c r="F281" s="108">
        <v>151907</v>
      </c>
      <c r="G281" s="108"/>
      <c r="H281" s="108"/>
      <c r="I281" s="108">
        <f>224790+táj2!I281</f>
        <v>224790</v>
      </c>
      <c r="J281" s="108"/>
      <c r="K281" s="108"/>
      <c r="L281" s="108"/>
      <c r="M281" s="108"/>
      <c r="N281" s="108"/>
      <c r="O281" s="108"/>
      <c r="P281" s="108"/>
      <c r="Q281" s="108">
        <f>SUM(G281:P281)</f>
        <v>224790</v>
      </c>
    </row>
    <row r="282" spans="1:17" ht="18.600000000000001" customHeight="1" x14ac:dyDescent="0.25">
      <c r="A282" s="129"/>
      <c r="B282" s="129"/>
      <c r="C282" s="145"/>
      <c r="D282" s="551" t="s">
        <v>977</v>
      </c>
      <c r="E282" s="552">
        <v>2</v>
      </c>
      <c r="F282" s="552">
        <v>151909</v>
      </c>
      <c r="G282" s="108"/>
      <c r="H282" s="108"/>
      <c r="I282" s="108"/>
      <c r="J282" s="108"/>
      <c r="K282" s="108">
        <f>4350+táj2!K282</f>
        <v>4350</v>
      </c>
      <c r="L282" s="108"/>
      <c r="M282" s="108"/>
      <c r="N282" s="108"/>
      <c r="O282" s="108"/>
      <c r="P282" s="108"/>
      <c r="Q282" s="108">
        <f>SUM(G282:P282)</f>
        <v>4350</v>
      </c>
    </row>
    <row r="283" spans="1:17" ht="17.100000000000001" customHeight="1" x14ac:dyDescent="0.25">
      <c r="A283" s="129"/>
      <c r="B283" s="129"/>
      <c r="C283" s="145"/>
      <c r="D283" s="142" t="s">
        <v>505</v>
      </c>
      <c r="E283" s="140"/>
      <c r="F283" s="140"/>
      <c r="G283" s="10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/>
    </row>
    <row r="284" spans="1:17" ht="27" customHeight="1" x14ac:dyDescent="0.25">
      <c r="A284" s="129"/>
      <c r="B284" s="129"/>
      <c r="C284" s="145"/>
      <c r="D284" s="162" t="s">
        <v>506</v>
      </c>
      <c r="E284" s="140">
        <v>1</v>
      </c>
      <c r="F284" s="108">
        <v>151801</v>
      </c>
      <c r="G284" s="108"/>
      <c r="H284" s="108"/>
      <c r="I284" s="108"/>
      <c r="J284" s="108"/>
      <c r="K284" s="108">
        <f>39389+táj2!K284</f>
        <v>43104</v>
      </c>
      <c r="L284" s="108"/>
      <c r="M284" s="108"/>
      <c r="N284" s="108"/>
      <c r="O284" s="108"/>
      <c r="P284" s="108"/>
      <c r="Q284" s="108">
        <f>SUM(G284:P284)</f>
        <v>43104</v>
      </c>
    </row>
    <row r="285" spans="1:17" ht="17.100000000000001" customHeight="1" x14ac:dyDescent="0.25">
      <c r="A285" s="129"/>
      <c r="B285" s="129"/>
      <c r="C285" s="145"/>
      <c r="D285" s="142" t="s">
        <v>507</v>
      </c>
      <c r="E285" s="140"/>
      <c r="F285" s="140"/>
      <c r="G285" s="10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</row>
    <row r="286" spans="1:17" ht="17.100000000000001" customHeight="1" x14ac:dyDescent="0.25">
      <c r="A286" s="129"/>
      <c r="B286" s="129"/>
      <c r="C286" s="145"/>
      <c r="D286" s="142" t="s">
        <v>508</v>
      </c>
      <c r="E286" s="108">
        <v>1</v>
      </c>
      <c r="F286" s="108">
        <v>151201</v>
      </c>
      <c r="G286" s="108"/>
      <c r="H286" s="108"/>
      <c r="I286" s="108">
        <f>546919+táj2!I286</f>
        <v>645809</v>
      </c>
      <c r="J286" s="108"/>
      <c r="K286" s="108"/>
      <c r="L286" s="108"/>
      <c r="M286" s="108"/>
      <c r="N286" s="108"/>
      <c r="O286" s="108"/>
      <c r="P286" s="108"/>
      <c r="Q286" s="108">
        <f t="shared" ref="Q286:Q292" si="24">SUM(G286:P286)</f>
        <v>645809</v>
      </c>
    </row>
    <row r="287" spans="1:17" ht="17.100000000000001" customHeight="1" x14ac:dyDescent="0.25">
      <c r="A287" s="129"/>
      <c r="B287" s="129"/>
      <c r="C287" s="145"/>
      <c r="D287" s="142" t="s">
        <v>509</v>
      </c>
      <c r="E287" s="140">
        <v>1</v>
      </c>
      <c r="F287" s="108">
        <v>151204</v>
      </c>
      <c r="G287" s="108"/>
      <c r="H287" s="108"/>
      <c r="I287" s="108">
        <f>2994+táj2!I287</f>
        <v>2994</v>
      </c>
      <c r="J287" s="108"/>
      <c r="K287" s="108"/>
      <c r="L287" s="108"/>
      <c r="M287" s="108"/>
      <c r="N287" s="108"/>
      <c r="O287" s="108"/>
      <c r="P287" s="108"/>
      <c r="Q287" s="108">
        <f t="shared" si="24"/>
        <v>2994</v>
      </c>
    </row>
    <row r="288" spans="1:17" ht="17.100000000000001" customHeight="1" x14ac:dyDescent="0.25">
      <c r="A288" s="129"/>
      <c r="B288" s="129"/>
      <c r="C288" s="145"/>
      <c r="D288" s="142" t="s">
        <v>510</v>
      </c>
      <c r="E288" s="140">
        <v>1</v>
      </c>
      <c r="F288" s="108">
        <v>151202</v>
      </c>
      <c r="G288" s="108"/>
      <c r="H288" s="108"/>
      <c r="I288" s="108">
        <f>24886+táj2!I288</f>
        <v>24886</v>
      </c>
      <c r="J288" s="108"/>
      <c r="K288" s="108"/>
      <c r="L288" s="108"/>
      <c r="M288" s="108"/>
      <c r="N288" s="108"/>
      <c r="O288" s="108"/>
      <c r="P288" s="108"/>
      <c r="Q288" s="108">
        <f t="shared" si="24"/>
        <v>24886</v>
      </c>
    </row>
    <row r="289" spans="1:17" ht="22.95" customHeight="1" x14ac:dyDescent="0.25">
      <c r="A289" s="129"/>
      <c r="B289" s="129"/>
      <c r="C289" s="145"/>
      <c r="D289" s="162" t="s">
        <v>875</v>
      </c>
      <c r="E289" s="140">
        <v>1</v>
      </c>
      <c r="F289" s="108">
        <v>151208</v>
      </c>
      <c r="G289" s="108"/>
      <c r="H289" s="108"/>
      <c r="I289" s="108">
        <f>5568+táj2!I289</f>
        <v>5568</v>
      </c>
      <c r="J289" s="108"/>
      <c r="K289" s="108"/>
      <c r="L289" s="108"/>
      <c r="M289" s="108"/>
      <c r="N289" s="108"/>
      <c r="O289" s="108"/>
      <c r="P289" s="108"/>
      <c r="Q289" s="108">
        <f t="shared" si="24"/>
        <v>5568</v>
      </c>
    </row>
    <row r="290" spans="1:17" ht="17.100000000000001" customHeight="1" x14ac:dyDescent="0.25">
      <c r="A290" s="129"/>
      <c r="B290" s="129"/>
      <c r="C290" s="145"/>
      <c r="D290" s="142" t="s">
        <v>511</v>
      </c>
      <c r="E290" s="140">
        <v>1</v>
      </c>
      <c r="F290" s="108">
        <v>151205</v>
      </c>
      <c r="G290" s="108"/>
      <c r="H290" s="108"/>
      <c r="I290" s="108">
        <f>1000+táj2!I290</f>
        <v>1000</v>
      </c>
      <c r="J290" s="108"/>
      <c r="K290" s="108"/>
      <c r="L290" s="108"/>
      <c r="M290" s="108"/>
      <c r="N290" s="108"/>
      <c r="O290" s="108"/>
      <c r="P290" s="108"/>
      <c r="Q290" s="108">
        <f t="shared" si="24"/>
        <v>1000</v>
      </c>
    </row>
    <row r="291" spans="1:17" ht="14.1" customHeight="1" x14ac:dyDescent="0.25">
      <c r="A291" s="129"/>
      <c r="B291" s="129"/>
      <c r="C291" s="145"/>
      <c r="D291" s="142" t="s">
        <v>512</v>
      </c>
      <c r="E291" s="140">
        <v>1</v>
      </c>
      <c r="F291" s="108">
        <v>151902</v>
      </c>
      <c r="G291" s="108">
        <f>10650+táj2!G291</f>
        <v>12048</v>
      </c>
      <c r="H291" s="108">
        <f>1385+táj2!H291</f>
        <v>1687</v>
      </c>
      <c r="I291" s="108">
        <f>5292+táj2!I291</f>
        <v>6142</v>
      </c>
      <c r="J291" s="108"/>
      <c r="K291" s="108">
        <f>2700+táj2!K291</f>
        <v>2700</v>
      </c>
      <c r="L291" s="108"/>
      <c r="M291" s="108">
        <f>0+táj2!M291</f>
        <v>4467</v>
      </c>
      <c r="N291" s="108"/>
      <c r="O291" s="108"/>
      <c r="P291" s="108"/>
      <c r="Q291" s="108">
        <f t="shared" si="24"/>
        <v>27044</v>
      </c>
    </row>
    <row r="292" spans="1:17" ht="25.5" customHeight="1" x14ac:dyDescent="0.25">
      <c r="A292" s="129"/>
      <c r="B292" s="129"/>
      <c r="C292" s="145"/>
      <c r="D292" s="162" t="s">
        <v>513</v>
      </c>
      <c r="E292" s="140"/>
      <c r="F292" s="108">
        <v>151925</v>
      </c>
      <c r="G292" s="108"/>
      <c r="H292" s="108"/>
      <c r="I292" s="108">
        <f>1520+táj2!I292</f>
        <v>1520</v>
      </c>
      <c r="J292" s="108"/>
      <c r="K292" s="108"/>
      <c r="L292" s="108">
        <f>60+táj2!L292</f>
        <v>60</v>
      </c>
      <c r="M292" s="108"/>
      <c r="N292" s="108"/>
      <c r="O292" s="108"/>
      <c r="P292" s="108"/>
      <c r="Q292" s="108">
        <f t="shared" si="24"/>
        <v>1580</v>
      </c>
    </row>
    <row r="293" spans="1:17" ht="15" customHeight="1" x14ac:dyDescent="0.25">
      <c r="A293" s="129"/>
      <c r="B293" s="129"/>
      <c r="C293" s="145"/>
      <c r="D293" s="150" t="s">
        <v>230</v>
      </c>
      <c r="E293" s="165"/>
      <c r="F293" s="165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</row>
    <row r="294" spans="1:17" ht="24.9" customHeight="1" x14ac:dyDescent="0.25">
      <c r="A294" s="129"/>
      <c r="B294" s="129"/>
      <c r="C294" s="145"/>
      <c r="D294" s="150" t="s">
        <v>514</v>
      </c>
      <c r="E294" s="165">
        <v>2</v>
      </c>
      <c r="F294" s="167">
        <v>151910</v>
      </c>
      <c r="G294" s="108"/>
      <c r="H294" s="108"/>
      <c r="I294" s="108">
        <f>200470+táj2!I294</f>
        <v>252477</v>
      </c>
      <c r="J294" s="108"/>
      <c r="K294" s="108"/>
      <c r="L294" s="108"/>
      <c r="M294" s="108"/>
      <c r="N294" s="108"/>
      <c r="O294" s="108"/>
      <c r="P294" s="108"/>
      <c r="Q294" s="108">
        <f>SUM(G294:P294)</f>
        <v>252477</v>
      </c>
    </row>
    <row r="295" spans="1:17" ht="16.5" customHeight="1" x14ac:dyDescent="0.25">
      <c r="A295" s="129"/>
      <c r="B295" s="129"/>
      <c r="C295" s="145"/>
      <c r="D295" s="150" t="s">
        <v>271</v>
      </c>
      <c r="E295" s="165"/>
      <c r="F295" s="165"/>
      <c r="G295" s="10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/>
    </row>
    <row r="296" spans="1:17" ht="24.9" customHeight="1" x14ac:dyDescent="0.25">
      <c r="A296" s="129"/>
      <c r="B296" s="129"/>
      <c r="C296" s="145"/>
      <c r="D296" s="150" t="s">
        <v>515</v>
      </c>
      <c r="E296" s="165">
        <v>1</v>
      </c>
      <c r="F296" s="167">
        <v>152915</v>
      </c>
      <c r="G296" s="108"/>
      <c r="H296" s="108"/>
      <c r="I296" s="108">
        <f>18844+táj2!I296</f>
        <v>18844</v>
      </c>
      <c r="J296" s="108"/>
      <c r="K296" s="108"/>
      <c r="L296" s="108"/>
      <c r="M296" s="108"/>
      <c r="N296" s="108"/>
      <c r="O296" s="108"/>
      <c r="P296" s="108"/>
      <c r="Q296" s="108">
        <f>SUM(G296:P296)</f>
        <v>18844</v>
      </c>
    </row>
    <row r="297" spans="1:17" ht="17.100000000000001" customHeight="1" x14ac:dyDescent="0.25">
      <c r="A297" s="129"/>
      <c r="B297" s="129"/>
      <c r="C297" s="145"/>
      <c r="D297" s="142" t="s">
        <v>516</v>
      </c>
      <c r="E297" s="472"/>
      <c r="F297" s="140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</row>
    <row r="298" spans="1:17" ht="17.100000000000001" customHeight="1" x14ac:dyDescent="0.25">
      <c r="A298" s="129"/>
      <c r="B298" s="129"/>
      <c r="C298" s="145"/>
      <c r="D298" s="142" t="s">
        <v>517</v>
      </c>
      <c r="E298" s="108">
        <v>1</v>
      </c>
      <c r="F298" s="108">
        <v>151704</v>
      </c>
      <c r="G298" s="108"/>
      <c r="H298" s="108"/>
      <c r="I298" s="108"/>
      <c r="J298" s="108"/>
      <c r="K298" s="108">
        <f>320+táj2!K298</f>
        <v>320</v>
      </c>
      <c r="L298" s="108"/>
      <c r="M298" s="108"/>
      <c r="N298" s="108"/>
      <c r="O298" s="108"/>
      <c r="P298" s="108"/>
      <c r="Q298" s="108">
        <f>SUM(G298:P298)</f>
        <v>320</v>
      </c>
    </row>
    <row r="299" spans="1:17" ht="20.25" customHeight="1" x14ac:dyDescent="0.25">
      <c r="A299" s="151"/>
      <c r="B299" s="151"/>
      <c r="C299" s="152"/>
      <c r="D299" s="300" t="s">
        <v>518</v>
      </c>
      <c r="E299" s="154"/>
      <c r="F299" s="155"/>
      <c r="G299" s="155">
        <f t="shared" ref="G299:Q299" si="25">SUM(G209:G298)</f>
        <v>12048</v>
      </c>
      <c r="H299" s="155">
        <f t="shared" si="25"/>
        <v>1687</v>
      </c>
      <c r="I299" s="155">
        <f t="shared" si="25"/>
        <v>2580737</v>
      </c>
      <c r="J299" s="155">
        <f t="shared" si="25"/>
        <v>0</v>
      </c>
      <c r="K299" s="155">
        <f t="shared" si="25"/>
        <v>823262</v>
      </c>
      <c r="L299" s="155">
        <f t="shared" si="25"/>
        <v>13495</v>
      </c>
      <c r="M299" s="155">
        <f t="shared" si="25"/>
        <v>33129</v>
      </c>
      <c r="N299" s="155">
        <f t="shared" si="25"/>
        <v>0</v>
      </c>
      <c r="O299" s="155">
        <f t="shared" si="25"/>
        <v>0</v>
      </c>
      <c r="P299" s="155">
        <f t="shared" si="25"/>
        <v>0</v>
      </c>
      <c r="Q299" s="155">
        <f t="shared" si="25"/>
        <v>3464358</v>
      </c>
    </row>
    <row r="300" spans="1:17" ht="17.100000000000001" customHeight="1" x14ac:dyDescent="0.25">
      <c r="A300" s="156"/>
      <c r="B300" s="156"/>
      <c r="C300" s="156"/>
      <c r="D300" s="175" t="s">
        <v>332</v>
      </c>
      <c r="E300" s="158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</row>
    <row r="301" spans="1:17" ht="17.25" customHeight="1" x14ac:dyDescent="0.25">
      <c r="A301" s="156"/>
      <c r="B301" s="156"/>
      <c r="C301" s="183" t="s">
        <v>90</v>
      </c>
      <c r="D301" s="301" t="s">
        <v>519</v>
      </c>
      <c r="E301" s="158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59"/>
    </row>
    <row r="302" spans="1:17" ht="21.75" customHeight="1" x14ac:dyDescent="0.25">
      <c r="A302" s="156"/>
      <c r="B302" s="156"/>
      <c r="C302" s="553" t="s">
        <v>333</v>
      </c>
      <c r="D302" s="554" t="s">
        <v>888</v>
      </c>
      <c r="E302" s="410"/>
      <c r="F302" s="410">
        <v>152133</v>
      </c>
      <c r="G302" s="108"/>
      <c r="H302" s="108"/>
      <c r="I302" s="108">
        <f>500+táj2!I302</f>
        <v>500</v>
      </c>
      <c r="J302" s="108"/>
      <c r="K302" s="108"/>
      <c r="L302" s="108"/>
      <c r="M302" s="108"/>
      <c r="N302" s="108"/>
      <c r="O302" s="108"/>
      <c r="P302" s="108"/>
      <c r="Q302" s="108">
        <f t="shared" ref="Q302:Q305" si="26">SUM(G302:P302)</f>
        <v>500</v>
      </c>
    </row>
    <row r="303" spans="1:17" ht="17.100000000000001" customHeight="1" x14ac:dyDescent="0.25">
      <c r="A303" s="156"/>
      <c r="B303" s="156"/>
      <c r="C303" s="555"/>
      <c r="D303" s="528" t="s">
        <v>968</v>
      </c>
      <c r="E303" s="485"/>
      <c r="F303" s="485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/>
    </row>
    <row r="304" spans="1:17" ht="17.100000000000001" customHeight="1" x14ac:dyDescent="0.25">
      <c r="A304" s="411"/>
      <c r="B304" s="411"/>
      <c r="C304" s="412" t="s">
        <v>335</v>
      </c>
      <c r="D304" s="545" t="s">
        <v>757</v>
      </c>
      <c r="E304" s="410"/>
      <c r="F304" s="410">
        <v>154103</v>
      </c>
      <c r="G304" s="408"/>
      <c r="H304" s="408"/>
      <c r="I304" s="408"/>
      <c r="J304" s="408"/>
      <c r="K304" s="408"/>
      <c r="L304" s="108"/>
      <c r="M304" s="108">
        <f>21307+táj2!M304</f>
        <v>21307</v>
      </c>
      <c r="N304" s="408"/>
      <c r="O304" s="408"/>
      <c r="P304" s="408"/>
      <c r="Q304" s="108">
        <f t="shared" si="26"/>
        <v>21307</v>
      </c>
    </row>
    <row r="305" spans="1:17" ht="17.100000000000001" customHeight="1" x14ac:dyDescent="0.25">
      <c r="A305" s="156"/>
      <c r="B305" s="156"/>
      <c r="C305" s="556" t="s">
        <v>523</v>
      </c>
      <c r="D305" s="538" t="s">
        <v>524</v>
      </c>
      <c r="E305" s="485"/>
      <c r="F305" s="410">
        <v>152129</v>
      </c>
      <c r="G305" s="108"/>
      <c r="H305" s="108"/>
      <c r="I305" s="108"/>
      <c r="J305" s="108"/>
      <c r="K305" s="108"/>
      <c r="L305" s="108">
        <f>5302+táj2!L305</f>
        <v>5302</v>
      </c>
      <c r="M305" s="108"/>
      <c r="N305" s="108"/>
      <c r="O305" s="108"/>
      <c r="P305" s="108"/>
      <c r="Q305" s="108">
        <f t="shared" si="26"/>
        <v>5302</v>
      </c>
    </row>
    <row r="306" spans="1:17" ht="27.75" customHeight="1" x14ac:dyDescent="0.25">
      <c r="A306" s="156"/>
      <c r="B306" s="183"/>
      <c r="C306" s="556" t="s">
        <v>525</v>
      </c>
      <c r="D306" s="557" t="s">
        <v>526</v>
      </c>
      <c r="E306" s="410"/>
      <c r="F306" s="410">
        <v>152122</v>
      </c>
      <c r="G306" s="108"/>
      <c r="H306" s="108"/>
      <c r="I306" s="108"/>
      <c r="J306" s="108"/>
      <c r="K306" s="108"/>
      <c r="L306" s="108">
        <f>432+táj2!L306</f>
        <v>432</v>
      </c>
      <c r="M306" s="108"/>
      <c r="N306" s="108"/>
      <c r="O306" s="108"/>
      <c r="P306" s="108"/>
      <c r="Q306" s="108">
        <f>SUM(G306:P306)</f>
        <v>432</v>
      </c>
    </row>
    <row r="307" spans="1:17" ht="26.4" customHeight="1" x14ac:dyDescent="0.25">
      <c r="A307" s="156"/>
      <c r="B307" s="183"/>
      <c r="C307" s="556" t="s">
        <v>527</v>
      </c>
      <c r="D307" s="558" t="s">
        <v>978</v>
      </c>
      <c r="E307" s="559"/>
      <c r="F307" s="559">
        <v>152102</v>
      </c>
      <c r="G307" s="108"/>
      <c r="H307" s="108"/>
      <c r="I307" s="108"/>
      <c r="J307" s="108"/>
      <c r="K307" s="108"/>
      <c r="L307" s="108">
        <f>2136+táj2!L307</f>
        <v>2136</v>
      </c>
      <c r="M307" s="108"/>
      <c r="N307" s="108"/>
      <c r="O307" s="108"/>
      <c r="P307" s="108"/>
      <c r="Q307" s="108">
        <f>SUM(G307:P307)</f>
        <v>2136</v>
      </c>
    </row>
    <row r="308" spans="1:17" ht="26.25" customHeight="1" x14ac:dyDescent="0.25">
      <c r="A308" s="156"/>
      <c r="B308" s="183"/>
      <c r="C308" s="556" t="s">
        <v>853</v>
      </c>
      <c r="D308" s="560" t="s">
        <v>522</v>
      </c>
      <c r="E308" s="410"/>
      <c r="F308" s="410">
        <v>152112</v>
      </c>
      <c r="G308" s="108"/>
      <c r="H308" s="108"/>
      <c r="I308" s="108"/>
      <c r="J308" s="108"/>
      <c r="K308" s="108"/>
      <c r="L308" s="108">
        <f>4668+táj2!L308</f>
        <v>4668</v>
      </c>
      <c r="M308" s="108">
        <f>1229+táj2!M308</f>
        <v>1229</v>
      </c>
      <c r="N308" s="108"/>
      <c r="O308" s="108"/>
      <c r="P308" s="108"/>
      <c r="Q308" s="108">
        <f>SUM(G308:P308)</f>
        <v>5897</v>
      </c>
    </row>
    <row r="309" spans="1:17" ht="17.100000000000001" customHeight="1" x14ac:dyDescent="0.25">
      <c r="A309" s="156"/>
      <c r="B309" s="156"/>
      <c r="C309" s="561" t="s">
        <v>89</v>
      </c>
      <c r="D309" s="562" t="s">
        <v>528</v>
      </c>
      <c r="E309" s="563"/>
      <c r="F309" s="559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</row>
    <row r="310" spans="1:17" ht="17.100000000000001" customHeight="1" x14ac:dyDescent="0.25">
      <c r="A310" s="156"/>
      <c r="B310" s="156"/>
      <c r="C310" s="561" t="s">
        <v>91</v>
      </c>
      <c r="D310" s="564" t="s">
        <v>529</v>
      </c>
      <c r="E310" s="485"/>
      <c r="F310" s="485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</row>
    <row r="311" spans="1:17" ht="17.100000000000001" customHeight="1" x14ac:dyDescent="0.25">
      <c r="A311" s="156"/>
      <c r="B311" s="156"/>
      <c r="C311" s="565"/>
      <c r="D311" s="528" t="s">
        <v>968</v>
      </c>
      <c r="E311" s="485"/>
      <c r="F311" s="410"/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/>
    </row>
    <row r="312" spans="1:17" ht="17.100000000000001" customHeight="1" x14ac:dyDescent="0.25">
      <c r="A312" s="156"/>
      <c r="B312" s="156"/>
      <c r="C312" s="566" t="s">
        <v>530</v>
      </c>
      <c r="D312" s="567" t="s">
        <v>531</v>
      </c>
      <c r="E312" s="485"/>
      <c r="F312" s="410">
        <v>152301</v>
      </c>
      <c r="G312" s="108"/>
      <c r="H312" s="108"/>
      <c r="I312" s="108"/>
      <c r="J312" s="108"/>
      <c r="K312" s="108"/>
      <c r="L312" s="108">
        <f>7509+táj2!L312</f>
        <v>7509</v>
      </c>
      <c r="M312" s="108"/>
      <c r="N312" s="108"/>
      <c r="O312" s="108"/>
      <c r="P312" s="108"/>
      <c r="Q312" s="108">
        <f t="shared" ref="Q312" si="27">SUM(G312:P312)</f>
        <v>7509</v>
      </c>
    </row>
    <row r="313" spans="1:17" ht="17.100000000000001" customHeight="1" x14ac:dyDescent="0.25">
      <c r="A313" s="156"/>
      <c r="B313" s="156"/>
      <c r="C313" s="566" t="s">
        <v>854</v>
      </c>
      <c r="D313" s="568" t="s">
        <v>889</v>
      </c>
      <c r="E313" s="410"/>
      <c r="F313" s="410">
        <v>152314</v>
      </c>
      <c r="G313" s="108"/>
      <c r="H313" s="108"/>
      <c r="I313" s="108"/>
      <c r="J313" s="108"/>
      <c r="K313" s="108"/>
      <c r="L313" s="108">
        <f>1390+táj2!L313</f>
        <v>1390</v>
      </c>
      <c r="M313" s="108"/>
      <c r="N313" s="108"/>
      <c r="O313" s="108"/>
      <c r="P313" s="108"/>
      <c r="Q313" s="108">
        <f t="shared" ref="Q313:Q314" si="28">SUM(G313:P313)</f>
        <v>1390</v>
      </c>
    </row>
    <row r="314" spans="1:17" ht="25.5" customHeight="1" x14ac:dyDescent="0.25">
      <c r="A314" s="156"/>
      <c r="B314" s="156"/>
      <c r="C314" s="566" t="s">
        <v>855</v>
      </c>
      <c r="D314" s="568" t="s">
        <v>856</v>
      </c>
      <c r="E314" s="410"/>
      <c r="F314" s="410">
        <v>154302</v>
      </c>
      <c r="G314" s="108"/>
      <c r="H314" s="108"/>
      <c r="I314" s="108"/>
      <c r="J314" s="108"/>
      <c r="K314" s="108"/>
      <c r="L314" s="108"/>
      <c r="M314" s="108">
        <f>13549+táj2!M314</f>
        <v>13549</v>
      </c>
      <c r="N314" s="108"/>
      <c r="O314" s="108"/>
      <c r="P314" s="108"/>
      <c r="Q314" s="108">
        <f t="shared" si="28"/>
        <v>13549</v>
      </c>
    </row>
    <row r="315" spans="1:17" ht="14.25" customHeight="1" x14ac:dyDescent="0.25">
      <c r="A315" s="156"/>
      <c r="B315" s="156"/>
      <c r="C315" s="565" t="s">
        <v>92</v>
      </c>
      <c r="D315" s="569" t="s">
        <v>532</v>
      </c>
      <c r="E315" s="410"/>
      <c r="F315" s="410"/>
      <c r="G315" s="10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</row>
    <row r="316" spans="1:17" ht="14.25" customHeight="1" x14ac:dyDescent="0.25">
      <c r="A316" s="156"/>
      <c r="B316" s="156"/>
      <c r="C316" s="566" t="s">
        <v>533</v>
      </c>
      <c r="D316" s="570" t="s">
        <v>896</v>
      </c>
      <c r="E316" s="410"/>
      <c r="F316" s="410">
        <v>152414</v>
      </c>
      <c r="G316" s="108"/>
      <c r="H316" s="108"/>
      <c r="I316" s="108"/>
      <c r="J316" s="108"/>
      <c r="K316" s="108"/>
      <c r="L316" s="108"/>
      <c r="M316" s="108">
        <f>1278+táj2!M316</f>
        <v>1278</v>
      </c>
      <c r="N316" s="108"/>
      <c r="O316" s="108"/>
      <c r="P316" s="108"/>
      <c r="Q316" s="108">
        <f>SUM(G316:P316)</f>
        <v>1278</v>
      </c>
    </row>
    <row r="317" spans="1:17" ht="17.100000000000001" customHeight="1" x14ac:dyDescent="0.25">
      <c r="A317" s="156"/>
      <c r="B317" s="156"/>
      <c r="C317" s="566" t="s">
        <v>534</v>
      </c>
      <c r="D317" s="554" t="s">
        <v>540</v>
      </c>
      <c r="E317" s="410"/>
      <c r="F317" s="537">
        <v>152426</v>
      </c>
      <c r="G317" s="108"/>
      <c r="H317" s="108"/>
      <c r="I317" s="108"/>
      <c r="J317" s="108"/>
      <c r="K317" s="108"/>
      <c r="L317" s="108">
        <f>1000+táj2!L317</f>
        <v>1000</v>
      </c>
      <c r="M317" s="108"/>
      <c r="N317" s="108"/>
      <c r="O317" s="108"/>
      <c r="P317" s="108"/>
      <c r="Q317" s="108">
        <f>SUM(G317:P317)</f>
        <v>1000</v>
      </c>
    </row>
    <row r="318" spans="1:17" ht="17.100000000000001" customHeight="1" x14ac:dyDescent="0.25">
      <c r="A318" s="156"/>
      <c r="B318" s="156"/>
      <c r="C318" s="566" t="s">
        <v>535</v>
      </c>
      <c r="D318" s="554" t="s">
        <v>541</v>
      </c>
      <c r="E318" s="410"/>
      <c r="F318" s="410">
        <v>155430</v>
      </c>
      <c r="G318" s="108"/>
      <c r="H318" s="108"/>
      <c r="I318" s="108">
        <f>1000+táj2!I318</f>
        <v>1000</v>
      </c>
      <c r="J318" s="108"/>
      <c r="K318" s="108"/>
      <c r="L318" s="108"/>
      <c r="M318" s="108"/>
      <c r="N318" s="108"/>
      <c r="O318" s="108"/>
      <c r="P318" s="108"/>
      <c r="Q318" s="108">
        <f>SUM(G318:P318)</f>
        <v>1000</v>
      </c>
    </row>
    <row r="319" spans="1:17" ht="17.100000000000001" customHeight="1" x14ac:dyDescent="0.25">
      <c r="A319" s="156"/>
      <c r="B319" s="156"/>
      <c r="C319" s="566" t="s">
        <v>536</v>
      </c>
      <c r="D319" s="554" t="s">
        <v>890</v>
      </c>
      <c r="E319" s="410"/>
      <c r="F319" s="410">
        <v>155433</v>
      </c>
      <c r="G319" s="108"/>
      <c r="H319" s="108"/>
      <c r="I319" s="108"/>
      <c r="J319" s="108"/>
      <c r="K319" s="108"/>
      <c r="L319" s="108"/>
      <c r="M319" s="108">
        <f>1000+táj2!M319</f>
        <v>0</v>
      </c>
      <c r="N319" s="108"/>
      <c r="O319" s="108"/>
      <c r="P319" s="108"/>
      <c r="Q319" s="108">
        <f t="shared" ref="Q319:Q336" si="29">SUM(G319:P319)</f>
        <v>0</v>
      </c>
    </row>
    <row r="320" spans="1:17" ht="17.100000000000001" customHeight="1" x14ac:dyDescent="0.25">
      <c r="A320" s="156"/>
      <c r="B320" s="156"/>
      <c r="C320" s="566" t="s">
        <v>537</v>
      </c>
      <c r="D320" s="571" t="s">
        <v>979</v>
      </c>
      <c r="E320" s="410"/>
      <c r="F320" s="410">
        <v>152450</v>
      </c>
      <c r="G320" s="108"/>
      <c r="H320" s="108"/>
      <c r="I320" s="108"/>
      <c r="J320" s="108"/>
      <c r="K320" s="108"/>
      <c r="L320" s="108">
        <f>0+táj2!L320</f>
        <v>0</v>
      </c>
      <c r="M320" s="108">
        <f>3500+táj2!M320</f>
        <v>3500</v>
      </c>
      <c r="N320" s="108"/>
      <c r="O320" s="108"/>
      <c r="P320" s="108"/>
      <c r="Q320" s="108">
        <f t="shared" si="29"/>
        <v>3500</v>
      </c>
    </row>
    <row r="321" spans="1:17" ht="17.100000000000001" customHeight="1" x14ac:dyDescent="0.25">
      <c r="A321" s="539"/>
      <c r="B321" s="539"/>
      <c r="C321" s="705" t="s">
        <v>1050</v>
      </c>
      <c r="D321" s="571" t="s">
        <v>1051</v>
      </c>
      <c r="E321" s="410"/>
      <c r="F321" s="410">
        <v>154447</v>
      </c>
      <c r="G321" s="537"/>
      <c r="H321" s="537"/>
      <c r="I321" s="537"/>
      <c r="J321" s="537"/>
      <c r="K321" s="537"/>
      <c r="L321" s="108"/>
      <c r="M321" s="108">
        <f>4234+táj2!M321</f>
        <v>4234</v>
      </c>
      <c r="N321" s="537"/>
      <c r="O321" s="537"/>
      <c r="P321" s="537"/>
      <c r="Q321" s="108">
        <f t="shared" si="29"/>
        <v>4234</v>
      </c>
    </row>
    <row r="322" spans="1:17" ht="17.100000000000001" customHeight="1" x14ac:dyDescent="0.25">
      <c r="A322" s="539"/>
      <c r="B322" s="539"/>
      <c r="C322" s="705" t="s">
        <v>1071</v>
      </c>
      <c r="D322" s="571" t="s">
        <v>1072</v>
      </c>
      <c r="E322" s="742"/>
      <c r="F322" s="742">
        <v>154448</v>
      </c>
      <c r="G322" s="537"/>
      <c r="H322" s="537"/>
      <c r="I322" s="537"/>
      <c r="J322" s="537"/>
      <c r="K322" s="537"/>
      <c r="L322" s="108"/>
      <c r="M322" s="108">
        <f>11675+táj2!M322</f>
        <v>13482</v>
      </c>
      <c r="N322" s="537"/>
      <c r="O322" s="537"/>
      <c r="P322" s="537"/>
      <c r="Q322" s="108">
        <f t="shared" si="29"/>
        <v>13482</v>
      </c>
    </row>
    <row r="323" spans="1:17" ht="27.75" customHeight="1" x14ac:dyDescent="0.25">
      <c r="A323" s="539"/>
      <c r="B323" s="539"/>
      <c r="C323" s="705" t="s">
        <v>1079</v>
      </c>
      <c r="D323" s="824" t="s">
        <v>1080</v>
      </c>
      <c r="E323" s="742"/>
      <c r="F323" s="742">
        <v>152451</v>
      </c>
      <c r="G323" s="537"/>
      <c r="H323" s="537"/>
      <c r="I323" s="537"/>
      <c r="J323" s="537"/>
      <c r="K323" s="537"/>
      <c r="L323" s="108">
        <f>1251+táj2!L323</f>
        <v>1251</v>
      </c>
      <c r="M323" s="537"/>
      <c r="N323" s="537"/>
      <c r="O323" s="537"/>
      <c r="P323" s="537"/>
      <c r="Q323" s="108">
        <f t="shared" si="29"/>
        <v>1251</v>
      </c>
    </row>
    <row r="324" spans="1:17" ht="17.100000000000001" customHeight="1" x14ac:dyDescent="0.25">
      <c r="A324" s="539"/>
      <c r="B324" s="539"/>
      <c r="C324" s="705" t="s">
        <v>1099</v>
      </c>
      <c r="D324" s="571" t="s">
        <v>1100</v>
      </c>
      <c r="E324" s="742"/>
      <c r="F324" s="742">
        <v>164430</v>
      </c>
      <c r="G324" s="537"/>
      <c r="H324" s="537"/>
      <c r="I324" s="537"/>
      <c r="J324" s="537"/>
      <c r="K324" s="537"/>
      <c r="L324" s="108"/>
      <c r="M324" s="108">
        <f>1648+táj2!M324</f>
        <v>3936</v>
      </c>
      <c r="N324" s="537"/>
      <c r="O324" s="537"/>
      <c r="P324" s="537"/>
      <c r="Q324" s="108">
        <f t="shared" si="29"/>
        <v>3936</v>
      </c>
    </row>
    <row r="325" spans="1:17" ht="17.100000000000001" customHeight="1" x14ac:dyDescent="0.25">
      <c r="A325" s="539"/>
      <c r="B325" s="539"/>
      <c r="C325" s="705" t="s">
        <v>1101</v>
      </c>
      <c r="D325" s="571" t="s">
        <v>1102</v>
      </c>
      <c r="E325" s="742"/>
      <c r="F325" s="742">
        <v>154438</v>
      </c>
      <c r="G325" s="537"/>
      <c r="H325" s="537"/>
      <c r="I325" s="537"/>
      <c r="J325" s="537"/>
      <c r="K325" s="537"/>
      <c r="L325" s="108"/>
      <c r="M325" s="108">
        <f>5923+táj2!M325</f>
        <v>5923</v>
      </c>
      <c r="N325" s="537"/>
      <c r="O325" s="537"/>
      <c r="P325" s="537"/>
      <c r="Q325" s="108">
        <f t="shared" si="29"/>
        <v>5923</v>
      </c>
    </row>
    <row r="326" spans="1:17" ht="17.100000000000001" customHeight="1" x14ac:dyDescent="0.25">
      <c r="A326" s="539"/>
      <c r="B326" s="539"/>
      <c r="C326" s="705" t="s">
        <v>1103</v>
      </c>
      <c r="D326" s="571" t="s">
        <v>1104</v>
      </c>
      <c r="E326" s="742"/>
      <c r="F326" s="742">
        <v>152455</v>
      </c>
      <c r="G326" s="537"/>
      <c r="H326" s="537"/>
      <c r="I326" s="537"/>
      <c r="J326" s="537"/>
      <c r="K326" s="537"/>
      <c r="L326" s="108">
        <f>981+táj2!L326</f>
        <v>981</v>
      </c>
      <c r="M326" s="537"/>
      <c r="N326" s="537"/>
      <c r="O326" s="537"/>
      <c r="P326" s="537"/>
      <c r="Q326" s="108">
        <f t="shared" si="29"/>
        <v>981</v>
      </c>
    </row>
    <row r="327" spans="1:17" ht="29.25" customHeight="1" x14ac:dyDescent="0.25">
      <c r="A327" s="539"/>
      <c r="B327" s="539"/>
      <c r="C327" s="705" t="s">
        <v>1105</v>
      </c>
      <c r="D327" s="824" t="s">
        <v>1106</v>
      </c>
      <c r="E327" s="742"/>
      <c r="F327" s="742">
        <v>152456</v>
      </c>
      <c r="G327" s="537"/>
      <c r="H327" s="537"/>
      <c r="I327" s="537"/>
      <c r="J327" s="537"/>
      <c r="K327" s="537"/>
      <c r="L327" s="108">
        <f>682+táj2!L327</f>
        <v>682</v>
      </c>
      <c r="M327" s="537"/>
      <c r="N327" s="537"/>
      <c r="O327" s="537"/>
      <c r="P327" s="537"/>
      <c r="Q327" s="108">
        <f t="shared" si="29"/>
        <v>682</v>
      </c>
    </row>
    <row r="328" spans="1:17" ht="25.5" customHeight="1" x14ac:dyDescent="0.25">
      <c r="A328" s="539"/>
      <c r="B328" s="539"/>
      <c r="C328" s="705" t="s">
        <v>1115</v>
      </c>
      <c r="D328" s="824" t="s">
        <v>1126</v>
      </c>
      <c r="E328" s="742"/>
      <c r="F328" s="742">
        <v>154453</v>
      </c>
      <c r="G328" s="537"/>
      <c r="H328" s="537"/>
      <c r="I328" s="537"/>
      <c r="J328" s="537"/>
      <c r="K328" s="537"/>
      <c r="L328" s="108"/>
      <c r="M328" s="108">
        <f>14000+táj2!M328</f>
        <v>14000</v>
      </c>
      <c r="N328" s="537"/>
      <c r="O328" s="537"/>
      <c r="P328" s="537"/>
      <c r="Q328" s="108">
        <f t="shared" si="29"/>
        <v>14000</v>
      </c>
    </row>
    <row r="329" spans="1:17" ht="17.100000000000001" customHeight="1" x14ac:dyDescent="0.25">
      <c r="A329" s="539"/>
      <c r="B329" s="539"/>
      <c r="C329" s="705" t="s">
        <v>1116</v>
      </c>
      <c r="D329" s="571" t="s">
        <v>1117</v>
      </c>
      <c r="E329" s="742"/>
      <c r="F329" s="742">
        <v>154454</v>
      </c>
      <c r="G329" s="537"/>
      <c r="H329" s="537"/>
      <c r="I329" s="537"/>
      <c r="J329" s="537"/>
      <c r="K329" s="537"/>
      <c r="L329" s="537"/>
      <c r="M329" s="108">
        <f>3000+táj2!M329</f>
        <v>4532</v>
      </c>
      <c r="N329" s="537"/>
      <c r="O329" s="537"/>
      <c r="P329" s="537"/>
      <c r="Q329" s="108">
        <f t="shared" si="29"/>
        <v>4532</v>
      </c>
    </row>
    <row r="330" spans="1:17" ht="17.100000000000001" customHeight="1" x14ac:dyDescent="0.25">
      <c r="A330" s="539"/>
      <c r="B330" s="539"/>
      <c r="C330" s="705" t="s">
        <v>1118</v>
      </c>
      <c r="D330" s="571" t="s">
        <v>1119</v>
      </c>
      <c r="E330" s="742"/>
      <c r="F330" s="742">
        <v>154455</v>
      </c>
      <c r="G330" s="537"/>
      <c r="H330" s="537"/>
      <c r="I330" s="537"/>
      <c r="J330" s="537"/>
      <c r="K330" s="537"/>
      <c r="L330" s="537"/>
      <c r="M330" s="108">
        <f>6000+táj2!M330</f>
        <v>12541</v>
      </c>
      <c r="N330" s="537"/>
      <c r="O330" s="537"/>
      <c r="P330" s="537"/>
      <c r="Q330" s="108">
        <f t="shared" si="29"/>
        <v>12541</v>
      </c>
    </row>
    <row r="331" spans="1:17" ht="24" customHeight="1" x14ac:dyDescent="0.25">
      <c r="A331" s="793"/>
      <c r="B331" s="793"/>
      <c r="C331" s="705" t="s">
        <v>1158</v>
      </c>
      <c r="D331" s="823" t="s">
        <v>1161</v>
      </c>
      <c r="E331" s="730"/>
      <c r="F331" s="730">
        <v>154457</v>
      </c>
      <c r="G331" s="736"/>
      <c r="H331" s="736"/>
      <c r="I331" s="736"/>
      <c r="J331" s="736"/>
      <c r="K331" s="736"/>
      <c r="L331" s="736"/>
      <c r="M331" s="108">
        <f>0+táj2!M331</f>
        <v>2583</v>
      </c>
      <c r="N331" s="736"/>
      <c r="O331" s="736"/>
      <c r="P331" s="736"/>
      <c r="Q331" s="108">
        <f t="shared" si="29"/>
        <v>2583</v>
      </c>
    </row>
    <row r="332" spans="1:17" ht="17.100000000000001" customHeight="1" x14ac:dyDescent="0.25">
      <c r="A332" s="793"/>
      <c r="B332" s="793"/>
      <c r="C332" s="705" t="s">
        <v>1159</v>
      </c>
      <c r="D332" s="822" t="s">
        <v>1162</v>
      </c>
      <c r="E332" s="730"/>
      <c r="F332" s="730">
        <v>154458</v>
      </c>
      <c r="G332" s="736"/>
      <c r="H332" s="736"/>
      <c r="I332" s="736"/>
      <c r="J332" s="736"/>
      <c r="K332" s="736"/>
      <c r="L332" s="736"/>
      <c r="M332" s="108">
        <f>0+táj2!M332</f>
        <v>4394</v>
      </c>
      <c r="N332" s="736"/>
      <c r="O332" s="736"/>
      <c r="P332" s="736"/>
      <c r="Q332" s="108">
        <f t="shared" si="29"/>
        <v>4394</v>
      </c>
    </row>
    <row r="333" spans="1:17" ht="17.100000000000001" customHeight="1" x14ac:dyDescent="0.25">
      <c r="A333" s="793"/>
      <c r="B333" s="793"/>
      <c r="C333" s="705" t="s">
        <v>1160</v>
      </c>
      <c r="D333" s="822" t="s">
        <v>1163</v>
      </c>
      <c r="E333" s="730"/>
      <c r="F333" s="730">
        <v>152457</v>
      </c>
      <c r="G333" s="736"/>
      <c r="H333" s="736"/>
      <c r="I333" s="736"/>
      <c r="J333" s="736"/>
      <c r="K333" s="736"/>
      <c r="L333" s="108">
        <f>0+táj2!L333</f>
        <v>648</v>
      </c>
      <c r="M333" s="108"/>
      <c r="N333" s="736"/>
      <c r="O333" s="736"/>
      <c r="P333" s="736"/>
      <c r="Q333" s="108">
        <f t="shared" si="29"/>
        <v>648</v>
      </c>
    </row>
    <row r="334" spans="1:17" ht="17.100000000000001" customHeight="1" x14ac:dyDescent="0.25">
      <c r="A334" s="793"/>
      <c r="B334" s="793"/>
      <c r="C334" s="705" t="s">
        <v>1166</v>
      </c>
      <c r="D334" s="822" t="s">
        <v>1167</v>
      </c>
      <c r="E334" s="730"/>
      <c r="F334" s="730">
        <v>154460</v>
      </c>
      <c r="G334" s="736"/>
      <c r="H334" s="736"/>
      <c r="I334" s="736"/>
      <c r="J334" s="736"/>
      <c r="K334" s="736"/>
      <c r="L334" s="108"/>
      <c r="M334" s="108">
        <f>0+táj2!M334</f>
        <v>5420</v>
      </c>
      <c r="N334" s="736"/>
      <c r="O334" s="736"/>
      <c r="P334" s="736"/>
      <c r="Q334" s="108">
        <f t="shared" si="29"/>
        <v>5420</v>
      </c>
    </row>
    <row r="335" spans="1:17" ht="17.100000000000001" customHeight="1" x14ac:dyDescent="0.25">
      <c r="A335" s="156"/>
      <c r="B335" s="156"/>
      <c r="C335" s="572"/>
      <c r="D335" s="528" t="s">
        <v>968</v>
      </c>
      <c r="E335" s="410"/>
      <c r="F335" s="537"/>
      <c r="G335" s="108"/>
      <c r="H335" s="108"/>
      <c r="I335" s="108"/>
      <c r="J335" s="108"/>
      <c r="K335" s="108"/>
      <c r="L335" s="108"/>
      <c r="M335" s="108"/>
      <c r="N335" s="108"/>
      <c r="O335" s="108"/>
      <c r="P335" s="108"/>
      <c r="Q335" s="108"/>
    </row>
    <row r="336" spans="1:17" ht="17.100000000000001" customHeight="1" x14ac:dyDescent="0.25">
      <c r="A336" s="156"/>
      <c r="B336" s="156"/>
      <c r="C336" s="555" t="s">
        <v>543</v>
      </c>
      <c r="D336" s="545" t="s">
        <v>544</v>
      </c>
      <c r="E336" s="410"/>
      <c r="F336" s="537">
        <v>155420</v>
      </c>
      <c r="G336" s="108"/>
      <c r="H336" s="108"/>
      <c r="I336" s="108"/>
      <c r="J336" s="108"/>
      <c r="K336" s="108"/>
      <c r="L336" s="108"/>
      <c r="M336" s="108">
        <f>2903+táj2!M336</f>
        <v>2903</v>
      </c>
      <c r="N336" s="108"/>
      <c r="O336" s="108"/>
      <c r="P336" s="108"/>
      <c r="Q336" s="108">
        <f t="shared" si="29"/>
        <v>2903</v>
      </c>
    </row>
    <row r="337" spans="1:17" ht="25.5" customHeight="1" x14ac:dyDescent="0.25">
      <c r="A337" s="156"/>
      <c r="B337" s="156"/>
      <c r="C337" s="555" t="s">
        <v>545</v>
      </c>
      <c r="D337" s="573" t="s">
        <v>552</v>
      </c>
      <c r="E337" s="410"/>
      <c r="F337" s="537">
        <v>152405</v>
      </c>
      <c r="G337" s="108"/>
      <c r="H337" s="108"/>
      <c r="I337" s="108">
        <f>1089+táj2!I337</f>
        <v>1089</v>
      </c>
      <c r="J337" s="108"/>
      <c r="K337" s="108"/>
      <c r="L337" s="108">
        <f>6459+táj2!L337</f>
        <v>6459</v>
      </c>
      <c r="M337" s="108"/>
      <c r="N337" s="108"/>
      <c r="O337" s="108"/>
      <c r="P337" s="108"/>
      <c r="Q337" s="108">
        <f t="shared" ref="Q337:Q360" si="30">SUM(G337:P337)</f>
        <v>7548</v>
      </c>
    </row>
    <row r="338" spans="1:17" ht="17.100000000000001" customHeight="1" x14ac:dyDescent="0.25">
      <c r="A338" s="156"/>
      <c r="B338" s="156"/>
      <c r="C338" s="555" t="s">
        <v>546</v>
      </c>
      <c r="D338" s="554" t="s">
        <v>539</v>
      </c>
      <c r="E338" s="410"/>
      <c r="F338" s="537">
        <v>155426</v>
      </c>
      <c r="G338" s="108"/>
      <c r="H338" s="108"/>
      <c r="I338" s="108"/>
      <c r="J338" s="108"/>
      <c r="K338" s="108"/>
      <c r="L338" s="108"/>
      <c r="M338" s="108">
        <f>2259+táj2!M338</f>
        <v>2259</v>
      </c>
      <c r="N338" s="108"/>
      <c r="O338" s="108"/>
      <c r="P338" s="108"/>
      <c r="Q338" s="108">
        <f t="shared" si="30"/>
        <v>2259</v>
      </c>
    </row>
    <row r="339" spans="1:17" ht="17.100000000000001" customHeight="1" x14ac:dyDescent="0.25">
      <c r="A339" s="397"/>
      <c r="B339" s="397"/>
      <c r="C339" s="555" t="s">
        <v>547</v>
      </c>
      <c r="D339" s="554" t="s">
        <v>542</v>
      </c>
      <c r="E339" s="410"/>
      <c r="F339" s="537">
        <v>155427</v>
      </c>
      <c r="G339" s="374"/>
      <c r="H339" s="374"/>
      <c r="I339" s="108"/>
      <c r="J339" s="374"/>
      <c r="K339" s="374"/>
      <c r="L339" s="108"/>
      <c r="M339" s="108">
        <f>2720+táj2!M339</f>
        <v>3681</v>
      </c>
      <c r="N339" s="374"/>
      <c r="O339" s="374"/>
      <c r="P339" s="374"/>
      <c r="Q339" s="108">
        <f t="shared" si="30"/>
        <v>3681</v>
      </c>
    </row>
    <row r="340" spans="1:17" ht="17.100000000000001" customHeight="1" x14ac:dyDescent="0.25">
      <c r="A340" s="397"/>
      <c r="B340" s="397"/>
      <c r="C340" s="555" t="s">
        <v>548</v>
      </c>
      <c r="D340" s="554" t="s">
        <v>758</v>
      </c>
      <c r="E340" s="410"/>
      <c r="F340" s="410">
        <v>151422</v>
      </c>
      <c r="G340" s="374"/>
      <c r="H340" s="374"/>
      <c r="I340" s="108">
        <f>3804+táj2!I340</f>
        <v>3804</v>
      </c>
      <c r="J340" s="374"/>
      <c r="K340" s="374"/>
      <c r="L340" s="108"/>
      <c r="M340" s="108"/>
      <c r="N340" s="374"/>
      <c r="O340" s="374"/>
      <c r="P340" s="374"/>
      <c r="Q340" s="108">
        <f t="shared" si="30"/>
        <v>3804</v>
      </c>
    </row>
    <row r="341" spans="1:17" ht="17.100000000000001" customHeight="1" x14ac:dyDescent="0.25">
      <c r="A341" s="397"/>
      <c r="B341" s="397"/>
      <c r="C341" s="555" t="s">
        <v>549</v>
      </c>
      <c r="D341" s="574" t="s">
        <v>759</v>
      </c>
      <c r="E341" s="410"/>
      <c r="F341" s="537">
        <v>155436</v>
      </c>
      <c r="G341" s="374"/>
      <c r="H341" s="374"/>
      <c r="I341" s="374"/>
      <c r="J341" s="374"/>
      <c r="K341" s="374"/>
      <c r="L341" s="108"/>
      <c r="M341" s="108">
        <f>11271+táj2!M341</f>
        <v>11271</v>
      </c>
      <c r="N341" s="374"/>
      <c r="O341" s="374"/>
      <c r="P341" s="374"/>
      <c r="Q341" s="108">
        <f t="shared" si="30"/>
        <v>11271</v>
      </c>
    </row>
    <row r="342" spans="1:17" ht="17.100000000000001" customHeight="1" x14ac:dyDescent="0.25">
      <c r="A342" s="397"/>
      <c r="B342" s="397"/>
      <c r="C342" s="555" t="s">
        <v>550</v>
      </c>
      <c r="D342" s="568" t="s">
        <v>538</v>
      </c>
      <c r="E342" s="410"/>
      <c r="F342" s="410">
        <v>152420</v>
      </c>
      <c r="G342" s="374"/>
      <c r="H342" s="374"/>
      <c r="I342" s="374"/>
      <c r="J342" s="374"/>
      <c r="K342" s="374"/>
      <c r="L342" s="108">
        <f>862+táj2!L342</f>
        <v>862</v>
      </c>
      <c r="M342" s="108"/>
      <c r="N342" s="374"/>
      <c r="O342" s="374"/>
      <c r="P342" s="374"/>
      <c r="Q342" s="108">
        <f t="shared" si="30"/>
        <v>862</v>
      </c>
    </row>
    <row r="343" spans="1:17" ht="17.100000000000001" customHeight="1" x14ac:dyDescent="0.25">
      <c r="A343" s="397"/>
      <c r="B343" s="397"/>
      <c r="C343" s="555" t="s">
        <v>551</v>
      </c>
      <c r="D343" s="568" t="s">
        <v>891</v>
      </c>
      <c r="E343" s="410"/>
      <c r="F343" s="410">
        <v>155403</v>
      </c>
      <c r="G343" s="374"/>
      <c r="H343" s="374"/>
      <c r="I343" s="374"/>
      <c r="J343" s="374"/>
      <c r="K343" s="374"/>
      <c r="L343" s="108"/>
      <c r="M343" s="108">
        <f>2868+táj2!M343</f>
        <v>2868</v>
      </c>
      <c r="N343" s="374"/>
      <c r="O343" s="374"/>
      <c r="P343" s="374"/>
      <c r="Q343" s="108">
        <f t="shared" si="30"/>
        <v>2868</v>
      </c>
    </row>
    <row r="344" spans="1:17" ht="17.100000000000001" customHeight="1" x14ac:dyDescent="0.25">
      <c r="A344" s="397"/>
      <c r="B344" s="397"/>
      <c r="C344" s="555" t="s">
        <v>761</v>
      </c>
      <c r="D344" s="575" t="s">
        <v>858</v>
      </c>
      <c r="E344" s="410"/>
      <c r="F344" s="410">
        <v>152442</v>
      </c>
      <c r="G344" s="374"/>
      <c r="H344" s="374"/>
      <c r="I344" s="374"/>
      <c r="J344" s="374"/>
      <c r="K344" s="374"/>
      <c r="L344" s="108">
        <f>10500+táj2!L344</f>
        <v>10500</v>
      </c>
      <c r="M344" s="108"/>
      <c r="N344" s="374"/>
      <c r="O344" s="374"/>
      <c r="P344" s="374"/>
      <c r="Q344" s="108">
        <f t="shared" si="30"/>
        <v>10500</v>
      </c>
    </row>
    <row r="345" spans="1:17" ht="25.2" customHeight="1" x14ac:dyDescent="0.25">
      <c r="A345" s="397"/>
      <c r="B345" s="397"/>
      <c r="C345" s="555" t="s">
        <v>762</v>
      </c>
      <c r="D345" s="577" t="s">
        <v>859</v>
      </c>
      <c r="E345" s="410"/>
      <c r="F345" s="410">
        <v>164411</v>
      </c>
      <c r="G345" s="374"/>
      <c r="H345" s="374"/>
      <c r="I345" s="374"/>
      <c r="J345" s="374"/>
      <c r="K345" s="374"/>
      <c r="L345" s="108"/>
      <c r="M345" s="108">
        <f>5291+táj2!M345</f>
        <v>5291</v>
      </c>
      <c r="N345" s="374"/>
      <c r="O345" s="374"/>
      <c r="P345" s="374"/>
      <c r="Q345" s="108">
        <f t="shared" si="30"/>
        <v>5291</v>
      </c>
    </row>
    <row r="346" spans="1:17" ht="17.100000000000001" customHeight="1" x14ac:dyDescent="0.25">
      <c r="A346" s="397"/>
      <c r="B346" s="397"/>
      <c r="C346" s="555" t="s">
        <v>763</v>
      </c>
      <c r="D346" s="577" t="s">
        <v>860</v>
      </c>
      <c r="E346" s="410"/>
      <c r="F346" s="410">
        <v>154459</v>
      </c>
      <c r="G346" s="374"/>
      <c r="H346" s="374"/>
      <c r="I346" s="374"/>
      <c r="J346" s="374"/>
      <c r="K346" s="374"/>
      <c r="L346" s="108"/>
      <c r="M346" s="108">
        <f>6049+táj2!M346</f>
        <v>6049</v>
      </c>
      <c r="N346" s="374"/>
      <c r="O346" s="374"/>
      <c r="P346" s="374"/>
      <c r="Q346" s="108">
        <f t="shared" si="30"/>
        <v>6049</v>
      </c>
    </row>
    <row r="347" spans="1:17" ht="17.100000000000001" customHeight="1" x14ac:dyDescent="0.25">
      <c r="A347" s="397"/>
      <c r="B347" s="397"/>
      <c r="C347" s="555" t="s">
        <v>764</v>
      </c>
      <c r="D347" s="568" t="s">
        <v>892</v>
      </c>
      <c r="E347" s="410"/>
      <c r="F347" s="410">
        <v>154446</v>
      </c>
      <c r="G347" s="374"/>
      <c r="H347" s="374"/>
      <c r="I347" s="108">
        <f>150+táj2!I347</f>
        <v>150</v>
      </c>
      <c r="J347" s="108"/>
      <c r="K347" s="108"/>
      <c r="L347" s="108"/>
      <c r="M347" s="108">
        <f>2576+táj2!M347</f>
        <v>2576</v>
      </c>
      <c r="N347" s="374"/>
      <c r="O347" s="374"/>
      <c r="P347" s="374"/>
      <c r="Q347" s="108">
        <f t="shared" si="30"/>
        <v>2726</v>
      </c>
    </row>
    <row r="348" spans="1:17" ht="17.100000000000001" customHeight="1" x14ac:dyDescent="0.25">
      <c r="A348" s="397"/>
      <c r="B348" s="397"/>
      <c r="C348" s="555" t="s">
        <v>765</v>
      </c>
      <c r="D348" s="567" t="s">
        <v>893</v>
      </c>
      <c r="E348" s="410"/>
      <c r="F348" s="410">
        <v>154413</v>
      </c>
      <c r="G348" s="374"/>
      <c r="H348" s="374"/>
      <c r="I348" s="374"/>
      <c r="J348" s="374"/>
      <c r="K348" s="374"/>
      <c r="L348" s="108"/>
      <c r="M348" s="108">
        <f>156+táj2!M348</f>
        <v>156</v>
      </c>
      <c r="N348" s="374"/>
      <c r="O348" s="374"/>
      <c r="P348" s="374"/>
      <c r="Q348" s="108">
        <f t="shared" si="30"/>
        <v>156</v>
      </c>
    </row>
    <row r="349" spans="1:17" ht="17.100000000000001" customHeight="1" x14ac:dyDescent="0.25">
      <c r="A349" s="397"/>
      <c r="B349" s="397"/>
      <c r="C349" s="555" t="s">
        <v>766</v>
      </c>
      <c r="D349" s="567" t="s">
        <v>894</v>
      </c>
      <c r="E349" s="410"/>
      <c r="F349" s="410">
        <v>155484</v>
      </c>
      <c r="G349" s="374"/>
      <c r="H349" s="374"/>
      <c r="I349" s="374"/>
      <c r="J349" s="374"/>
      <c r="K349" s="374"/>
      <c r="L349" s="108"/>
      <c r="M349" s="108">
        <f>4000+táj2!M349</f>
        <v>4000</v>
      </c>
      <c r="N349" s="374"/>
      <c r="O349" s="374"/>
      <c r="P349" s="374"/>
      <c r="Q349" s="108">
        <f t="shared" si="30"/>
        <v>4000</v>
      </c>
    </row>
    <row r="350" spans="1:17" ht="17.100000000000001" customHeight="1" x14ac:dyDescent="0.25">
      <c r="A350" s="397"/>
      <c r="B350" s="397"/>
      <c r="C350" s="555" t="s">
        <v>767</v>
      </c>
      <c r="D350" s="578" t="s">
        <v>895</v>
      </c>
      <c r="E350" s="410"/>
      <c r="F350" s="410">
        <v>152438</v>
      </c>
      <c r="G350" s="374"/>
      <c r="H350" s="374"/>
      <c r="I350" s="374"/>
      <c r="J350" s="374"/>
      <c r="K350" s="374"/>
      <c r="L350" s="108">
        <f>0+táj2!L350</f>
        <v>0</v>
      </c>
      <c r="M350" s="108"/>
      <c r="N350" s="374"/>
      <c r="O350" s="374"/>
      <c r="P350" s="374"/>
      <c r="Q350" s="108">
        <f t="shared" si="30"/>
        <v>0</v>
      </c>
    </row>
    <row r="351" spans="1:17" ht="17.100000000000001" customHeight="1" x14ac:dyDescent="0.25">
      <c r="A351" s="397"/>
      <c r="B351" s="397"/>
      <c r="C351" s="555" t="s">
        <v>768</v>
      </c>
      <c r="D351" s="574" t="s">
        <v>760</v>
      </c>
      <c r="E351" s="410"/>
      <c r="F351" s="537">
        <v>155451</v>
      </c>
      <c r="G351" s="374"/>
      <c r="H351" s="374"/>
      <c r="I351" s="374"/>
      <c r="J351" s="374"/>
      <c r="K351" s="374"/>
      <c r="L351" s="108"/>
      <c r="M351" s="108">
        <f>12290+táj2!M351</f>
        <v>12290</v>
      </c>
      <c r="N351" s="374"/>
      <c r="O351" s="374"/>
      <c r="P351" s="374"/>
      <c r="Q351" s="108">
        <f t="shared" si="30"/>
        <v>12290</v>
      </c>
    </row>
    <row r="352" spans="1:17" ht="17.100000000000001" customHeight="1" x14ac:dyDescent="0.25">
      <c r="A352" s="397"/>
      <c r="B352" s="397"/>
      <c r="C352" s="555" t="s">
        <v>769</v>
      </c>
      <c r="D352" s="545" t="s">
        <v>912</v>
      </c>
      <c r="E352" s="410"/>
      <c r="F352" s="410">
        <v>154440</v>
      </c>
      <c r="G352" s="374"/>
      <c r="H352" s="374"/>
      <c r="I352" s="374"/>
      <c r="J352" s="374"/>
      <c r="K352" s="374"/>
      <c r="L352" s="108"/>
      <c r="M352" s="108">
        <f>1716+táj2!M352</f>
        <v>1716</v>
      </c>
      <c r="N352" s="374"/>
      <c r="O352" s="374"/>
      <c r="P352" s="374"/>
      <c r="Q352" s="108">
        <f t="shared" si="30"/>
        <v>1716</v>
      </c>
    </row>
    <row r="353" spans="1:17" ht="25.5" customHeight="1" x14ac:dyDescent="0.25">
      <c r="A353" s="397"/>
      <c r="B353" s="397"/>
      <c r="C353" s="555" t="s">
        <v>857</v>
      </c>
      <c r="D353" s="568" t="s">
        <v>980</v>
      </c>
      <c r="E353" s="410"/>
      <c r="F353" s="410">
        <v>155471</v>
      </c>
      <c r="G353" s="374"/>
      <c r="H353" s="374"/>
      <c r="I353" s="374"/>
      <c r="J353" s="374"/>
      <c r="K353" s="374"/>
      <c r="L353" s="108">
        <f>8019+táj2!L353</f>
        <v>8019</v>
      </c>
      <c r="M353" s="108"/>
      <c r="N353" s="374"/>
      <c r="O353" s="374"/>
      <c r="P353" s="374"/>
      <c r="Q353" s="108">
        <f t="shared" si="30"/>
        <v>8019</v>
      </c>
    </row>
    <row r="354" spans="1:17" ht="17.100000000000001" customHeight="1" x14ac:dyDescent="0.25">
      <c r="A354" s="397"/>
      <c r="B354" s="397"/>
      <c r="C354" s="303" t="s">
        <v>80</v>
      </c>
      <c r="D354" s="304" t="s">
        <v>553</v>
      </c>
      <c r="E354" s="485"/>
      <c r="F354" s="543"/>
      <c r="G354" s="374"/>
      <c r="H354" s="374"/>
      <c r="I354" s="374"/>
      <c r="J354" s="374"/>
      <c r="K354" s="374"/>
      <c r="L354" s="108"/>
      <c r="M354" s="108"/>
      <c r="N354" s="374"/>
      <c r="O354" s="374"/>
      <c r="P354" s="374"/>
      <c r="Q354" s="108"/>
    </row>
    <row r="355" spans="1:17" ht="17.100000000000001" customHeight="1" x14ac:dyDescent="0.25">
      <c r="A355" s="539"/>
      <c r="B355" s="539"/>
      <c r="C355" s="764" t="s">
        <v>1120</v>
      </c>
      <c r="D355" s="781" t="s">
        <v>1140</v>
      </c>
      <c r="E355" s="756"/>
      <c r="F355" s="537">
        <v>154519</v>
      </c>
      <c r="G355" s="537"/>
      <c r="H355" s="537"/>
      <c r="I355" s="108">
        <f>135+táj2!I355</f>
        <v>135</v>
      </c>
      <c r="J355" s="108"/>
      <c r="K355" s="108"/>
      <c r="L355" s="108"/>
      <c r="M355" s="108">
        <f>500+táj2!M355</f>
        <v>500</v>
      </c>
      <c r="N355" s="537"/>
      <c r="O355" s="537"/>
      <c r="P355" s="537"/>
      <c r="Q355" s="108">
        <f t="shared" si="30"/>
        <v>635</v>
      </c>
    </row>
    <row r="356" spans="1:17" ht="17.100000000000001" customHeight="1" x14ac:dyDescent="0.25">
      <c r="A356" s="156"/>
      <c r="B356" s="156"/>
      <c r="C356" s="539"/>
      <c r="D356" s="528" t="s">
        <v>968</v>
      </c>
      <c r="E356" s="485"/>
      <c r="F356" s="543"/>
      <c r="G356" s="108"/>
      <c r="H356" s="108"/>
      <c r="I356" s="108"/>
      <c r="J356" s="108"/>
      <c r="K356" s="108"/>
      <c r="L356" s="108"/>
      <c r="M356" s="108"/>
      <c r="N356" s="108"/>
      <c r="O356" s="108"/>
      <c r="P356" s="108"/>
      <c r="Q356" s="108"/>
    </row>
    <row r="357" spans="1:17" ht="17.100000000000001" customHeight="1" x14ac:dyDescent="0.25">
      <c r="A357" s="156"/>
      <c r="B357" s="156"/>
      <c r="C357" s="184" t="s">
        <v>554</v>
      </c>
      <c r="D357" s="545" t="s">
        <v>555</v>
      </c>
      <c r="E357" s="581"/>
      <c r="F357" s="537">
        <v>152562</v>
      </c>
      <c r="G357" s="108"/>
      <c r="H357" s="108"/>
      <c r="I357" s="108"/>
      <c r="J357" s="108"/>
      <c r="K357" s="108"/>
      <c r="L357" s="108">
        <f>15745+táj2!L357</f>
        <v>15745</v>
      </c>
      <c r="M357" s="108"/>
      <c r="N357" s="108"/>
      <c r="O357" s="108"/>
      <c r="P357" s="108"/>
      <c r="Q357" s="108">
        <f t="shared" si="30"/>
        <v>15745</v>
      </c>
    </row>
    <row r="358" spans="1:17" ht="17.100000000000001" customHeight="1" x14ac:dyDescent="0.25">
      <c r="A358" s="397"/>
      <c r="B358" s="397"/>
      <c r="C358" s="582" t="s">
        <v>81</v>
      </c>
      <c r="D358" s="580" t="s">
        <v>556</v>
      </c>
      <c r="E358" s="485"/>
      <c r="F358" s="543"/>
      <c r="G358" s="374"/>
      <c r="H358" s="374"/>
      <c r="I358" s="374"/>
      <c r="J358" s="374"/>
      <c r="K358" s="374"/>
      <c r="L358" s="108"/>
      <c r="M358" s="108"/>
      <c r="N358" s="374"/>
      <c r="O358" s="374"/>
      <c r="P358" s="374"/>
      <c r="Q358" s="374"/>
    </row>
    <row r="359" spans="1:17" ht="17.100000000000001" customHeight="1" x14ac:dyDescent="0.25">
      <c r="A359" s="397"/>
      <c r="B359" s="397"/>
      <c r="C359" s="302" t="s">
        <v>82</v>
      </c>
      <c r="D359" s="305" t="s">
        <v>557</v>
      </c>
      <c r="E359" s="485"/>
      <c r="F359" s="543"/>
      <c r="G359" s="374"/>
      <c r="H359" s="374"/>
      <c r="I359" s="374"/>
      <c r="J359" s="374"/>
      <c r="K359" s="374"/>
      <c r="L359" s="108"/>
      <c r="M359" s="108"/>
      <c r="N359" s="374"/>
      <c r="O359" s="374"/>
      <c r="P359" s="374"/>
      <c r="Q359" s="374"/>
    </row>
    <row r="360" spans="1:17" ht="17.100000000000001" customHeight="1" x14ac:dyDescent="0.25">
      <c r="A360" s="397"/>
      <c r="B360" s="397"/>
      <c r="C360" s="555" t="s">
        <v>770</v>
      </c>
      <c r="D360" s="583" t="s">
        <v>558</v>
      </c>
      <c r="E360" s="485"/>
      <c r="F360" s="537">
        <v>152801</v>
      </c>
      <c r="G360" s="374"/>
      <c r="H360" s="374"/>
      <c r="I360" s="108">
        <f>1479+táj2!I360</f>
        <v>1321</v>
      </c>
      <c r="J360" s="108"/>
      <c r="K360" s="108"/>
      <c r="L360" s="108">
        <f>4563+táj2!L360</f>
        <v>1006</v>
      </c>
      <c r="M360" s="108"/>
      <c r="N360" s="374"/>
      <c r="O360" s="374"/>
      <c r="P360" s="374"/>
      <c r="Q360" s="374">
        <f t="shared" si="30"/>
        <v>2327</v>
      </c>
    </row>
    <row r="361" spans="1:17" ht="15" customHeight="1" x14ac:dyDescent="0.25">
      <c r="A361" s="397"/>
      <c r="B361" s="397"/>
      <c r="C361" s="584" t="s">
        <v>83</v>
      </c>
      <c r="D361" s="585" t="s">
        <v>559</v>
      </c>
      <c r="E361" s="410"/>
      <c r="F361" s="537"/>
      <c r="G361" s="396"/>
      <c r="H361" s="396"/>
      <c r="I361" s="396"/>
      <c r="J361" s="396"/>
      <c r="K361" s="396"/>
      <c r="L361" s="108"/>
      <c r="M361" s="108"/>
      <c r="N361" s="396"/>
      <c r="O361" s="396"/>
      <c r="P361" s="396"/>
      <c r="Q361" s="374"/>
    </row>
    <row r="362" spans="1:17" ht="17.100000000000001" customHeight="1" x14ac:dyDescent="0.25">
      <c r="A362" s="397"/>
      <c r="B362" s="397"/>
      <c r="C362" s="555" t="s">
        <v>560</v>
      </c>
      <c r="D362" s="291" t="s">
        <v>562</v>
      </c>
      <c r="E362" s="410"/>
      <c r="F362" s="537">
        <v>152947</v>
      </c>
      <c r="G362" s="108"/>
      <c r="H362" s="108"/>
      <c r="I362" s="108"/>
      <c r="J362" s="108"/>
      <c r="K362" s="108"/>
      <c r="L362" s="108">
        <f>1000+táj2!L362</f>
        <v>1000</v>
      </c>
      <c r="M362" s="108"/>
      <c r="N362" s="108"/>
      <c r="O362" s="108"/>
      <c r="P362" s="108"/>
      <c r="Q362" s="108">
        <f t="shared" ref="Q362:Q366" si="31">SUM(G362:P362)</f>
        <v>1000</v>
      </c>
    </row>
    <row r="363" spans="1:17" ht="17.100000000000001" customHeight="1" x14ac:dyDescent="0.25">
      <c r="A363" s="411"/>
      <c r="B363" s="411"/>
      <c r="C363" s="542"/>
      <c r="D363" s="528" t="s">
        <v>968</v>
      </c>
      <c r="E363" s="410"/>
      <c r="F363" s="537"/>
      <c r="G363" s="408"/>
      <c r="H363" s="408"/>
      <c r="I363" s="408"/>
      <c r="J363" s="408"/>
      <c r="K363" s="408"/>
      <c r="L363" s="108"/>
      <c r="M363" s="108"/>
      <c r="N363" s="408"/>
      <c r="O363" s="408"/>
      <c r="P363" s="408"/>
      <c r="Q363" s="108"/>
    </row>
    <row r="364" spans="1:17" ht="23.4" customHeight="1" x14ac:dyDescent="0.25">
      <c r="A364" s="411"/>
      <c r="B364" s="411"/>
      <c r="C364" s="544" t="s">
        <v>563</v>
      </c>
      <c r="D364" s="586" t="s">
        <v>771</v>
      </c>
      <c r="E364" s="410"/>
      <c r="F364" s="537">
        <v>152937</v>
      </c>
      <c r="G364" s="408"/>
      <c r="H364" s="408"/>
      <c r="I364" s="108">
        <f>25560+táj2!I364</f>
        <v>27060</v>
      </c>
      <c r="J364" s="108"/>
      <c r="K364" s="108"/>
      <c r="L364" s="108">
        <f>48824+táj2!L364</f>
        <v>42471</v>
      </c>
      <c r="M364" s="108"/>
      <c r="N364" s="408"/>
      <c r="O364" s="408"/>
      <c r="P364" s="408"/>
      <c r="Q364" s="408">
        <f t="shared" si="31"/>
        <v>69531</v>
      </c>
    </row>
    <row r="365" spans="1:17" ht="17.100000000000001" customHeight="1" x14ac:dyDescent="0.25">
      <c r="A365" s="411"/>
      <c r="B365" s="411"/>
      <c r="C365" s="544" t="s">
        <v>564</v>
      </c>
      <c r="D365" s="545" t="s">
        <v>566</v>
      </c>
      <c r="E365" s="410"/>
      <c r="F365" s="537">
        <v>152942</v>
      </c>
      <c r="G365" s="408"/>
      <c r="H365" s="408"/>
      <c r="I365" s="108">
        <f>248+táj2!I365</f>
        <v>248</v>
      </c>
      <c r="J365" s="408"/>
      <c r="K365" s="408"/>
      <c r="L365" s="108">
        <f>2000+táj2!L365</f>
        <v>2000</v>
      </c>
      <c r="M365" s="108"/>
      <c r="N365" s="408"/>
      <c r="O365" s="408"/>
      <c r="P365" s="408"/>
      <c r="Q365" s="408">
        <f t="shared" si="31"/>
        <v>2248</v>
      </c>
    </row>
    <row r="366" spans="1:17" ht="17.100000000000001" customHeight="1" x14ac:dyDescent="0.25">
      <c r="A366" s="466"/>
      <c r="B366" s="466"/>
      <c r="C366" s="544" t="s">
        <v>565</v>
      </c>
      <c r="D366" s="568" t="s">
        <v>861</v>
      </c>
      <c r="E366" s="410"/>
      <c r="F366" s="410">
        <v>152950</v>
      </c>
      <c r="G366" s="468"/>
      <c r="H366" s="468"/>
      <c r="I366" s="468"/>
      <c r="J366" s="468"/>
      <c r="K366" s="108">
        <f>200+táj2!K366</f>
        <v>200</v>
      </c>
      <c r="L366" s="108">
        <f>10809+táj2!L366</f>
        <v>8532</v>
      </c>
      <c r="M366" s="108"/>
      <c r="N366" s="468"/>
      <c r="O366" s="468"/>
      <c r="P366" s="468"/>
      <c r="Q366" s="408">
        <f t="shared" si="31"/>
        <v>8732</v>
      </c>
    </row>
    <row r="367" spans="1:17" ht="20.25" customHeight="1" x14ac:dyDescent="0.25">
      <c r="A367" s="151"/>
      <c r="B367" s="151"/>
      <c r="C367" s="152"/>
      <c r="D367" s="862" t="s">
        <v>571</v>
      </c>
      <c r="E367" s="863"/>
      <c r="F367" s="155"/>
      <c r="G367" s="155">
        <f t="shared" ref="G367:Q367" si="32">SUM(G299:G366)</f>
        <v>12048</v>
      </c>
      <c r="H367" s="155">
        <f t="shared" si="32"/>
        <v>1687</v>
      </c>
      <c r="I367" s="155">
        <f t="shared" si="32"/>
        <v>2616044</v>
      </c>
      <c r="J367" s="155">
        <f t="shared" si="32"/>
        <v>0</v>
      </c>
      <c r="K367" s="155">
        <f t="shared" si="32"/>
        <v>823462</v>
      </c>
      <c r="L367" s="155">
        <f t="shared" si="32"/>
        <v>136088</v>
      </c>
      <c r="M367" s="155">
        <f t="shared" si="32"/>
        <v>200597</v>
      </c>
      <c r="N367" s="155">
        <f t="shared" si="32"/>
        <v>0</v>
      </c>
      <c r="O367" s="155">
        <f t="shared" si="32"/>
        <v>0</v>
      </c>
      <c r="P367" s="155">
        <f t="shared" si="32"/>
        <v>0</v>
      </c>
      <c r="Q367" s="155">
        <f t="shared" si="32"/>
        <v>3789926</v>
      </c>
    </row>
    <row r="368" spans="1:17" ht="15" customHeight="1" x14ac:dyDescent="0.25">
      <c r="A368" s="129">
        <v>1</v>
      </c>
      <c r="B368" s="129">
        <v>16</v>
      </c>
      <c r="C368" s="145"/>
      <c r="D368" s="178" t="s">
        <v>572</v>
      </c>
      <c r="E368" s="157"/>
      <c r="F368" s="108"/>
      <c r="G368" s="108"/>
      <c r="H368" s="134"/>
      <c r="I368" s="134"/>
      <c r="J368" s="134"/>
      <c r="K368" s="134"/>
      <c r="L368" s="134"/>
      <c r="M368" s="108"/>
      <c r="N368" s="108"/>
      <c r="O368" s="108"/>
      <c r="P368" s="108"/>
      <c r="Q368" s="108"/>
    </row>
    <row r="369" spans="1:17" ht="15" customHeight="1" x14ac:dyDescent="0.25">
      <c r="A369" s="129"/>
      <c r="B369" s="129"/>
      <c r="C369" s="145"/>
      <c r="D369" s="146" t="s">
        <v>215</v>
      </c>
      <c r="E369" s="157"/>
      <c r="F369" s="108"/>
      <c r="G369" s="108"/>
      <c r="H369" s="134"/>
      <c r="I369" s="134"/>
      <c r="J369" s="134"/>
      <c r="K369" s="134"/>
      <c r="L369" s="134"/>
      <c r="M369" s="108"/>
      <c r="N369" s="108"/>
      <c r="O369" s="108"/>
      <c r="P369" s="108"/>
      <c r="Q369" s="108"/>
    </row>
    <row r="370" spans="1:17" ht="15" customHeight="1" x14ac:dyDescent="0.25">
      <c r="A370" s="129"/>
      <c r="B370" s="129"/>
      <c r="C370" s="145"/>
      <c r="D370" s="143" t="s">
        <v>573</v>
      </c>
      <c r="E370" s="108">
        <v>2</v>
      </c>
      <c r="F370" s="108">
        <v>161910</v>
      </c>
      <c r="G370" s="108"/>
      <c r="H370" s="108"/>
      <c r="I370" s="108">
        <f>3496+táj2!I370</f>
        <v>3353</v>
      </c>
      <c r="J370" s="108"/>
      <c r="K370" s="108"/>
      <c r="L370" s="108">
        <f>250+táj2!L370</f>
        <v>393</v>
      </c>
      <c r="M370" s="108">
        <f>750+táj2!M370</f>
        <v>750</v>
      </c>
      <c r="N370" s="108"/>
      <c r="O370" s="108"/>
      <c r="P370" s="108"/>
      <c r="Q370" s="108">
        <f t="shared" ref="Q370:Q373" si="33">SUM(G370:P370)</f>
        <v>4496</v>
      </c>
    </row>
    <row r="371" spans="1:17" ht="15" customHeight="1" x14ac:dyDescent="0.25">
      <c r="A371" s="129"/>
      <c r="B371" s="129"/>
      <c r="C371" s="145"/>
      <c r="D371" s="143" t="s">
        <v>574</v>
      </c>
      <c r="E371" s="108">
        <v>1</v>
      </c>
      <c r="F371" s="108">
        <v>161908</v>
      </c>
      <c r="G371" s="108"/>
      <c r="H371" s="108"/>
      <c r="I371" s="108">
        <f>24893+táj2!I371</f>
        <v>24586</v>
      </c>
      <c r="J371" s="108"/>
      <c r="K371" s="108"/>
      <c r="L371" s="108"/>
      <c r="M371" s="108">
        <f>1249+táj2!M371</f>
        <v>1249</v>
      </c>
      <c r="N371" s="108">
        <f>2239+táj2!N371</f>
        <v>3289</v>
      </c>
      <c r="O371" s="108"/>
      <c r="P371" s="108"/>
      <c r="Q371" s="108">
        <f t="shared" si="33"/>
        <v>29124</v>
      </c>
    </row>
    <row r="372" spans="1:17" ht="29.25" customHeight="1" x14ac:dyDescent="0.25">
      <c r="A372" s="129"/>
      <c r="B372" s="129"/>
      <c r="C372" s="145"/>
      <c r="D372" s="150" t="s">
        <v>575</v>
      </c>
      <c r="E372" s="108">
        <v>2</v>
      </c>
      <c r="F372" s="108">
        <v>161911</v>
      </c>
      <c r="G372" s="108"/>
      <c r="H372" s="108"/>
      <c r="I372" s="108">
        <f>3041+táj2!I372</f>
        <v>5408</v>
      </c>
      <c r="J372" s="108"/>
      <c r="K372" s="108"/>
      <c r="L372" s="108">
        <f>2749+táj2!L372</f>
        <v>3663</v>
      </c>
      <c r="M372" s="108">
        <f>4907+táj2!M372</f>
        <v>4907</v>
      </c>
      <c r="N372" s="108"/>
      <c r="O372" s="108"/>
      <c r="P372" s="108"/>
      <c r="Q372" s="108">
        <f t="shared" si="33"/>
        <v>13978</v>
      </c>
    </row>
    <row r="373" spans="1:17" ht="24" customHeight="1" x14ac:dyDescent="0.25">
      <c r="A373" s="129"/>
      <c r="B373" s="129"/>
      <c r="C373" s="145"/>
      <c r="D373" s="162" t="s">
        <v>576</v>
      </c>
      <c r="E373" s="108">
        <v>2</v>
      </c>
      <c r="F373" s="108">
        <v>161904</v>
      </c>
      <c r="G373" s="108"/>
      <c r="H373" s="108">
        <f>33+táj2!H373</f>
        <v>33</v>
      </c>
      <c r="I373" s="108">
        <f>7045+táj2!I373</f>
        <v>7045</v>
      </c>
      <c r="J373" s="108"/>
      <c r="K373" s="108">
        <f>126+táj2!K373</f>
        <v>126</v>
      </c>
      <c r="L373" s="108"/>
      <c r="M373" s="108"/>
      <c r="N373" s="108"/>
      <c r="O373" s="108"/>
      <c r="P373" s="108"/>
      <c r="Q373" s="108">
        <f t="shared" si="33"/>
        <v>7204</v>
      </c>
    </row>
    <row r="374" spans="1:17" ht="14.1" customHeight="1" x14ac:dyDescent="0.25">
      <c r="A374" s="129"/>
      <c r="B374" s="129"/>
      <c r="C374" s="145"/>
      <c r="D374" s="142" t="s">
        <v>229</v>
      </c>
      <c r="E374" s="186"/>
      <c r="F374" s="108"/>
      <c r="G374" s="108"/>
      <c r="H374" s="134"/>
      <c r="I374" s="108"/>
      <c r="J374" s="134"/>
      <c r="K374" s="134"/>
      <c r="L374" s="134"/>
      <c r="M374" s="108"/>
      <c r="N374" s="108"/>
      <c r="O374" s="108"/>
      <c r="P374" s="108"/>
      <c r="Q374" s="108"/>
    </row>
    <row r="375" spans="1:17" ht="14.1" customHeight="1" x14ac:dyDescent="0.25">
      <c r="A375" s="129"/>
      <c r="B375" s="129"/>
      <c r="C375" s="145"/>
      <c r="D375" s="306" t="s">
        <v>577</v>
      </c>
      <c r="E375" s="108">
        <v>2</v>
      </c>
      <c r="F375" s="108">
        <v>151606</v>
      </c>
      <c r="G375" s="108"/>
      <c r="H375" s="108"/>
      <c r="I375" s="108"/>
      <c r="J375" s="108"/>
      <c r="K375" s="108">
        <f>1025+táj2!K375</f>
        <v>1025</v>
      </c>
      <c r="L375" s="108"/>
      <c r="M375" s="108"/>
      <c r="N375" s="108">
        <f>200+táj2!N375</f>
        <v>200</v>
      </c>
      <c r="O375" s="108"/>
      <c r="P375" s="108"/>
      <c r="Q375" s="108">
        <f>SUM(G375:P375)</f>
        <v>1225</v>
      </c>
    </row>
    <row r="376" spans="1:17" ht="16.5" customHeight="1" x14ac:dyDescent="0.25">
      <c r="A376" s="129"/>
      <c r="B376" s="129"/>
      <c r="C376" s="145"/>
      <c r="D376" s="142" t="s">
        <v>507</v>
      </c>
      <c r="E376" s="186"/>
      <c r="F376" s="108"/>
      <c r="G376" s="108"/>
      <c r="H376" s="134"/>
      <c r="I376" s="108"/>
      <c r="J376" s="134"/>
      <c r="K376" s="134"/>
      <c r="L376" s="134"/>
      <c r="M376" s="108"/>
      <c r="N376" s="108"/>
      <c r="O376" s="108"/>
      <c r="P376" s="108"/>
      <c r="Q376" s="108"/>
    </row>
    <row r="377" spans="1:17" ht="24" customHeight="1" x14ac:dyDescent="0.25">
      <c r="A377" s="129"/>
      <c r="B377" s="129"/>
      <c r="C377" s="145"/>
      <c r="D377" s="162" t="s">
        <v>917</v>
      </c>
      <c r="E377" s="108">
        <v>2</v>
      </c>
      <c r="F377" s="108">
        <v>151203</v>
      </c>
      <c r="G377" s="108"/>
      <c r="H377" s="108"/>
      <c r="I377" s="108">
        <f>13264+táj2!I377</f>
        <v>15397</v>
      </c>
      <c r="J377" s="108"/>
      <c r="K377" s="108"/>
      <c r="L377" s="108">
        <f>0+táj2!L377</f>
        <v>9959</v>
      </c>
      <c r="M377" s="108"/>
      <c r="N377" s="108"/>
      <c r="O377" s="108"/>
      <c r="P377" s="108"/>
      <c r="Q377" s="108">
        <f>SUM(G377:P377)</f>
        <v>25356</v>
      </c>
    </row>
    <row r="378" spans="1:17" ht="14.1" customHeight="1" x14ac:dyDescent="0.25">
      <c r="A378" s="187"/>
      <c r="B378" s="187"/>
      <c r="C378" s="188"/>
      <c r="D378" s="300" t="s">
        <v>578</v>
      </c>
      <c r="E378" s="180"/>
      <c r="F378" s="182"/>
      <c r="G378" s="207">
        <f t="shared" ref="G378:Q378" si="34">SUM(G370:G377)</f>
        <v>0</v>
      </c>
      <c r="H378" s="207">
        <f t="shared" si="34"/>
        <v>33</v>
      </c>
      <c r="I378" s="207">
        <f t="shared" si="34"/>
        <v>55789</v>
      </c>
      <c r="J378" s="207">
        <f t="shared" si="34"/>
        <v>0</v>
      </c>
      <c r="K378" s="207">
        <f t="shared" si="34"/>
        <v>1151</v>
      </c>
      <c r="L378" s="207">
        <f t="shared" si="34"/>
        <v>14015</v>
      </c>
      <c r="M378" s="207">
        <f t="shared" si="34"/>
        <v>6906</v>
      </c>
      <c r="N378" s="207">
        <f t="shared" si="34"/>
        <v>3489</v>
      </c>
      <c r="O378" s="207">
        <f t="shared" si="34"/>
        <v>0</v>
      </c>
      <c r="P378" s="207">
        <f t="shared" si="34"/>
        <v>0</v>
      </c>
      <c r="Q378" s="207">
        <f t="shared" si="34"/>
        <v>81383</v>
      </c>
    </row>
    <row r="379" spans="1:17" ht="14.1" customHeight="1" x14ac:dyDescent="0.25">
      <c r="A379" s="129"/>
      <c r="B379" s="129"/>
      <c r="C379" s="145"/>
      <c r="D379" s="175" t="s">
        <v>579</v>
      </c>
      <c r="E379" s="157"/>
      <c r="F379" s="108"/>
      <c r="G379" s="134"/>
      <c r="H379" s="134"/>
      <c r="I379" s="134"/>
      <c r="J379" s="108"/>
      <c r="K379" s="108"/>
      <c r="L379" s="108"/>
      <c r="M379" s="108"/>
      <c r="N379" s="108"/>
      <c r="O379" s="108"/>
      <c r="P379" s="108"/>
      <c r="Q379" s="108"/>
    </row>
    <row r="380" spans="1:17" ht="17.25" customHeight="1" x14ac:dyDescent="0.25">
      <c r="A380" s="129"/>
      <c r="B380" s="129"/>
      <c r="C380" s="307" t="s">
        <v>90</v>
      </c>
      <c r="D380" s="308" t="s">
        <v>519</v>
      </c>
      <c r="E380" s="157"/>
      <c r="F380" s="108"/>
      <c r="G380" s="134"/>
      <c r="H380" s="134"/>
      <c r="I380" s="134"/>
      <c r="J380" s="108"/>
      <c r="K380" s="108"/>
      <c r="L380" s="108"/>
      <c r="M380" s="108"/>
      <c r="N380" s="108"/>
      <c r="O380" s="108"/>
      <c r="P380" s="108"/>
      <c r="Q380" s="108"/>
    </row>
    <row r="381" spans="1:17" ht="15" customHeight="1" x14ac:dyDescent="0.25">
      <c r="A381" s="129"/>
      <c r="B381" s="129"/>
      <c r="C381" s="587" t="s">
        <v>333</v>
      </c>
      <c r="D381" s="588" t="s">
        <v>580</v>
      </c>
      <c r="E381" s="410"/>
      <c r="F381" s="410">
        <v>164106</v>
      </c>
      <c r="G381" s="134"/>
      <c r="H381" s="134"/>
      <c r="I381" s="134">
        <f>99704+táj2!I381</f>
        <v>99704</v>
      </c>
      <c r="J381" s="134"/>
      <c r="K381" s="134"/>
      <c r="L381" s="134"/>
      <c r="M381" s="134">
        <f>306375+táj2!M381</f>
        <v>283342</v>
      </c>
      <c r="N381" s="134"/>
      <c r="O381" s="134"/>
      <c r="P381" s="134"/>
      <c r="Q381" s="108">
        <f>SUM(G381:P381)</f>
        <v>383046</v>
      </c>
    </row>
    <row r="382" spans="1:17" ht="15.6" customHeight="1" x14ac:dyDescent="0.25">
      <c r="A382" s="129"/>
      <c r="B382" s="129"/>
      <c r="C382" s="587" t="s">
        <v>520</v>
      </c>
      <c r="D382" s="588" t="s">
        <v>772</v>
      </c>
      <c r="E382" s="410"/>
      <c r="F382" s="410">
        <v>161909</v>
      </c>
      <c r="G382" s="134"/>
      <c r="H382" s="134"/>
      <c r="I382" s="134">
        <v>450</v>
      </c>
      <c r="J382" s="134"/>
      <c r="K382" s="134"/>
      <c r="L382" s="134">
        <f>19183+táj2!L382</f>
        <v>19183</v>
      </c>
      <c r="M382" s="134">
        <f>5589+táj2!M382</f>
        <v>5589</v>
      </c>
      <c r="N382" s="134"/>
      <c r="O382" s="134"/>
      <c r="P382" s="134"/>
      <c r="Q382" s="108">
        <f>SUM(G382:P382)</f>
        <v>25222</v>
      </c>
    </row>
    <row r="383" spans="1:17" ht="15.6" customHeight="1" x14ac:dyDescent="0.25">
      <c r="A383" s="372"/>
      <c r="B383" s="372"/>
      <c r="C383" s="587" t="s">
        <v>521</v>
      </c>
      <c r="D383" s="588" t="s">
        <v>981</v>
      </c>
      <c r="E383" s="410"/>
      <c r="F383" s="410">
        <v>162170</v>
      </c>
      <c r="G383" s="396"/>
      <c r="H383" s="396"/>
      <c r="I383" s="134"/>
      <c r="J383" s="396"/>
      <c r="K383" s="396"/>
      <c r="L383" s="134">
        <f>15000+táj2!L383</f>
        <v>15000</v>
      </c>
      <c r="M383" s="134"/>
      <c r="N383" s="396"/>
      <c r="O383" s="396"/>
      <c r="P383" s="396"/>
      <c r="Q383" s="108">
        <f>SUM(G383:P383)</f>
        <v>15000</v>
      </c>
    </row>
    <row r="384" spans="1:17" ht="15" customHeight="1" x14ac:dyDescent="0.25">
      <c r="A384" s="372"/>
      <c r="B384" s="372"/>
      <c r="C384" s="544"/>
      <c r="D384" s="528" t="s">
        <v>968</v>
      </c>
      <c r="E384" s="410"/>
      <c r="F384" s="410"/>
      <c r="G384" s="396"/>
      <c r="H384" s="396"/>
      <c r="I384" s="396"/>
      <c r="J384" s="396"/>
      <c r="K384" s="396"/>
      <c r="L384" s="134"/>
      <c r="M384" s="396"/>
      <c r="N384" s="396"/>
      <c r="O384" s="396"/>
      <c r="P384" s="396"/>
      <c r="Q384" s="108"/>
    </row>
    <row r="385" spans="1:17" ht="15.6" customHeight="1" x14ac:dyDescent="0.25">
      <c r="A385" s="372"/>
      <c r="B385" s="372"/>
      <c r="C385" s="544" t="s">
        <v>335</v>
      </c>
      <c r="D385" s="541" t="s">
        <v>581</v>
      </c>
      <c r="E385" s="410"/>
      <c r="F385" s="410">
        <v>162107</v>
      </c>
      <c r="G385" s="396"/>
      <c r="H385" s="396"/>
      <c r="I385" s="396"/>
      <c r="J385" s="396"/>
      <c r="K385" s="396"/>
      <c r="L385" s="134">
        <f>0+táj2!L385</f>
        <v>0</v>
      </c>
      <c r="M385" s="396"/>
      <c r="N385" s="396"/>
      <c r="O385" s="396"/>
      <c r="P385" s="396"/>
      <c r="Q385" s="108">
        <f t="shared" ref="Q385:Q386" si="35">SUM(G385:P385)</f>
        <v>0</v>
      </c>
    </row>
    <row r="386" spans="1:17" ht="22.95" customHeight="1" x14ac:dyDescent="0.25">
      <c r="A386" s="129"/>
      <c r="B386" s="129"/>
      <c r="C386" s="544" t="s">
        <v>337</v>
      </c>
      <c r="D386" s="545" t="s">
        <v>915</v>
      </c>
      <c r="E386" s="410"/>
      <c r="F386" s="410">
        <v>164207</v>
      </c>
      <c r="G386" s="134">
        <f>4181+táj2!G386</f>
        <v>4181</v>
      </c>
      <c r="H386" s="134">
        <f>544+táj2!H386</f>
        <v>544</v>
      </c>
      <c r="I386" s="134">
        <f>214310+táj2!I386</f>
        <v>214310</v>
      </c>
      <c r="J386" s="134"/>
      <c r="K386" s="134"/>
      <c r="L386" s="134"/>
      <c r="M386" s="134">
        <f>1247612+táj2!M386</f>
        <v>1247612</v>
      </c>
      <c r="N386" s="134">
        <f>0+táj2!N386</f>
        <v>23033</v>
      </c>
      <c r="O386" s="134"/>
      <c r="P386" s="134"/>
      <c r="Q386" s="108">
        <f t="shared" si="35"/>
        <v>1489680</v>
      </c>
    </row>
    <row r="387" spans="1:17" ht="15.45" customHeight="1" x14ac:dyDescent="0.25">
      <c r="A387" s="129"/>
      <c r="B387" s="129"/>
      <c r="C387" s="544" t="s">
        <v>523</v>
      </c>
      <c r="D387" s="545" t="s">
        <v>904</v>
      </c>
      <c r="E387" s="410"/>
      <c r="F387" s="410">
        <v>162141</v>
      </c>
      <c r="G387" s="134"/>
      <c r="H387" s="134"/>
      <c r="I387" s="134"/>
      <c r="J387" s="134"/>
      <c r="K387" s="134"/>
      <c r="L387" s="134">
        <f>991+táj2!L387</f>
        <v>991</v>
      </c>
      <c r="M387" s="134"/>
      <c r="N387" s="134"/>
      <c r="O387" s="134"/>
      <c r="P387" s="134"/>
      <c r="Q387" s="108">
        <f>SUM(G387:P387)</f>
        <v>991</v>
      </c>
    </row>
    <row r="388" spans="1:17" ht="15.45" customHeight="1" x14ac:dyDescent="0.25">
      <c r="A388" s="129"/>
      <c r="B388" s="129"/>
      <c r="C388" s="544" t="s">
        <v>525</v>
      </c>
      <c r="D388" s="545" t="s">
        <v>905</v>
      </c>
      <c r="E388" s="410"/>
      <c r="F388" s="410">
        <v>162169</v>
      </c>
      <c r="G388" s="134"/>
      <c r="H388" s="134"/>
      <c r="I388" s="134"/>
      <c r="J388" s="134"/>
      <c r="K388" s="134"/>
      <c r="L388" s="134">
        <f>533+táj2!L388</f>
        <v>533</v>
      </c>
      <c r="M388" s="134"/>
      <c r="N388" s="134"/>
      <c r="O388" s="134"/>
      <c r="P388" s="134"/>
      <c r="Q388" s="108">
        <f>SUM(G388:P388)</f>
        <v>533</v>
      </c>
    </row>
    <row r="389" spans="1:17" ht="15.45" customHeight="1" x14ac:dyDescent="0.25">
      <c r="A389" s="129"/>
      <c r="B389" s="129"/>
      <c r="C389" s="580" t="s">
        <v>89</v>
      </c>
      <c r="D389" s="580" t="s">
        <v>528</v>
      </c>
      <c r="E389" s="410"/>
      <c r="F389" s="410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08"/>
    </row>
    <row r="390" spans="1:17" ht="15.45" customHeight="1" x14ac:dyDescent="0.25">
      <c r="A390" s="129"/>
      <c r="B390" s="129"/>
      <c r="C390" s="587" t="s">
        <v>432</v>
      </c>
      <c r="D390" s="589" t="s">
        <v>582</v>
      </c>
      <c r="E390" s="410"/>
      <c r="F390" s="410">
        <v>164204</v>
      </c>
      <c r="G390" s="134"/>
      <c r="H390" s="134"/>
      <c r="I390" s="134">
        <f>46656+táj2!I390</f>
        <v>46656</v>
      </c>
      <c r="J390" s="134"/>
      <c r="K390" s="134"/>
      <c r="L390" s="134">
        <f>3200+táj2!L390</f>
        <v>3200</v>
      </c>
      <c r="M390" s="134">
        <f>58093+táj2!M390</f>
        <v>58093</v>
      </c>
      <c r="N390" s="134"/>
      <c r="O390" s="134"/>
      <c r="P390" s="134"/>
      <c r="Q390" s="108">
        <f>SUM(G390:P390)</f>
        <v>107949</v>
      </c>
    </row>
    <row r="391" spans="1:17" ht="15.45" customHeight="1" x14ac:dyDescent="0.25">
      <c r="A391" s="511"/>
      <c r="B391" s="511"/>
      <c r="C391" s="587" t="s">
        <v>1061</v>
      </c>
      <c r="D391" s="589" t="s">
        <v>1062</v>
      </c>
      <c r="E391" s="728"/>
      <c r="F391" s="728">
        <v>162221</v>
      </c>
      <c r="G391" s="534"/>
      <c r="H391" s="534"/>
      <c r="I391" s="534"/>
      <c r="J391" s="534"/>
      <c r="K391" s="534"/>
      <c r="L391" s="134">
        <f>13000+táj2!L391</f>
        <v>1055</v>
      </c>
      <c r="M391" s="134">
        <f>0+táj2!M391</f>
        <v>14082</v>
      </c>
      <c r="N391" s="534"/>
      <c r="O391" s="534"/>
      <c r="P391" s="534"/>
      <c r="Q391" s="108">
        <f>SUM(G391:P391)</f>
        <v>15137</v>
      </c>
    </row>
    <row r="392" spans="1:17" ht="15.45" customHeight="1" x14ac:dyDescent="0.25">
      <c r="A392" s="372"/>
      <c r="B392" s="372"/>
      <c r="C392" s="544"/>
      <c r="D392" s="528" t="s">
        <v>968</v>
      </c>
      <c r="E392" s="410"/>
      <c r="F392" s="410"/>
      <c r="G392" s="396"/>
      <c r="H392" s="396"/>
      <c r="I392" s="134"/>
      <c r="J392" s="396"/>
      <c r="K392" s="396"/>
      <c r="L392" s="134"/>
      <c r="M392" s="396"/>
      <c r="N392" s="396"/>
      <c r="O392" s="396"/>
      <c r="P392" s="396"/>
      <c r="Q392" s="108"/>
    </row>
    <row r="393" spans="1:17" ht="24.6" customHeight="1" x14ac:dyDescent="0.25">
      <c r="A393" s="129"/>
      <c r="B393" s="129"/>
      <c r="C393" s="544" t="s">
        <v>583</v>
      </c>
      <c r="D393" s="545" t="s">
        <v>584</v>
      </c>
      <c r="E393" s="410"/>
      <c r="F393" s="410">
        <v>164205</v>
      </c>
      <c r="G393" s="134"/>
      <c r="H393" s="134"/>
      <c r="I393" s="134">
        <f>4949+táj2!I393</f>
        <v>4949</v>
      </c>
      <c r="J393" s="134"/>
      <c r="K393" s="134"/>
      <c r="L393" s="134">
        <f>13906+táj2!L393</f>
        <v>13906</v>
      </c>
      <c r="M393" s="134"/>
      <c r="N393" s="134"/>
      <c r="O393" s="134"/>
      <c r="P393" s="134"/>
      <c r="Q393" s="108">
        <f>SUM(G393:P393)</f>
        <v>18855</v>
      </c>
    </row>
    <row r="394" spans="1:17" ht="24.6" customHeight="1" x14ac:dyDescent="0.25">
      <c r="A394" s="129"/>
      <c r="B394" s="129"/>
      <c r="C394" s="544" t="s">
        <v>585</v>
      </c>
      <c r="D394" s="545" t="s">
        <v>586</v>
      </c>
      <c r="E394" s="410"/>
      <c r="F394" s="410">
        <v>164206</v>
      </c>
      <c r="G394" s="134"/>
      <c r="H394" s="134"/>
      <c r="I394" s="134">
        <f>635+táj2!I394</f>
        <v>635</v>
      </c>
      <c r="J394" s="134"/>
      <c r="K394" s="134"/>
      <c r="L394" s="134">
        <f>2315+táj2!L394</f>
        <v>2315</v>
      </c>
      <c r="M394" s="134"/>
      <c r="N394" s="134"/>
      <c r="O394" s="134"/>
      <c r="P394" s="134"/>
      <c r="Q394" s="108">
        <f>SUM(G394:P394)</f>
        <v>2950</v>
      </c>
    </row>
    <row r="395" spans="1:17" ht="15.45" customHeight="1" x14ac:dyDescent="0.25">
      <c r="A395" s="129"/>
      <c r="B395" s="129"/>
      <c r="C395" s="590" t="s">
        <v>91</v>
      </c>
      <c r="D395" s="580" t="s">
        <v>587</v>
      </c>
      <c r="E395" s="410"/>
      <c r="F395" s="410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08"/>
    </row>
    <row r="396" spans="1:17" ht="15.45" customHeight="1" x14ac:dyDescent="0.25">
      <c r="A396" s="129"/>
      <c r="B396" s="129"/>
      <c r="C396" s="591" t="s">
        <v>433</v>
      </c>
      <c r="D396" s="571" t="s">
        <v>982</v>
      </c>
      <c r="E396" s="410"/>
      <c r="F396" s="410">
        <v>162309</v>
      </c>
      <c r="G396" s="134"/>
      <c r="H396" s="134"/>
      <c r="I396" s="134"/>
      <c r="J396" s="134"/>
      <c r="K396" s="134"/>
      <c r="L396" s="134">
        <f>20000+táj2!L396</f>
        <v>20000</v>
      </c>
      <c r="M396" s="134"/>
      <c r="N396" s="134"/>
      <c r="O396" s="134"/>
      <c r="P396" s="134"/>
      <c r="Q396" s="108">
        <f>SUM(G396:P396)</f>
        <v>20000</v>
      </c>
    </row>
    <row r="397" spans="1:17" ht="15.45" customHeight="1" x14ac:dyDescent="0.25">
      <c r="A397" s="129"/>
      <c r="B397" s="129"/>
      <c r="C397" s="592" t="s">
        <v>92</v>
      </c>
      <c r="D397" s="580" t="s">
        <v>588</v>
      </c>
      <c r="E397" s="410"/>
      <c r="F397" s="410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08"/>
    </row>
    <row r="398" spans="1:17" ht="15.45" customHeight="1" x14ac:dyDescent="0.25">
      <c r="A398" s="129"/>
      <c r="B398" s="189"/>
      <c r="C398" s="592"/>
      <c r="D398" s="528" t="s">
        <v>968</v>
      </c>
      <c r="E398" s="410"/>
      <c r="F398" s="410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08"/>
    </row>
    <row r="399" spans="1:17" ht="15.45" customHeight="1" x14ac:dyDescent="0.25">
      <c r="A399" s="129"/>
      <c r="B399" s="189"/>
      <c r="C399" s="592" t="s">
        <v>543</v>
      </c>
      <c r="D399" s="568" t="s">
        <v>731</v>
      </c>
      <c r="E399" s="410"/>
      <c r="F399" s="410">
        <v>162431</v>
      </c>
      <c r="G399" s="134"/>
      <c r="H399" s="134"/>
      <c r="I399" s="134"/>
      <c r="J399" s="134"/>
      <c r="K399" s="134"/>
      <c r="L399" s="134">
        <f>2273+táj2!L399</f>
        <v>2273</v>
      </c>
      <c r="M399" s="134"/>
      <c r="N399" s="134"/>
      <c r="O399" s="134"/>
      <c r="P399" s="134"/>
      <c r="Q399" s="108">
        <f>SUM(G399:P399)</f>
        <v>2273</v>
      </c>
    </row>
    <row r="400" spans="1:17" ht="15.45" customHeight="1" x14ac:dyDescent="0.25">
      <c r="A400" s="129"/>
      <c r="B400" s="189"/>
      <c r="C400" s="592" t="s">
        <v>545</v>
      </c>
      <c r="D400" s="570" t="s">
        <v>903</v>
      </c>
      <c r="E400" s="410"/>
      <c r="F400" s="410">
        <v>162402</v>
      </c>
      <c r="G400" s="134"/>
      <c r="H400" s="134"/>
      <c r="I400" s="134"/>
      <c r="J400" s="134"/>
      <c r="K400" s="134"/>
      <c r="L400" s="134"/>
      <c r="M400" s="134">
        <f>3700+táj2!M400</f>
        <v>3700</v>
      </c>
      <c r="N400" s="134"/>
      <c r="O400" s="134"/>
      <c r="P400" s="134"/>
      <c r="Q400" s="108">
        <f>SUM(G400:P400)</f>
        <v>3700</v>
      </c>
    </row>
    <row r="401" spans="1:17" ht="15.45" customHeight="1" x14ac:dyDescent="0.25">
      <c r="A401" s="129"/>
      <c r="B401" s="189"/>
      <c r="C401" s="592" t="s">
        <v>546</v>
      </c>
      <c r="D401" s="568" t="s">
        <v>906</v>
      </c>
      <c r="E401" s="26"/>
      <c r="F401" s="537">
        <v>164424</v>
      </c>
      <c r="G401" s="134"/>
      <c r="H401" s="134"/>
      <c r="I401" s="134"/>
      <c r="J401" s="134"/>
      <c r="K401" s="134"/>
      <c r="L401" s="134"/>
      <c r="M401" s="134">
        <f>0+táj2!M401</f>
        <v>0</v>
      </c>
      <c r="N401" s="134"/>
      <c r="O401" s="134"/>
      <c r="P401" s="134"/>
      <c r="Q401" s="108">
        <f t="shared" ref="Q401:Q407" si="36">SUM(G401:P401)</f>
        <v>0</v>
      </c>
    </row>
    <row r="402" spans="1:17" ht="15.45" customHeight="1" x14ac:dyDescent="0.25">
      <c r="A402" s="129"/>
      <c r="B402" s="189"/>
      <c r="C402" s="593" t="s">
        <v>80</v>
      </c>
      <c r="D402" s="542" t="s">
        <v>553</v>
      </c>
      <c r="E402" s="410"/>
      <c r="F402" s="410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08"/>
    </row>
    <row r="403" spans="1:17" ht="15.45" customHeight="1" x14ac:dyDescent="0.25">
      <c r="A403" s="129"/>
      <c r="B403" s="189"/>
      <c r="C403" s="590" t="s">
        <v>79</v>
      </c>
      <c r="D403" s="580" t="s">
        <v>589</v>
      </c>
      <c r="E403" s="410"/>
      <c r="F403" s="410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08"/>
    </row>
    <row r="404" spans="1:17" ht="15.45" customHeight="1" x14ac:dyDescent="0.25">
      <c r="A404" s="129"/>
      <c r="B404" s="189"/>
      <c r="C404" s="590"/>
      <c r="D404" s="528" t="s">
        <v>968</v>
      </c>
      <c r="E404" s="410"/>
      <c r="F404" s="410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08"/>
    </row>
    <row r="405" spans="1:17" ht="15.45" customHeight="1" x14ac:dyDescent="0.25">
      <c r="A405" s="129"/>
      <c r="B405" s="189"/>
      <c r="C405" s="591" t="s">
        <v>434</v>
      </c>
      <c r="D405" s="594" t="s">
        <v>590</v>
      </c>
      <c r="E405" s="410"/>
      <c r="F405" s="410">
        <v>162601</v>
      </c>
      <c r="G405" s="134"/>
      <c r="H405" s="134"/>
      <c r="I405" s="134"/>
      <c r="J405" s="134"/>
      <c r="K405" s="134"/>
      <c r="L405" s="134">
        <f>11155+táj2!L405</f>
        <v>10018</v>
      </c>
      <c r="M405" s="134"/>
      <c r="N405" s="134"/>
      <c r="O405" s="134"/>
      <c r="P405" s="134"/>
      <c r="Q405" s="108">
        <f t="shared" si="36"/>
        <v>10018</v>
      </c>
    </row>
    <row r="406" spans="1:17" ht="24" customHeight="1" x14ac:dyDescent="0.25">
      <c r="A406" s="129"/>
      <c r="B406" s="189"/>
      <c r="C406" s="591" t="s">
        <v>435</v>
      </c>
      <c r="D406" s="595" t="s">
        <v>902</v>
      </c>
      <c r="E406" s="410"/>
      <c r="F406" s="410">
        <v>162636</v>
      </c>
      <c r="G406" s="134"/>
      <c r="H406" s="134"/>
      <c r="I406" s="134"/>
      <c r="J406" s="134"/>
      <c r="K406" s="134"/>
      <c r="L406" s="134">
        <f>37315+táj2!L406</f>
        <v>45902</v>
      </c>
      <c r="M406" s="134">
        <f>31837+táj2!M406</f>
        <v>33069</v>
      </c>
      <c r="N406" s="134"/>
      <c r="O406" s="134"/>
      <c r="P406" s="134"/>
      <c r="Q406" s="108">
        <f t="shared" si="36"/>
        <v>78971</v>
      </c>
    </row>
    <row r="407" spans="1:17" ht="15.45" customHeight="1" x14ac:dyDescent="0.25">
      <c r="A407" s="129"/>
      <c r="B407" s="189"/>
      <c r="C407" s="591" t="s">
        <v>436</v>
      </c>
      <c r="D407" s="594" t="s">
        <v>591</v>
      </c>
      <c r="E407" s="410"/>
      <c r="F407" s="410">
        <v>162637</v>
      </c>
      <c r="G407" s="134"/>
      <c r="H407" s="134"/>
      <c r="I407" s="134"/>
      <c r="J407" s="134"/>
      <c r="K407" s="134"/>
      <c r="L407" s="134">
        <f>1129+táj2!L407</f>
        <v>1129</v>
      </c>
      <c r="M407" s="134"/>
      <c r="N407" s="134"/>
      <c r="O407" s="134"/>
      <c r="P407" s="134"/>
      <c r="Q407" s="108">
        <f t="shared" si="36"/>
        <v>1129</v>
      </c>
    </row>
    <row r="408" spans="1:17" ht="15.45" customHeight="1" x14ac:dyDescent="0.25">
      <c r="A408" s="372"/>
      <c r="B408" s="404"/>
      <c r="C408" s="590" t="s">
        <v>81</v>
      </c>
      <c r="D408" s="596" t="s">
        <v>556</v>
      </c>
      <c r="E408" s="410"/>
      <c r="F408" s="410"/>
      <c r="G408" s="396"/>
      <c r="H408" s="396"/>
      <c r="I408" s="396"/>
      <c r="J408" s="396"/>
      <c r="K408" s="396"/>
      <c r="L408" s="134"/>
      <c r="M408" s="134"/>
      <c r="N408" s="396"/>
      <c r="O408" s="396"/>
      <c r="P408" s="396"/>
      <c r="Q408" s="374"/>
    </row>
    <row r="409" spans="1:17" ht="15.45" customHeight="1" x14ac:dyDescent="0.25">
      <c r="A409" s="372"/>
      <c r="B409" s="404"/>
      <c r="C409" s="582" t="s">
        <v>82</v>
      </c>
      <c r="D409" s="597" t="s">
        <v>557</v>
      </c>
      <c r="E409" s="410"/>
      <c r="F409" s="410"/>
      <c r="G409" s="374"/>
      <c r="H409" s="374"/>
      <c r="I409" s="374"/>
      <c r="J409" s="374"/>
      <c r="K409" s="374"/>
      <c r="L409" s="134"/>
      <c r="M409" s="134"/>
      <c r="N409" s="374"/>
      <c r="O409" s="374"/>
      <c r="P409" s="374"/>
      <c r="Q409" s="374"/>
    </row>
    <row r="410" spans="1:17" ht="15.45" customHeight="1" x14ac:dyDescent="0.25">
      <c r="A410" s="129"/>
      <c r="B410" s="129"/>
      <c r="C410" s="598" t="s">
        <v>83</v>
      </c>
      <c r="D410" s="597" t="s">
        <v>559</v>
      </c>
      <c r="E410" s="410"/>
      <c r="F410" s="410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08"/>
    </row>
    <row r="411" spans="1:17" ht="15.45" customHeight="1" x14ac:dyDescent="0.25">
      <c r="A411" s="129"/>
      <c r="B411" s="129"/>
      <c r="C411" s="599" t="s">
        <v>560</v>
      </c>
      <c r="D411" s="600" t="s">
        <v>983</v>
      </c>
      <c r="E411" s="410"/>
      <c r="F411" s="410">
        <v>164427</v>
      </c>
      <c r="G411" s="134"/>
      <c r="H411" s="134"/>
      <c r="I411" s="134"/>
      <c r="J411" s="134"/>
      <c r="K411" s="134"/>
      <c r="L411" s="134"/>
      <c r="M411" s="134">
        <f>1000+táj2!M411</f>
        <v>1000</v>
      </c>
      <c r="N411" s="134"/>
      <c r="O411" s="134"/>
      <c r="P411" s="134"/>
      <c r="Q411" s="108">
        <f t="shared" ref="Q411:Q417" si="37">SUM(G411:P411)</f>
        <v>1000</v>
      </c>
    </row>
    <row r="412" spans="1:17" ht="15.45" customHeight="1" x14ac:dyDescent="0.25">
      <c r="A412" s="129"/>
      <c r="B412" s="129"/>
      <c r="C412" s="599" t="s">
        <v>561</v>
      </c>
      <c r="D412" s="600" t="s">
        <v>984</v>
      </c>
      <c r="E412" s="410"/>
      <c r="F412" s="410">
        <v>162982</v>
      </c>
      <c r="G412" s="134"/>
      <c r="H412" s="134"/>
      <c r="I412" s="134">
        <f>1837+táj2!I412</f>
        <v>1837</v>
      </c>
      <c r="J412" s="134"/>
      <c r="K412" s="134"/>
      <c r="L412" s="134"/>
      <c r="M412" s="134"/>
      <c r="N412" s="134"/>
      <c r="O412" s="134"/>
      <c r="P412" s="134"/>
      <c r="Q412" s="108">
        <f t="shared" si="37"/>
        <v>1837</v>
      </c>
    </row>
    <row r="413" spans="1:17" ht="15.45" customHeight="1" x14ac:dyDescent="0.25">
      <c r="A413" s="129"/>
      <c r="B413" s="129"/>
      <c r="C413" s="599" t="s">
        <v>592</v>
      </c>
      <c r="D413" s="734" t="s">
        <v>1076</v>
      </c>
      <c r="E413" s="410"/>
      <c r="F413" s="410">
        <v>162983</v>
      </c>
      <c r="G413" s="134"/>
      <c r="H413" s="134"/>
      <c r="I413" s="134">
        <f>0+táj2!I413</f>
        <v>0</v>
      </c>
      <c r="J413" s="134"/>
      <c r="K413" s="134">
        <f>10000+táj2!K413</f>
        <v>10000</v>
      </c>
      <c r="L413" s="134"/>
      <c r="M413" s="134"/>
      <c r="N413" s="134"/>
      <c r="O413" s="134"/>
      <c r="P413" s="134"/>
      <c r="Q413" s="108">
        <f t="shared" si="37"/>
        <v>10000</v>
      </c>
    </row>
    <row r="414" spans="1:17" ht="15.45" customHeight="1" x14ac:dyDescent="0.25">
      <c r="A414" s="511"/>
      <c r="B414" s="511"/>
      <c r="C414" s="599" t="s">
        <v>1063</v>
      </c>
      <c r="D414" s="732" t="s">
        <v>1064</v>
      </c>
      <c r="E414" s="730"/>
      <c r="F414" s="730">
        <v>164945</v>
      </c>
      <c r="G414" s="534"/>
      <c r="H414" s="534"/>
      <c r="I414" s="534"/>
      <c r="J414" s="534"/>
      <c r="K414" s="534"/>
      <c r="L414" s="534"/>
      <c r="M414" s="134">
        <f>18000+táj2!M414</f>
        <v>35560</v>
      </c>
      <c r="N414" s="534"/>
      <c r="O414" s="534"/>
      <c r="P414" s="534"/>
      <c r="Q414" s="108">
        <f t="shared" si="37"/>
        <v>35560</v>
      </c>
    </row>
    <row r="415" spans="1:17" ht="15.45" customHeight="1" x14ac:dyDescent="0.25">
      <c r="A415" s="511"/>
      <c r="B415" s="511"/>
      <c r="C415" s="599" t="s">
        <v>1065</v>
      </c>
      <c r="D415" s="732" t="s">
        <v>1066</v>
      </c>
      <c r="E415" s="733"/>
      <c r="F415" s="733">
        <v>164946</v>
      </c>
      <c r="G415" s="534"/>
      <c r="H415" s="534"/>
      <c r="I415" s="534"/>
      <c r="J415" s="534"/>
      <c r="K415" s="534"/>
      <c r="L415" s="534"/>
      <c r="M415" s="134">
        <f>300+táj2!M415</f>
        <v>300</v>
      </c>
      <c r="N415" s="534"/>
      <c r="O415" s="534"/>
      <c r="P415" s="534"/>
      <c r="Q415" s="108">
        <f t="shared" si="37"/>
        <v>300</v>
      </c>
    </row>
    <row r="416" spans="1:17" ht="15.45" customHeight="1" x14ac:dyDescent="0.25">
      <c r="A416" s="511"/>
      <c r="B416" s="511"/>
      <c r="C416" s="599" t="s">
        <v>1074</v>
      </c>
      <c r="D416" s="734" t="s">
        <v>1075</v>
      </c>
      <c r="E416" s="742"/>
      <c r="F416" s="742">
        <v>162984</v>
      </c>
      <c r="G416" s="534"/>
      <c r="H416" s="534"/>
      <c r="I416" s="534"/>
      <c r="J416" s="534"/>
      <c r="K416" s="534"/>
      <c r="L416" s="134">
        <f>500+táj2!L416</f>
        <v>500</v>
      </c>
      <c r="M416" s="134"/>
      <c r="N416" s="534"/>
      <c r="O416" s="534"/>
      <c r="P416" s="534"/>
      <c r="Q416" s="108">
        <f t="shared" si="37"/>
        <v>500</v>
      </c>
    </row>
    <row r="417" spans="1:17" ht="15.45" customHeight="1" x14ac:dyDescent="0.25">
      <c r="A417" s="511"/>
      <c r="B417" s="511"/>
      <c r="C417" s="599" t="s">
        <v>1121</v>
      </c>
      <c r="D417" s="734" t="s">
        <v>1122</v>
      </c>
      <c r="E417" s="742"/>
      <c r="F417" s="742">
        <v>164947</v>
      </c>
      <c r="G417" s="534"/>
      <c r="H417" s="534"/>
      <c r="I417" s="534"/>
      <c r="J417" s="534"/>
      <c r="K417" s="534"/>
      <c r="L417" s="134"/>
      <c r="M417" s="134">
        <f>500+táj2!M417</f>
        <v>500</v>
      </c>
      <c r="N417" s="534"/>
      <c r="O417" s="534"/>
      <c r="P417" s="534"/>
      <c r="Q417" s="108">
        <f t="shared" si="37"/>
        <v>500</v>
      </c>
    </row>
    <row r="418" spans="1:17" ht="15.45" customHeight="1" x14ac:dyDescent="0.25">
      <c r="A418" s="129"/>
      <c r="B418" s="129"/>
      <c r="C418" s="582"/>
      <c r="D418" s="601" t="s">
        <v>968</v>
      </c>
      <c r="E418" s="410"/>
      <c r="F418" s="410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08"/>
    </row>
    <row r="419" spans="1:17" ht="24.6" customHeight="1" x14ac:dyDescent="0.25">
      <c r="A419" s="129"/>
      <c r="B419" s="129"/>
      <c r="C419" s="511" t="s">
        <v>563</v>
      </c>
      <c r="D419" s="602" t="s">
        <v>773</v>
      </c>
      <c r="E419" s="410"/>
      <c r="F419" s="410">
        <v>174902</v>
      </c>
      <c r="G419" s="134"/>
      <c r="H419" s="134"/>
      <c r="I419" s="134"/>
      <c r="J419" s="134"/>
      <c r="K419" s="134"/>
      <c r="L419" s="134"/>
      <c r="M419" s="134">
        <f>80028+táj2!M419</f>
        <v>80028</v>
      </c>
      <c r="N419" s="134"/>
      <c r="O419" s="134"/>
      <c r="P419" s="134"/>
      <c r="Q419" s="108">
        <f t="shared" ref="Q419:Q427" si="38">SUM(G419:P419)</f>
        <v>80028</v>
      </c>
    </row>
    <row r="420" spans="1:17" ht="15.45" customHeight="1" x14ac:dyDescent="0.25">
      <c r="A420" s="129"/>
      <c r="B420" s="129"/>
      <c r="C420" s="511" t="s">
        <v>564</v>
      </c>
      <c r="D420" s="528" t="s">
        <v>882</v>
      </c>
      <c r="E420" s="410"/>
      <c r="F420" s="410">
        <v>162942</v>
      </c>
      <c r="G420" s="134"/>
      <c r="H420" s="134"/>
      <c r="I420" s="134"/>
      <c r="J420" s="134"/>
      <c r="K420" s="134"/>
      <c r="L420" s="134"/>
      <c r="M420" s="134">
        <f>53937+táj2!M420</f>
        <v>53937</v>
      </c>
      <c r="N420" s="134"/>
      <c r="O420" s="134"/>
      <c r="P420" s="134"/>
      <c r="Q420" s="108">
        <f t="shared" si="38"/>
        <v>53937</v>
      </c>
    </row>
    <row r="421" spans="1:17" ht="15.45" customHeight="1" x14ac:dyDescent="0.25">
      <c r="A421" s="129"/>
      <c r="B421" s="129"/>
      <c r="C421" s="511" t="s">
        <v>565</v>
      </c>
      <c r="D421" s="545" t="s">
        <v>1052</v>
      </c>
      <c r="E421" s="410"/>
      <c r="F421" s="410">
        <v>162903</v>
      </c>
      <c r="G421" s="134"/>
      <c r="H421" s="134"/>
      <c r="I421" s="134">
        <f>3152+táj2!I421</f>
        <v>4591</v>
      </c>
      <c r="J421" s="134"/>
      <c r="K421" s="134"/>
      <c r="L421" s="134">
        <f>17997+táj2!L421</f>
        <v>17997</v>
      </c>
      <c r="M421" s="134">
        <f>27673+táj2!M421</f>
        <v>85512</v>
      </c>
      <c r="N421" s="134">
        <f>509+táj2!N421</f>
        <v>509</v>
      </c>
      <c r="O421" s="134"/>
      <c r="P421" s="134"/>
      <c r="Q421" s="108">
        <f t="shared" si="38"/>
        <v>108609</v>
      </c>
    </row>
    <row r="422" spans="1:17" ht="24" customHeight="1" x14ac:dyDescent="0.25">
      <c r="A422" s="129"/>
      <c r="B422" s="129"/>
      <c r="C422" s="511" t="s">
        <v>567</v>
      </c>
      <c r="D422" s="568" t="s">
        <v>774</v>
      </c>
      <c r="E422" s="410"/>
      <c r="F422" s="410">
        <v>162967</v>
      </c>
      <c r="G422" s="134"/>
      <c r="H422" s="134"/>
      <c r="I422" s="134"/>
      <c r="J422" s="134"/>
      <c r="K422" s="134"/>
      <c r="L422" s="134">
        <f>2646+táj2!L422</f>
        <v>2646</v>
      </c>
      <c r="M422" s="134"/>
      <c r="N422" s="134"/>
      <c r="O422" s="134"/>
      <c r="P422" s="134"/>
      <c r="Q422" s="108">
        <f t="shared" si="38"/>
        <v>2646</v>
      </c>
    </row>
    <row r="423" spans="1:17" ht="15.45" customHeight="1" x14ac:dyDescent="0.25">
      <c r="A423" s="129"/>
      <c r="B423" s="129"/>
      <c r="C423" s="511" t="s">
        <v>568</v>
      </c>
      <c r="D423" s="568" t="s">
        <v>863</v>
      </c>
      <c r="E423" s="410"/>
      <c r="F423" s="410">
        <v>162976</v>
      </c>
      <c r="G423" s="134"/>
      <c r="H423" s="134"/>
      <c r="I423" s="134"/>
      <c r="J423" s="134"/>
      <c r="K423" s="134"/>
      <c r="L423" s="134">
        <f>9064+táj2!L423</f>
        <v>9064</v>
      </c>
      <c r="M423" s="134"/>
      <c r="N423" s="134"/>
      <c r="O423" s="134"/>
      <c r="P423" s="134"/>
      <c r="Q423" s="108">
        <f t="shared" si="38"/>
        <v>9064</v>
      </c>
    </row>
    <row r="424" spans="1:17" ht="15.45" customHeight="1" x14ac:dyDescent="0.25">
      <c r="A424" s="129"/>
      <c r="B424" s="129"/>
      <c r="C424" s="511" t="s">
        <v>569</v>
      </c>
      <c r="D424" s="528" t="s">
        <v>898</v>
      </c>
      <c r="E424" s="603"/>
      <c r="F424" s="537">
        <v>164938</v>
      </c>
      <c r="G424" s="134"/>
      <c r="H424" s="134"/>
      <c r="I424" s="134"/>
      <c r="J424" s="134"/>
      <c r="K424" s="134"/>
      <c r="L424" s="134"/>
      <c r="M424" s="134">
        <f>594+táj2!M424</f>
        <v>594</v>
      </c>
      <c r="N424" s="134"/>
      <c r="O424" s="134"/>
      <c r="P424" s="134"/>
      <c r="Q424" s="108">
        <f t="shared" si="38"/>
        <v>594</v>
      </c>
    </row>
    <row r="425" spans="1:17" ht="15.45" customHeight="1" x14ac:dyDescent="0.25">
      <c r="A425" s="129"/>
      <c r="B425" s="129"/>
      <c r="C425" s="511" t="s">
        <v>570</v>
      </c>
      <c r="D425" s="26" t="s">
        <v>899</v>
      </c>
      <c r="E425" s="604"/>
      <c r="F425" s="537">
        <v>164940</v>
      </c>
      <c r="G425" s="134"/>
      <c r="H425" s="134"/>
      <c r="I425" s="134">
        <f>1312+táj2!I425</f>
        <v>1312</v>
      </c>
      <c r="J425" s="134"/>
      <c r="K425" s="134"/>
      <c r="L425" s="134">
        <f>9707+táj2!L425</f>
        <v>9707</v>
      </c>
      <c r="M425" s="134">
        <f>19355+táj2!M425</f>
        <v>19355</v>
      </c>
      <c r="N425" s="134"/>
      <c r="O425" s="134"/>
      <c r="P425" s="134"/>
      <c r="Q425" s="108">
        <f t="shared" si="38"/>
        <v>30374</v>
      </c>
    </row>
    <row r="426" spans="1:17" ht="15.45" customHeight="1" x14ac:dyDescent="0.25">
      <c r="A426" s="129"/>
      <c r="B426" s="129"/>
      <c r="C426" s="511" t="s">
        <v>593</v>
      </c>
      <c r="D426" s="568" t="s">
        <v>900</v>
      </c>
      <c r="E426" s="605"/>
      <c r="F426" s="410">
        <v>162979</v>
      </c>
      <c r="G426" s="134"/>
      <c r="H426" s="134"/>
      <c r="I426" s="134"/>
      <c r="J426" s="134"/>
      <c r="K426" s="134"/>
      <c r="L426" s="134">
        <f>37535+táj2!L426</f>
        <v>37535</v>
      </c>
      <c r="M426" s="134"/>
      <c r="N426" s="134"/>
      <c r="O426" s="134"/>
      <c r="P426" s="134"/>
      <c r="Q426" s="108">
        <f t="shared" si="38"/>
        <v>37535</v>
      </c>
    </row>
    <row r="427" spans="1:17" ht="15.45" customHeight="1" x14ac:dyDescent="0.25">
      <c r="A427" s="129"/>
      <c r="B427" s="129"/>
      <c r="C427" s="511" t="s">
        <v>862</v>
      </c>
      <c r="D427" s="606" t="s">
        <v>985</v>
      </c>
      <c r="E427" s="605"/>
      <c r="F427" s="410">
        <v>162981</v>
      </c>
      <c r="G427" s="134"/>
      <c r="H427" s="134"/>
      <c r="I427" s="134">
        <f>25389+táj2!I427</f>
        <v>43630</v>
      </c>
      <c r="J427" s="134"/>
      <c r="K427" s="134"/>
      <c r="L427" s="134">
        <f>199349+táj2!L427</f>
        <v>175950</v>
      </c>
      <c r="M427" s="134">
        <f>177498+táj2!M427</f>
        <v>177498</v>
      </c>
      <c r="N427" s="134">
        <f>684+táj2!N427</f>
        <v>1546</v>
      </c>
      <c r="O427" s="134"/>
      <c r="P427" s="134"/>
      <c r="Q427" s="108">
        <f t="shared" si="38"/>
        <v>398624</v>
      </c>
    </row>
    <row r="428" spans="1:17" ht="15.45" customHeight="1" x14ac:dyDescent="0.25">
      <c r="A428" s="129"/>
      <c r="B428" s="129"/>
      <c r="C428" s="544" t="s">
        <v>21</v>
      </c>
      <c r="D428" s="607" t="s">
        <v>594</v>
      </c>
      <c r="E428" s="410"/>
      <c r="F428" s="410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08"/>
    </row>
    <row r="429" spans="1:17" ht="15.45" customHeight="1" x14ac:dyDescent="0.25">
      <c r="A429" s="129"/>
      <c r="B429" s="129"/>
      <c r="C429" s="511" t="s">
        <v>595</v>
      </c>
      <c r="D429" s="608" t="s">
        <v>910</v>
      </c>
      <c r="E429" s="410"/>
      <c r="F429" s="410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08"/>
    </row>
    <row r="430" spans="1:17" ht="15.45" customHeight="1" x14ac:dyDescent="0.25">
      <c r="A430" s="129"/>
      <c r="B430" s="129"/>
      <c r="C430" s="511"/>
      <c r="D430" s="601" t="s">
        <v>968</v>
      </c>
      <c r="E430" s="410"/>
      <c r="F430" s="410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08"/>
    </row>
    <row r="431" spans="1:17" ht="51.75" customHeight="1" x14ac:dyDescent="0.25">
      <c r="A431" s="129"/>
      <c r="B431" s="129"/>
      <c r="C431" s="609" t="s">
        <v>883</v>
      </c>
      <c r="D431" s="610" t="s">
        <v>162</v>
      </c>
      <c r="E431" s="410"/>
      <c r="F431" s="410">
        <v>163607</v>
      </c>
      <c r="G431" s="134">
        <f>0+táj2!G431</f>
        <v>0</v>
      </c>
      <c r="H431" s="134">
        <f>0+táj2!H431</f>
        <v>0</v>
      </c>
      <c r="I431" s="134">
        <f>446832+táj2!I431</f>
        <v>460914</v>
      </c>
      <c r="J431" s="134"/>
      <c r="K431" s="134"/>
      <c r="L431" s="134">
        <f>1612159+táj2!L431</f>
        <v>1680287</v>
      </c>
      <c r="M431" s="134"/>
      <c r="N431" s="134"/>
      <c r="O431" s="134"/>
      <c r="P431" s="134"/>
      <c r="Q431" s="108">
        <f t="shared" ref="Q431" si="39">SUM(G431:P431)</f>
        <v>2141201</v>
      </c>
    </row>
    <row r="432" spans="1:17" ht="36" customHeight="1" x14ac:dyDescent="0.25">
      <c r="A432" s="129"/>
      <c r="B432" s="129"/>
      <c r="C432" s="609" t="s">
        <v>884</v>
      </c>
      <c r="D432" s="610" t="s">
        <v>159</v>
      </c>
      <c r="E432" s="410"/>
      <c r="F432" s="410">
        <v>163608</v>
      </c>
      <c r="G432" s="134"/>
      <c r="H432" s="134"/>
      <c r="I432" s="134">
        <f>3903+táj2!I432</f>
        <v>1289</v>
      </c>
      <c r="J432" s="134"/>
      <c r="K432" s="134"/>
      <c r="L432" s="134">
        <f>199+táj2!L432</f>
        <v>0</v>
      </c>
      <c r="M432" s="134"/>
      <c r="N432" s="134"/>
      <c r="O432" s="134"/>
      <c r="P432" s="134"/>
      <c r="Q432" s="108">
        <f t="shared" ref="Q432:Q441" si="40">SUM(G432:P432)</f>
        <v>1289</v>
      </c>
    </row>
    <row r="433" spans="1:17" ht="22.2" customHeight="1" x14ac:dyDescent="0.25">
      <c r="A433" s="129"/>
      <c r="B433" s="129"/>
      <c r="C433" s="609" t="s">
        <v>596</v>
      </c>
      <c r="D433" s="610" t="s">
        <v>163</v>
      </c>
      <c r="E433" s="410"/>
      <c r="F433" s="410">
        <v>163609</v>
      </c>
      <c r="G433" s="134"/>
      <c r="H433" s="134"/>
      <c r="I433" s="134">
        <f>18781+táj2!I433</f>
        <v>18781</v>
      </c>
      <c r="J433" s="134"/>
      <c r="K433" s="134"/>
      <c r="L433" s="134"/>
      <c r="M433" s="134"/>
      <c r="N433" s="134"/>
      <c r="O433" s="134"/>
      <c r="P433" s="134"/>
      <c r="Q433" s="108">
        <f t="shared" si="40"/>
        <v>18781</v>
      </c>
    </row>
    <row r="434" spans="1:17" ht="34.950000000000003" customHeight="1" x14ac:dyDescent="0.25">
      <c r="A434" s="129"/>
      <c r="B434" s="129"/>
      <c r="C434" s="609" t="s">
        <v>597</v>
      </c>
      <c r="D434" s="814" t="s">
        <v>160</v>
      </c>
      <c r="E434" s="410"/>
      <c r="F434" s="410">
        <v>163611</v>
      </c>
      <c r="G434" s="134"/>
      <c r="H434" s="134"/>
      <c r="I434" s="134">
        <f>30096+táj2!I434</f>
        <v>30096</v>
      </c>
      <c r="J434" s="134"/>
      <c r="K434" s="134"/>
      <c r="L434" s="134">
        <f>89591+táj2!L434</f>
        <v>89591</v>
      </c>
      <c r="M434" s="134"/>
      <c r="N434" s="134"/>
      <c r="O434" s="134"/>
      <c r="P434" s="134"/>
      <c r="Q434" s="108">
        <f t="shared" si="40"/>
        <v>119687</v>
      </c>
    </row>
    <row r="435" spans="1:17" ht="34.200000000000003" customHeight="1" x14ac:dyDescent="0.25">
      <c r="A435" s="129"/>
      <c r="B435" s="129"/>
      <c r="C435" s="609" t="s">
        <v>598</v>
      </c>
      <c r="D435" s="612" t="s">
        <v>831</v>
      </c>
      <c r="E435" s="410"/>
      <c r="F435" s="410">
        <v>163652</v>
      </c>
      <c r="G435" s="134">
        <f>5777+táj2!G435</f>
        <v>5777</v>
      </c>
      <c r="H435" s="134">
        <f>769+táj2!H435</f>
        <v>769</v>
      </c>
      <c r="I435" s="134">
        <f>120235+táj2!I435</f>
        <v>120235</v>
      </c>
      <c r="J435" s="134"/>
      <c r="K435" s="134"/>
      <c r="L435" s="134">
        <f>483984+táj2!L435</f>
        <v>483984</v>
      </c>
      <c r="M435" s="134"/>
      <c r="N435" s="134"/>
      <c r="O435" s="134"/>
      <c r="P435" s="134"/>
      <c r="Q435" s="108">
        <f t="shared" si="40"/>
        <v>610765</v>
      </c>
    </row>
    <row r="436" spans="1:17" ht="27" customHeight="1" x14ac:dyDescent="0.25">
      <c r="A436" s="129"/>
      <c r="B436" s="129"/>
      <c r="C436" s="609" t="s">
        <v>599</v>
      </c>
      <c r="D436" s="512" t="s">
        <v>123</v>
      </c>
      <c r="E436" s="410"/>
      <c r="F436" s="410">
        <v>163612</v>
      </c>
      <c r="G436" s="134"/>
      <c r="H436" s="134"/>
      <c r="I436" s="134">
        <f>9523+táj2!I436</f>
        <v>9523</v>
      </c>
      <c r="J436" s="134"/>
      <c r="K436" s="134"/>
      <c r="L436" s="134">
        <f>212581+táj2!L436</f>
        <v>128906</v>
      </c>
      <c r="M436" s="134"/>
      <c r="N436" s="134"/>
      <c r="O436" s="134"/>
      <c r="P436" s="134"/>
      <c r="Q436" s="108">
        <f t="shared" si="40"/>
        <v>138429</v>
      </c>
    </row>
    <row r="437" spans="1:17" ht="27.6" customHeight="1" x14ac:dyDescent="0.25">
      <c r="A437" s="372"/>
      <c r="B437" s="372"/>
      <c r="C437" s="609" t="s">
        <v>600</v>
      </c>
      <c r="D437" s="512" t="s">
        <v>604</v>
      </c>
      <c r="E437" s="410"/>
      <c r="F437" s="410">
        <v>163613</v>
      </c>
      <c r="G437" s="396"/>
      <c r="H437" s="396"/>
      <c r="I437" s="134">
        <f>7752+táj2!I437</f>
        <v>7752</v>
      </c>
      <c r="J437" s="396"/>
      <c r="K437" s="396"/>
      <c r="L437" s="134">
        <f>6859+táj2!L437</f>
        <v>8239</v>
      </c>
      <c r="M437" s="134"/>
      <c r="N437" s="396"/>
      <c r="O437" s="396"/>
      <c r="P437" s="396"/>
      <c r="Q437" s="108">
        <f t="shared" si="40"/>
        <v>15991</v>
      </c>
    </row>
    <row r="438" spans="1:17" ht="42" customHeight="1" x14ac:dyDescent="0.25">
      <c r="A438" s="372"/>
      <c r="B438" s="372"/>
      <c r="C438" s="609" t="s">
        <v>601</v>
      </c>
      <c r="D438" s="512" t="s">
        <v>950</v>
      </c>
      <c r="E438" s="410"/>
      <c r="F438" s="410">
        <v>163615</v>
      </c>
      <c r="G438" s="396"/>
      <c r="H438" s="396"/>
      <c r="I438" s="134">
        <f>4+táj2!I438</f>
        <v>4</v>
      </c>
      <c r="J438" s="396"/>
      <c r="K438" s="396"/>
      <c r="L438" s="134"/>
      <c r="M438" s="134"/>
      <c r="N438" s="396"/>
      <c r="O438" s="396"/>
      <c r="P438" s="396"/>
      <c r="Q438" s="108">
        <f t="shared" si="40"/>
        <v>4</v>
      </c>
    </row>
    <row r="439" spans="1:17" ht="27.6" customHeight="1" x14ac:dyDescent="0.25">
      <c r="A439" s="372"/>
      <c r="B439" s="372"/>
      <c r="C439" s="609" t="s">
        <v>602</v>
      </c>
      <c r="D439" s="773" t="s">
        <v>161</v>
      </c>
      <c r="E439" s="410"/>
      <c r="F439" s="410">
        <v>163616</v>
      </c>
      <c r="G439" s="134">
        <f>2185+táj2!G439</f>
        <v>2185</v>
      </c>
      <c r="H439" s="134">
        <f>355+táj2!H439</f>
        <v>355</v>
      </c>
      <c r="I439" s="134">
        <f>3477+táj2!I439</f>
        <v>3477</v>
      </c>
      <c r="J439" s="134"/>
      <c r="K439" s="134"/>
      <c r="L439" s="134">
        <f>1213+táj2!L439</f>
        <v>1213</v>
      </c>
      <c r="M439" s="134"/>
      <c r="N439" s="134"/>
      <c r="O439" s="396"/>
      <c r="P439" s="396"/>
      <c r="Q439" s="374">
        <f t="shared" si="40"/>
        <v>7230</v>
      </c>
    </row>
    <row r="440" spans="1:17" ht="22.2" customHeight="1" x14ac:dyDescent="0.25">
      <c r="A440" s="372"/>
      <c r="B440" s="372"/>
      <c r="C440" s="609" t="s">
        <v>603</v>
      </c>
      <c r="D440" s="546" t="s">
        <v>146</v>
      </c>
      <c r="E440" s="410"/>
      <c r="F440" s="410">
        <v>163625</v>
      </c>
      <c r="G440" s="396"/>
      <c r="H440" s="396"/>
      <c r="I440" s="134">
        <f>224950+táj2!I440</f>
        <v>237950</v>
      </c>
      <c r="J440" s="396"/>
      <c r="K440" s="134"/>
      <c r="L440" s="134">
        <f>771871+táj2!L440</f>
        <v>771871</v>
      </c>
      <c r="M440" s="134"/>
      <c r="N440" s="134">
        <f>0+táj2!N440</f>
        <v>103735</v>
      </c>
      <c r="O440" s="396"/>
      <c r="P440" s="396"/>
      <c r="Q440" s="374">
        <f t="shared" si="40"/>
        <v>1113556</v>
      </c>
    </row>
    <row r="441" spans="1:17" ht="25.95" customHeight="1" x14ac:dyDescent="0.25">
      <c r="A441" s="129"/>
      <c r="B441" s="129"/>
      <c r="C441" s="609" t="s">
        <v>885</v>
      </c>
      <c r="D441" s="613" t="s">
        <v>147</v>
      </c>
      <c r="E441" s="410"/>
      <c r="F441" s="410">
        <v>163626</v>
      </c>
      <c r="G441" s="134"/>
      <c r="H441" s="134"/>
      <c r="I441" s="134">
        <f>1591+táj2!I441</f>
        <v>1591</v>
      </c>
      <c r="J441" s="134"/>
      <c r="K441" s="134"/>
      <c r="L441" s="134">
        <f>14923+táj2!L441</f>
        <v>14923</v>
      </c>
      <c r="M441" s="134"/>
      <c r="N441" s="134"/>
      <c r="O441" s="134"/>
      <c r="P441" s="134"/>
      <c r="Q441" s="374">
        <f t="shared" si="40"/>
        <v>16514</v>
      </c>
    </row>
    <row r="442" spans="1:17" ht="27" customHeight="1" x14ac:dyDescent="0.25">
      <c r="A442" s="129"/>
      <c r="B442" s="129"/>
      <c r="C442" s="609" t="s">
        <v>605</v>
      </c>
      <c r="D442" s="779" t="s">
        <v>613</v>
      </c>
      <c r="E442" s="410"/>
      <c r="F442" s="410">
        <v>163629</v>
      </c>
      <c r="G442" s="134">
        <f>0+táj2!G442</f>
        <v>0</v>
      </c>
      <c r="H442" s="134">
        <f>0+táj2!H442</f>
        <v>0</v>
      </c>
      <c r="I442" s="134">
        <f>33+táj2!I442</f>
        <v>33</v>
      </c>
      <c r="J442" s="134"/>
      <c r="K442" s="134"/>
      <c r="L442" s="134">
        <f>0+táj2!L442</f>
        <v>0</v>
      </c>
      <c r="M442" s="134"/>
      <c r="N442" s="134"/>
      <c r="O442" s="134"/>
      <c r="P442" s="134"/>
      <c r="Q442" s="108">
        <f t="shared" ref="Q442:Q457" si="41">SUM(G442:P442)</f>
        <v>33</v>
      </c>
    </row>
    <row r="443" spans="1:17" ht="28.2" customHeight="1" x14ac:dyDescent="0.25">
      <c r="A443" s="129"/>
      <c r="B443" s="129"/>
      <c r="C443" s="609" t="s">
        <v>886</v>
      </c>
      <c r="D443" s="612" t="s">
        <v>109</v>
      </c>
      <c r="E443" s="410"/>
      <c r="F443" s="410">
        <v>163633</v>
      </c>
      <c r="G443" s="134"/>
      <c r="H443" s="134"/>
      <c r="I443" s="134">
        <f>47970+táj2!I443</f>
        <v>47970</v>
      </c>
      <c r="J443" s="134"/>
      <c r="K443" s="134"/>
      <c r="L443" s="134">
        <f>4879+táj2!L443</f>
        <v>4879</v>
      </c>
      <c r="M443" s="134"/>
      <c r="N443" s="134"/>
      <c r="O443" s="134"/>
      <c r="P443" s="134"/>
      <c r="Q443" s="108">
        <f t="shared" si="41"/>
        <v>52849</v>
      </c>
    </row>
    <row r="444" spans="1:17" ht="33.75" customHeight="1" x14ac:dyDescent="0.25">
      <c r="A444" s="129"/>
      <c r="B444" s="129"/>
      <c r="C444" s="609" t="s">
        <v>606</v>
      </c>
      <c r="D444" s="613" t="s">
        <v>775</v>
      </c>
      <c r="E444" s="410"/>
      <c r="F444" s="410">
        <v>163637</v>
      </c>
      <c r="G444" s="134"/>
      <c r="H444" s="134"/>
      <c r="I444" s="134">
        <f>9437+táj2!I444</f>
        <v>9437</v>
      </c>
      <c r="J444" s="134"/>
      <c r="K444" s="134"/>
      <c r="L444" s="134">
        <f>15086+táj2!L444</f>
        <v>20371</v>
      </c>
      <c r="M444" s="134"/>
      <c r="N444" s="134"/>
      <c r="O444" s="134"/>
      <c r="P444" s="134"/>
      <c r="Q444" s="108">
        <f t="shared" si="41"/>
        <v>29808</v>
      </c>
    </row>
    <row r="445" spans="1:17" ht="27" customHeight="1" x14ac:dyDescent="0.25">
      <c r="A445" s="129"/>
      <c r="B445" s="129"/>
      <c r="C445" s="609" t="s">
        <v>607</v>
      </c>
      <c r="D445" s="612" t="s">
        <v>40</v>
      </c>
      <c r="E445" s="410"/>
      <c r="F445" s="410">
        <v>163638</v>
      </c>
      <c r="G445" s="134">
        <f>2818+táj2!G445</f>
        <v>0</v>
      </c>
      <c r="H445" s="134">
        <f>453+táj2!H445</f>
        <v>0</v>
      </c>
      <c r="I445" s="134">
        <f>506+táj2!I445</f>
        <v>11</v>
      </c>
      <c r="J445" s="134"/>
      <c r="K445" s="134"/>
      <c r="L445" s="134"/>
      <c r="M445" s="134"/>
      <c r="N445" s="134"/>
      <c r="O445" s="134"/>
      <c r="P445" s="134"/>
      <c r="Q445" s="108">
        <f t="shared" si="41"/>
        <v>11</v>
      </c>
    </row>
    <row r="446" spans="1:17" ht="25.95" customHeight="1" x14ac:dyDescent="0.25">
      <c r="A446" s="129"/>
      <c r="B446" s="129"/>
      <c r="C446" s="609" t="s">
        <v>608</v>
      </c>
      <c r="D446" s="612" t="s">
        <v>41</v>
      </c>
      <c r="E446" s="410"/>
      <c r="F446" s="410">
        <v>163639</v>
      </c>
      <c r="G446" s="134">
        <f>0+táj2!G446</f>
        <v>0</v>
      </c>
      <c r="H446" s="134">
        <f>0+táj2!H446</f>
        <v>0</v>
      </c>
      <c r="I446" s="134"/>
      <c r="J446" s="134"/>
      <c r="K446" s="134"/>
      <c r="L446" s="134"/>
      <c r="M446" s="134"/>
      <c r="N446" s="134"/>
      <c r="O446" s="134"/>
      <c r="P446" s="134"/>
      <c r="Q446" s="108">
        <f t="shared" si="41"/>
        <v>0</v>
      </c>
    </row>
    <row r="447" spans="1:17" ht="27.6" customHeight="1" x14ac:dyDescent="0.25">
      <c r="A447" s="129"/>
      <c r="B447" s="129"/>
      <c r="C447" s="609" t="s">
        <v>609</v>
      </c>
      <c r="D447" s="612" t="s">
        <v>42</v>
      </c>
      <c r="E447" s="410"/>
      <c r="F447" s="410">
        <v>163640</v>
      </c>
      <c r="G447" s="134"/>
      <c r="H447" s="134"/>
      <c r="I447" s="134">
        <f>1211+táj2!I447</f>
        <v>0</v>
      </c>
      <c r="J447" s="134"/>
      <c r="K447" s="134"/>
      <c r="L447" s="134"/>
      <c r="M447" s="134"/>
      <c r="N447" s="134"/>
      <c r="O447" s="134"/>
      <c r="P447" s="134"/>
      <c r="Q447" s="108">
        <f t="shared" si="41"/>
        <v>0</v>
      </c>
    </row>
    <row r="448" spans="1:17" ht="28.2" customHeight="1" x14ac:dyDescent="0.25">
      <c r="A448" s="129"/>
      <c r="B448" s="129"/>
      <c r="C448" s="609" t="s">
        <v>610</v>
      </c>
      <c r="D448" s="615" t="s">
        <v>776</v>
      </c>
      <c r="E448" s="410"/>
      <c r="F448" s="410">
        <v>163648</v>
      </c>
      <c r="G448" s="134">
        <f>170+táj2!G448</f>
        <v>170</v>
      </c>
      <c r="H448" s="134">
        <f>19+táj2!H448</f>
        <v>19</v>
      </c>
      <c r="I448" s="134"/>
      <c r="J448" s="134"/>
      <c r="K448" s="134"/>
      <c r="L448" s="134"/>
      <c r="M448" s="134"/>
      <c r="N448" s="134"/>
      <c r="O448" s="134"/>
      <c r="P448" s="134"/>
      <c r="Q448" s="108">
        <f t="shared" si="41"/>
        <v>189</v>
      </c>
    </row>
    <row r="449" spans="1:17" ht="27.6" customHeight="1" x14ac:dyDescent="0.25">
      <c r="A449" s="129"/>
      <c r="B449" s="129"/>
      <c r="C449" s="616" t="s">
        <v>611</v>
      </c>
      <c r="D449" s="513" t="s">
        <v>919</v>
      </c>
      <c r="E449" s="410"/>
      <c r="F449" s="410">
        <v>163657</v>
      </c>
      <c r="G449" s="134"/>
      <c r="H449" s="134"/>
      <c r="I449" s="134">
        <f>17964+táj2!I449</f>
        <v>17964</v>
      </c>
      <c r="J449" s="134"/>
      <c r="K449" s="134"/>
      <c r="L449" s="134"/>
      <c r="M449" s="134"/>
      <c r="N449" s="134"/>
      <c r="O449" s="134"/>
      <c r="P449" s="134"/>
      <c r="Q449" s="108">
        <f t="shared" si="41"/>
        <v>17964</v>
      </c>
    </row>
    <row r="450" spans="1:17" ht="19.2" customHeight="1" x14ac:dyDescent="0.25">
      <c r="A450" s="129"/>
      <c r="B450" s="129"/>
      <c r="C450" s="609" t="s">
        <v>612</v>
      </c>
      <c r="D450" s="617" t="s">
        <v>986</v>
      </c>
      <c r="E450" s="410"/>
      <c r="F450" s="410">
        <v>163658</v>
      </c>
      <c r="G450" s="134"/>
      <c r="H450" s="134"/>
      <c r="I450" s="134">
        <f>404+táj2!I450</f>
        <v>404</v>
      </c>
      <c r="J450" s="134"/>
      <c r="K450" s="134"/>
      <c r="L450" s="134"/>
      <c r="M450" s="134"/>
      <c r="N450" s="134"/>
      <c r="O450" s="134"/>
      <c r="P450" s="134"/>
      <c r="Q450" s="108">
        <f t="shared" si="41"/>
        <v>404</v>
      </c>
    </row>
    <row r="451" spans="1:17" ht="31.95" customHeight="1" x14ac:dyDescent="0.25">
      <c r="A451" s="129"/>
      <c r="B451" s="129"/>
      <c r="C451" s="609" t="s">
        <v>614</v>
      </c>
      <c r="D451" s="617" t="s">
        <v>987</v>
      </c>
      <c r="E451" s="410"/>
      <c r="F451" s="410">
        <v>163662</v>
      </c>
      <c r="G451" s="134">
        <f>15050+táj2!G451</f>
        <v>15050</v>
      </c>
      <c r="H451" s="134">
        <f>1957+táj2!H451</f>
        <v>1957</v>
      </c>
      <c r="I451" s="134">
        <f>64684+táj2!I451</f>
        <v>64684</v>
      </c>
      <c r="J451" s="134"/>
      <c r="K451" s="134"/>
      <c r="L451" s="134">
        <f>852170+táj2!L451</f>
        <v>852170</v>
      </c>
      <c r="M451" s="134"/>
      <c r="N451" s="134"/>
      <c r="O451" s="134"/>
      <c r="P451" s="134"/>
      <c r="Q451" s="108">
        <f t="shared" si="41"/>
        <v>933861</v>
      </c>
    </row>
    <row r="452" spans="1:17" ht="15.6" customHeight="1" x14ac:dyDescent="0.25">
      <c r="A452" s="129"/>
      <c r="B452" s="129"/>
      <c r="C452" s="618" t="s">
        <v>988</v>
      </c>
      <c r="D452" s="619" t="s">
        <v>616</v>
      </c>
      <c r="E452" s="410"/>
      <c r="F452" s="410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08"/>
    </row>
    <row r="453" spans="1:17" ht="20.25" customHeight="1" x14ac:dyDescent="0.25">
      <c r="A453" s="129"/>
      <c r="B453" s="129"/>
      <c r="C453" s="609"/>
      <c r="D453" s="528" t="s">
        <v>968</v>
      </c>
      <c r="E453" s="410"/>
      <c r="F453" s="410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08"/>
    </row>
    <row r="454" spans="1:17" ht="27.6" customHeight="1" x14ac:dyDescent="0.25">
      <c r="A454" s="129"/>
      <c r="B454" s="129"/>
      <c r="C454" s="609" t="s">
        <v>989</v>
      </c>
      <c r="D454" s="613" t="s">
        <v>618</v>
      </c>
      <c r="E454" s="410"/>
      <c r="F454" s="410">
        <v>163621</v>
      </c>
      <c r="G454" s="134">
        <f>514+táj2!G454</f>
        <v>514</v>
      </c>
      <c r="H454" s="134">
        <f>121+táj2!H454</f>
        <v>121</v>
      </c>
      <c r="I454" s="134">
        <f>28328+táj2!I454</f>
        <v>28328</v>
      </c>
      <c r="J454" s="134"/>
      <c r="K454" s="134"/>
      <c r="L454" s="134">
        <f>50151+táj2!L454</f>
        <v>50151</v>
      </c>
      <c r="M454" s="134">
        <f>845294+táj2!M454</f>
        <v>845294</v>
      </c>
      <c r="N454" s="134"/>
      <c r="O454" s="134"/>
      <c r="P454" s="134"/>
      <c r="Q454" s="108">
        <f t="shared" si="41"/>
        <v>924408</v>
      </c>
    </row>
    <row r="455" spans="1:17" ht="30.6" customHeight="1" x14ac:dyDescent="0.25">
      <c r="A455" s="129"/>
      <c r="B455" s="129"/>
      <c r="C455" s="609" t="s">
        <v>990</v>
      </c>
      <c r="D455" s="613" t="s">
        <v>621</v>
      </c>
      <c r="E455" s="410"/>
      <c r="F455" s="410">
        <v>163702</v>
      </c>
      <c r="G455" s="134"/>
      <c r="H455" s="134"/>
      <c r="I455" s="134">
        <f>106051+táj2!I455</f>
        <v>138858</v>
      </c>
      <c r="J455" s="134"/>
      <c r="K455" s="134"/>
      <c r="L455" s="134">
        <f>365636+táj2!L455</f>
        <v>188377</v>
      </c>
      <c r="M455" s="134">
        <f>0+táj2!M455</f>
        <v>65917</v>
      </c>
      <c r="N455" s="134">
        <f>520000+táj2!N455</f>
        <v>650000</v>
      </c>
      <c r="O455" s="134"/>
      <c r="P455" s="134"/>
      <c r="Q455" s="108">
        <f t="shared" si="41"/>
        <v>1043152</v>
      </c>
    </row>
    <row r="456" spans="1:17" ht="27" customHeight="1" x14ac:dyDescent="0.25">
      <c r="A456" s="409"/>
      <c r="B456" s="409"/>
      <c r="C456" s="609" t="s">
        <v>991</v>
      </c>
      <c r="D456" s="613" t="s">
        <v>624</v>
      </c>
      <c r="E456" s="410"/>
      <c r="F456" s="410">
        <v>163641</v>
      </c>
      <c r="G456" s="413"/>
      <c r="H456" s="413"/>
      <c r="I456" s="134"/>
      <c r="J456" s="134"/>
      <c r="K456" s="134"/>
      <c r="L456" s="134"/>
      <c r="M456" s="413"/>
      <c r="N456" s="134">
        <f>495+táj2!N456</f>
        <v>495</v>
      </c>
      <c r="O456" s="413"/>
      <c r="P456" s="413"/>
      <c r="Q456" s="108">
        <f t="shared" si="41"/>
        <v>495</v>
      </c>
    </row>
    <row r="457" spans="1:17" ht="24.6" customHeight="1" x14ac:dyDescent="0.25">
      <c r="A457" s="129"/>
      <c r="B457" s="129"/>
      <c r="C457" s="609" t="s">
        <v>992</v>
      </c>
      <c r="D457" s="512" t="s">
        <v>626</v>
      </c>
      <c r="E457" s="410"/>
      <c r="F457" s="410">
        <v>163644</v>
      </c>
      <c r="G457" s="134"/>
      <c r="H457" s="134"/>
      <c r="I457" s="134">
        <f>259+táj2!I457</f>
        <v>13018</v>
      </c>
      <c r="J457" s="134"/>
      <c r="K457" s="134"/>
      <c r="L457" s="134">
        <f>176884+táj2!L457</f>
        <v>0</v>
      </c>
      <c r="M457" s="134">
        <f>0+táj2!M457</f>
        <v>0</v>
      </c>
      <c r="N457" s="134">
        <f>0+táj2!N457</f>
        <v>185466</v>
      </c>
      <c r="O457" s="134"/>
      <c r="P457" s="134"/>
      <c r="Q457" s="108">
        <f t="shared" si="41"/>
        <v>198484</v>
      </c>
    </row>
    <row r="458" spans="1:17" ht="24.6" customHeight="1" x14ac:dyDescent="0.25">
      <c r="A458" s="129"/>
      <c r="B458" s="129"/>
      <c r="C458" s="609" t="s">
        <v>993</v>
      </c>
      <c r="D458" s="612" t="s">
        <v>994</v>
      </c>
      <c r="E458" s="410"/>
      <c r="F458" s="410">
        <v>163650</v>
      </c>
      <c r="G458" s="134"/>
      <c r="H458" s="134"/>
      <c r="I458" s="134">
        <f>1031478+táj2!I458</f>
        <v>1057600</v>
      </c>
      <c r="J458" s="134"/>
      <c r="K458" s="134"/>
      <c r="L458" s="134">
        <f>4170545+táj2!L458</f>
        <v>4267292</v>
      </c>
      <c r="M458" s="134">
        <f>3160812+táj2!M458</f>
        <v>3316597</v>
      </c>
      <c r="N458" s="134">
        <f>1931290+táj2!N458</f>
        <v>1931290</v>
      </c>
      <c r="O458" s="134"/>
      <c r="P458" s="134"/>
      <c r="Q458" s="108">
        <f t="shared" ref="Q458:Q478" si="42">SUM(G458:P458)</f>
        <v>10572779</v>
      </c>
    </row>
    <row r="459" spans="1:17" ht="18.600000000000001" customHeight="1" x14ac:dyDescent="0.25">
      <c r="A459" s="129"/>
      <c r="B459" s="129"/>
      <c r="C459" s="618" t="s">
        <v>615</v>
      </c>
      <c r="D459" s="620" t="s">
        <v>628</v>
      </c>
      <c r="E459" s="410"/>
      <c r="F459" s="410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08"/>
    </row>
    <row r="460" spans="1:17" ht="25.5" customHeight="1" x14ac:dyDescent="0.25">
      <c r="A460" s="511"/>
      <c r="B460" s="511"/>
      <c r="C460" s="609" t="s">
        <v>1043</v>
      </c>
      <c r="D460" s="545" t="s">
        <v>974</v>
      </c>
      <c r="E460" s="410"/>
      <c r="F460" s="537">
        <v>132937</v>
      </c>
      <c r="G460" s="134">
        <f>2622+táj2!G460</f>
        <v>2622</v>
      </c>
      <c r="H460" s="134">
        <f>341+táj2!H460</f>
        <v>341</v>
      </c>
      <c r="I460" s="134">
        <f>51734+táj2!I460</f>
        <v>51734</v>
      </c>
      <c r="J460" s="134"/>
      <c r="K460" s="134"/>
      <c r="L460" s="134">
        <f>203905+táj2!L460</f>
        <v>203905</v>
      </c>
      <c r="M460" s="534"/>
      <c r="N460" s="534"/>
      <c r="O460" s="534"/>
      <c r="P460" s="534"/>
      <c r="Q460" s="108">
        <f t="shared" si="42"/>
        <v>258602</v>
      </c>
    </row>
    <row r="461" spans="1:17" ht="18.600000000000001" customHeight="1" x14ac:dyDescent="0.25">
      <c r="A461" s="511"/>
      <c r="B461" s="511"/>
      <c r="C461" s="735" t="s">
        <v>1067</v>
      </c>
      <c r="D461" s="545" t="s">
        <v>1068</v>
      </c>
      <c r="E461" s="733"/>
      <c r="F461" s="733">
        <v>163663</v>
      </c>
      <c r="G461" s="534"/>
      <c r="H461" s="534"/>
      <c r="I461" s="134">
        <f>10951+táj2!I461</f>
        <v>10951</v>
      </c>
      <c r="J461" s="534"/>
      <c r="K461" s="534"/>
      <c r="L461" s="534"/>
      <c r="M461" s="534"/>
      <c r="N461" s="534"/>
      <c r="O461" s="534"/>
      <c r="P461" s="534"/>
      <c r="Q461" s="108">
        <f t="shared" si="42"/>
        <v>10951</v>
      </c>
    </row>
    <row r="462" spans="1:17" ht="26.25" customHeight="1" x14ac:dyDescent="0.25">
      <c r="A462" s="738"/>
      <c r="B462" s="738"/>
      <c r="C462" s="826" t="s">
        <v>1168</v>
      </c>
      <c r="D462" s="550" t="s">
        <v>1169</v>
      </c>
      <c r="E462" s="730"/>
      <c r="F462" s="730">
        <v>163664</v>
      </c>
      <c r="G462" s="534"/>
      <c r="H462" s="534"/>
      <c r="I462" s="134">
        <f>0+táj2!I462</f>
        <v>19335</v>
      </c>
      <c r="J462" s="134"/>
      <c r="K462" s="134"/>
      <c r="L462" s="134">
        <f>0+táj2!L462</f>
        <v>408927</v>
      </c>
      <c r="M462" s="534"/>
      <c r="N462" s="534"/>
      <c r="O462" s="534"/>
      <c r="P462" s="534"/>
      <c r="Q462" s="108">
        <f t="shared" si="42"/>
        <v>428262</v>
      </c>
    </row>
    <row r="463" spans="1:17" ht="15" customHeight="1" x14ac:dyDescent="0.25">
      <c r="A463" s="129"/>
      <c r="B463" s="129"/>
      <c r="C463" s="618"/>
      <c r="D463" s="528" t="s">
        <v>968</v>
      </c>
      <c r="E463" s="410"/>
      <c r="F463" s="410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08"/>
    </row>
    <row r="464" spans="1:17" ht="36.6" customHeight="1" x14ac:dyDescent="0.25">
      <c r="A464" s="129"/>
      <c r="B464" s="129"/>
      <c r="C464" s="609" t="s">
        <v>617</v>
      </c>
      <c r="D464" s="621" t="s">
        <v>995</v>
      </c>
      <c r="E464" s="622"/>
      <c r="F464" s="623">
        <v>163654</v>
      </c>
      <c r="G464" s="134"/>
      <c r="H464" s="134"/>
      <c r="I464" s="134">
        <f>514282+táj2!I464</f>
        <v>514282</v>
      </c>
      <c r="J464" s="134"/>
      <c r="K464" s="134"/>
      <c r="L464" s="134">
        <f>1659657+táj2!L464</f>
        <v>1659657</v>
      </c>
      <c r="M464" s="134"/>
      <c r="N464" s="134"/>
      <c r="O464" s="134"/>
      <c r="P464" s="134"/>
      <c r="Q464" s="108">
        <f t="shared" si="42"/>
        <v>2173939</v>
      </c>
    </row>
    <row r="465" spans="1:17" ht="44.25" customHeight="1" x14ac:dyDescent="0.25">
      <c r="A465" s="129"/>
      <c r="B465" s="129"/>
      <c r="C465" s="609" t="s">
        <v>619</v>
      </c>
      <c r="D465" s="613" t="s">
        <v>996</v>
      </c>
      <c r="E465" s="410"/>
      <c r="F465" s="410">
        <v>163659</v>
      </c>
      <c r="G465" s="134"/>
      <c r="H465" s="134"/>
      <c r="I465" s="134">
        <f>10000+táj2!I465</f>
        <v>10000</v>
      </c>
      <c r="J465" s="134"/>
      <c r="K465" s="134"/>
      <c r="L465" s="134"/>
      <c r="M465" s="134"/>
      <c r="N465" s="134"/>
      <c r="O465" s="134"/>
      <c r="P465" s="134"/>
      <c r="Q465" s="108">
        <f t="shared" si="42"/>
        <v>10000</v>
      </c>
    </row>
    <row r="466" spans="1:17" ht="37.950000000000003" customHeight="1" x14ac:dyDescent="0.25">
      <c r="A466" s="372"/>
      <c r="B466" s="372"/>
      <c r="C466" s="609" t="s">
        <v>620</v>
      </c>
      <c r="D466" s="613" t="s">
        <v>997</v>
      </c>
      <c r="E466" s="410"/>
      <c r="F466" s="410">
        <v>163661</v>
      </c>
      <c r="G466" s="134"/>
      <c r="H466" s="134"/>
      <c r="I466" s="134">
        <f>248997+táj2!I466</f>
        <v>248997</v>
      </c>
      <c r="J466" s="134"/>
      <c r="K466" s="134"/>
      <c r="L466" s="134">
        <f>5731688+táj2!L466</f>
        <v>5727910</v>
      </c>
      <c r="M466" s="134"/>
      <c r="N466" s="134"/>
      <c r="O466" s="134"/>
      <c r="P466" s="134"/>
      <c r="Q466" s="108">
        <f t="shared" si="42"/>
        <v>5976907</v>
      </c>
    </row>
    <row r="467" spans="1:17" ht="36.75" customHeight="1" x14ac:dyDescent="0.25">
      <c r="A467" s="129"/>
      <c r="B467" s="129"/>
      <c r="C467" s="609" t="s">
        <v>622</v>
      </c>
      <c r="D467" s="613" t="s">
        <v>631</v>
      </c>
      <c r="E467" s="410"/>
      <c r="F467" s="410">
        <v>163645</v>
      </c>
      <c r="G467" s="134">
        <f>418+táj2!G467</f>
        <v>418</v>
      </c>
      <c r="H467" s="134">
        <f>81+táj2!H467</f>
        <v>81</v>
      </c>
      <c r="I467" s="134"/>
      <c r="J467" s="134"/>
      <c r="K467" s="134"/>
      <c r="L467" s="134"/>
      <c r="M467" s="134"/>
      <c r="N467" s="134"/>
      <c r="O467" s="134"/>
      <c r="P467" s="134"/>
      <c r="Q467" s="108">
        <f t="shared" si="42"/>
        <v>499</v>
      </c>
    </row>
    <row r="468" spans="1:17" ht="16.2" customHeight="1" x14ac:dyDescent="0.25">
      <c r="A468" s="129"/>
      <c r="B468" s="129"/>
      <c r="C468" s="609" t="s">
        <v>623</v>
      </c>
      <c r="D468" s="613" t="s">
        <v>195</v>
      </c>
      <c r="E468" s="410"/>
      <c r="F468" s="410">
        <v>162607</v>
      </c>
      <c r="G468" s="134"/>
      <c r="H468" s="134"/>
      <c r="I468" s="134">
        <f>249+táj2!I468</f>
        <v>249</v>
      </c>
      <c r="J468" s="134"/>
      <c r="K468" s="134">
        <f>509+táj2!K468</f>
        <v>509</v>
      </c>
      <c r="L468" s="134"/>
      <c r="M468" s="134"/>
      <c r="N468" s="134">
        <f>472+táj2!N468</f>
        <v>472</v>
      </c>
      <c r="O468" s="134"/>
      <c r="P468" s="134"/>
      <c r="Q468" s="108">
        <f t="shared" si="42"/>
        <v>1230</v>
      </c>
    </row>
    <row r="469" spans="1:17" ht="19.2" customHeight="1" x14ac:dyDescent="0.25">
      <c r="A469" s="129"/>
      <c r="B469" s="129"/>
      <c r="C469" s="609" t="s">
        <v>625</v>
      </c>
      <c r="D469" s="613" t="s">
        <v>864</v>
      </c>
      <c r="E469" s="410"/>
      <c r="F469" s="410">
        <v>163655</v>
      </c>
      <c r="G469" s="134"/>
      <c r="H469" s="134"/>
      <c r="I469" s="134"/>
      <c r="J469" s="134"/>
      <c r="K469" s="134"/>
      <c r="L469" s="134">
        <f>41256+táj2!L469</f>
        <v>41256</v>
      </c>
      <c r="M469" s="134"/>
      <c r="N469" s="134"/>
      <c r="O469" s="134"/>
      <c r="P469" s="134"/>
      <c r="Q469" s="108">
        <f t="shared" si="42"/>
        <v>41256</v>
      </c>
    </row>
    <row r="470" spans="1:17" ht="24.75" customHeight="1" x14ac:dyDescent="0.25">
      <c r="A470" s="129"/>
      <c r="B470" s="129"/>
      <c r="C470" s="609" t="s">
        <v>998</v>
      </c>
      <c r="D470" s="613" t="s">
        <v>634</v>
      </c>
      <c r="E470" s="410"/>
      <c r="F470" s="410">
        <v>162640</v>
      </c>
      <c r="G470" s="134"/>
      <c r="H470" s="134"/>
      <c r="I470" s="134">
        <f>59055+táj2!I470</f>
        <v>59055</v>
      </c>
      <c r="J470" s="134"/>
      <c r="K470" s="134">
        <f>84261+táj2!K470</f>
        <v>84261</v>
      </c>
      <c r="L470" s="134"/>
      <c r="M470" s="134"/>
      <c r="N470" s="134"/>
      <c r="O470" s="134"/>
      <c r="P470" s="134"/>
      <c r="Q470" s="108">
        <f t="shared" si="42"/>
        <v>143316</v>
      </c>
    </row>
    <row r="471" spans="1:17" ht="15" customHeight="1" x14ac:dyDescent="0.25">
      <c r="A471" s="129"/>
      <c r="B471" s="129"/>
      <c r="C471" s="609" t="s">
        <v>999</v>
      </c>
      <c r="D471" s="546" t="s">
        <v>748</v>
      </c>
      <c r="E471" s="410"/>
      <c r="F471" s="410">
        <v>163651</v>
      </c>
      <c r="G471" s="134"/>
      <c r="H471" s="134"/>
      <c r="I471" s="134">
        <f>3363+táj2!I471</f>
        <v>3363</v>
      </c>
      <c r="J471" s="134"/>
      <c r="K471" s="134"/>
      <c r="L471" s="134">
        <f>8019+táj2!L471</f>
        <v>8019</v>
      </c>
      <c r="M471" s="134"/>
      <c r="N471" s="134"/>
      <c r="O471" s="134"/>
      <c r="P471" s="134"/>
      <c r="Q471" s="108">
        <f t="shared" si="42"/>
        <v>11382</v>
      </c>
    </row>
    <row r="472" spans="1:17" ht="15.6" customHeight="1" x14ac:dyDescent="0.25">
      <c r="A472" s="129"/>
      <c r="B472" s="129"/>
      <c r="C472" s="624" t="s">
        <v>627</v>
      </c>
      <c r="D472" s="625" t="s">
        <v>633</v>
      </c>
      <c r="E472" s="410"/>
      <c r="F472" s="410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08"/>
    </row>
    <row r="473" spans="1:17" ht="24.75" customHeight="1" x14ac:dyDescent="0.25">
      <c r="A473" s="129"/>
      <c r="B473" s="129"/>
      <c r="C473" s="544" t="s">
        <v>1000</v>
      </c>
      <c r="D473" s="626" t="s">
        <v>1001</v>
      </c>
      <c r="E473" s="601"/>
      <c r="F473" s="537">
        <v>162699</v>
      </c>
      <c r="G473" s="134"/>
      <c r="H473" s="134"/>
      <c r="I473" s="134"/>
      <c r="J473" s="134"/>
      <c r="K473" s="134"/>
      <c r="L473" s="134">
        <f>125000+táj2!L473</f>
        <v>125000</v>
      </c>
      <c r="M473" s="134"/>
      <c r="N473" s="134"/>
      <c r="O473" s="134"/>
      <c r="P473" s="134"/>
      <c r="Q473" s="108">
        <f t="shared" si="42"/>
        <v>125000</v>
      </c>
    </row>
    <row r="474" spans="1:17" ht="16.2" customHeight="1" x14ac:dyDescent="0.25">
      <c r="A474" s="129"/>
      <c r="B474" s="129"/>
      <c r="C474" s="624"/>
      <c r="D474" s="528" t="s">
        <v>968</v>
      </c>
      <c r="E474" s="601"/>
      <c r="F474" s="537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08"/>
    </row>
    <row r="475" spans="1:17" ht="15.6" customHeight="1" x14ac:dyDescent="0.25">
      <c r="A475" s="129"/>
      <c r="B475" s="129"/>
      <c r="C475" s="511" t="s">
        <v>629</v>
      </c>
      <c r="D475" s="627" t="s">
        <v>777</v>
      </c>
      <c r="E475" s="26"/>
      <c r="F475" s="537">
        <v>162612</v>
      </c>
      <c r="G475" s="134"/>
      <c r="H475" s="134"/>
      <c r="I475" s="134"/>
      <c r="J475" s="134"/>
      <c r="K475" s="134"/>
      <c r="L475" s="134">
        <f>427+táj2!L475</f>
        <v>427</v>
      </c>
      <c r="M475" s="134"/>
      <c r="N475" s="134"/>
      <c r="O475" s="134"/>
      <c r="P475" s="134"/>
      <c r="Q475" s="108">
        <f t="shared" si="42"/>
        <v>427</v>
      </c>
    </row>
    <row r="476" spans="1:17" ht="15.6" customHeight="1" x14ac:dyDescent="0.25">
      <c r="A476" s="129"/>
      <c r="B476" s="129"/>
      <c r="C476" s="511" t="s">
        <v>630</v>
      </c>
      <c r="D476" s="546" t="s">
        <v>635</v>
      </c>
      <c r="E476" s="410"/>
      <c r="F476" s="410">
        <v>162633</v>
      </c>
      <c r="G476" s="134"/>
      <c r="H476" s="134"/>
      <c r="I476" s="134">
        <f>5835+táj2!I476</f>
        <v>15994</v>
      </c>
      <c r="J476" s="134"/>
      <c r="K476" s="134">
        <f>3+táj2!K476</f>
        <v>3</v>
      </c>
      <c r="L476" s="134">
        <f>9423+táj2!L476</f>
        <v>7793</v>
      </c>
      <c r="M476" s="134"/>
      <c r="N476" s="134"/>
      <c r="O476" s="134"/>
      <c r="P476" s="134"/>
      <c r="Q476" s="108">
        <f t="shared" si="42"/>
        <v>23790</v>
      </c>
    </row>
    <row r="477" spans="1:17" ht="22.95" customHeight="1" x14ac:dyDescent="0.25">
      <c r="A477" s="129"/>
      <c r="B477" s="129"/>
      <c r="C477" s="511" t="s">
        <v>632</v>
      </c>
      <c r="D477" s="546" t="s">
        <v>1123</v>
      </c>
      <c r="E477" s="410"/>
      <c r="F477" s="410">
        <v>163631</v>
      </c>
      <c r="G477" s="134"/>
      <c r="H477" s="134"/>
      <c r="I477" s="134">
        <f>8808+táj2!I477</f>
        <v>5327</v>
      </c>
      <c r="J477" s="134"/>
      <c r="K477" s="134"/>
      <c r="L477" s="134">
        <f>17828+táj2!L477</f>
        <v>17828</v>
      </c>
      <c r="M477" s="134"/>
      <c r="N477" s="134"/>
      <c r="O477" s="134"/>
      <c r="P477" s="134"/>
      <c r="Q477" s="108">
        <f t="shared" si="42"/>
        <v>23155</v>
      </c>
    </row>
    <row r="478" spans="1:17" ht="28.95" customHeight="1" x14ac:dyDescent="0.25">
      <c r="A478" s="129"/>
      <c r="B478" s="129"/>
      <c r="C478" s="511" t="s">
        <v>828</v>
      </c>
      <c r="D478" s="546" t="s">
        <v>778</v>
      </c>
      <c r="E478" s="410"/>
      <c r="F478" s="410">
        <v>163647</v>
      </c>
      <c r="G478" s="134"/>
      <c r="H478" s="134"/>
      <c r="I478" s="134"/>
      <c r="J478" s="134"/>
      <c r="K478" s="134"/>
      <c r="L478" s="134">
        <f>8053+táj2!L478</f>
        <v>8053</v>
      </c>
      <c r="M478" s="134"/>
      <c r="N478" s="134"/>
      <c r="O478" s="134"/>
      <c r="P478" s="134"/>
      <c r="Q478" s="108">
        <f t="shared" si="42"/>
        <v>8053</v>
      </c>
    </row>
    <row r="479" spans="1:17" ht="14.1" customHeight="1" x14ac:dyDescent="0.25">
      <c r="A479" s="309"/>
      <c r="B479" s="309"/>
      <c r="C479" s="310"/>
      <c r="D479" s="311" t="s">
        <v>636</v>
      </c>
      <c r="E479" s="312"/>
      <c r="F479" s="313"/>
      <c r="G479" s="314">
        <f t="shared" ref="G479:Q479" si="43">SUM(G378:G478)</f>
        <v>30917</v>
      </c>
      <c r="H479" s="314">
        <f t="shared" si="43"/>
        <v>4220</v>
      </c>
      <c r="I479" s="314">
        <f t="shared" si="43"/>
        <v>3683069</v>
      </c>
      <c r="J479" s="314">
        <f t="shared" si="43"/>
        <v>0</v>
      </c>
      <c r="K479" s="314">
        <f t="shared" si="43"/>
        <v>95924</v>
      </c>
      <c r="L479" s="314">
        <f t="shared" si="43"/>
        <v>17173948</v>
      </c>
      <c r="M479" s="314">
        <f t="shared" si="43"/>
        <v>6334485</v>
      </c>
      <c r="N479" s="314">
        <f t="shared" si="43"/>
        <v>2900035</v>
      </c>
      <c r="O479" s="314">
        <f t="shared" si="43"/>
        <v>0</v>
      </c>
      <c r="P479" s="314">
        <f t="shared" si="43"/>
        <v>0</v>
      </c>
      <c r="Q479" s="314">
        <f t="shared" si="43"/>
        <v>30222598</v>
      </c>
    </row>
    <row r="480" spans="1:17" ht="15" customHeight="1" x14ac:dyDescent="0.25">
      <c r="A480" s="129">
        <v>1</v>
      </c>
      <c r="B480" s="129">
        <v>17</v>
      </c>
      <c r="C480" s="145"/>
      <c r="D480" s="178" t="s">
        <v>637</v>
      </c>
      <c r="E480" s="157"/>
      <c r="F480" s="108"/>
      <c r="G480" s="108"/>
      <c r="H480" s="134"/>
      <c r="I480" s="134"/>
      <c r="J480" s="134"/>
      <c r="K480" s="134"/>
      <c r="L480" s="134"/>
      <c r="M480" s="108"/>
      <c r="N480" s="108"/>
      <c r="O480" s="108"/>
      <c r="P480" s="108"/>
      <c r="Q480" s="108"/>
    </row>
    <row r="481" spans="1:17" ht="15" customHeight="1" x14ac:dyDescent="0.25">
      <c r="A481" s="129"/>
      <c r="B481" s="129"/>
      <c r="C481" s="145"/>
      <c r="D481" s="146" t="s">
        <v>215</v>
      </c>
      <c r="E481" s="161"/>
      <c r="F481" s="140"/>
      <c r="G481" s="108"/>
      <c r="H481" s="134"/>
      <c r="I481" s="134"/>
      <c r="J481" s="134"/>
      <c r="K481" s="134"/>
      <c r="L481" s="134"/>
      <c r="M481" s="108"/>
      <c r="N481" s="108"/>
      <c r="O481" s="108"/>
      <c r="P481" s="108"/>
      <c r="Q481" s="108"/>
    </row>
    <row r="482" spans="1:17" ht="15" customHeight="1" x14ac:dyDescent="0.25">
      <c r="A482" s="129"/>
      <c r="B482" s="129"/>
      <c r="C482" s="145"/>
      <c r="D482" s="143" t="s">
        <v>638</v>
      </c>
      <c r="E482" s="108">
        <v>1</v>
      </c>
      <c r="F482" s="108">
        <v>171905</v>
      </c>
      <c r="G482" s="108"/>
      <c r="H482" s="108"/>
      <c r="I482" s="108">
        <f>119452+táj2!I482</f>
        <v>134302</v>
      </c>
      <c r="J482" s="108"/>
      <c r="K482" s="108"/>
      <c r="L482" s="108"/>
      <c r="M482" s="108">
        <f>1548+táj2!M482</f>
        <v>1548</v>
      </c>
      <c r="N482" s="108"/>
      <c r="O482" s="108"/>
      <c r="P482" s="108"/>
      <c r="Q482" s="108">
        <f t="shared" ref="Q482:Q490" si="44">SUM(G482:P482)</f>
        <v>135850</v>
      </c>
    </row>
    <row r="483" spans="1:17" ht="15" customHeight="1" x14ac:dyDescent="0.25">
      <c r="A483" s="129"/>
      <c r="B483" s="129"/>
      <c r="C483" s="145"/>
      <c r="D483" s="143" t="s">
        <v>639</v>
      </c>
      <c r="E483" s="140">
        <v>1</v>
      </c>
      <c r="F483" s="108">
        <v>171920</v>
      </c>
      <c r="G483" s="108"/>
      <c r="H483" s="108"/>
      <c r="I483" s="108">
        <f>5568+táj2!I483</f>
        <v>5568</v>
      </c>
      <c r="J483" s="108"/>
      <c r="K483" s="108"/>
      <c r="L483" s="108"/>
      <c r="M483" s="108"/>
      <c r="N483" s="108"/>
      <c r="O483" s="108"/>
      <c r="P483" s="108"/>
      <c r="Q483" s="108">
        <f t="shared" si="44"/>
        <v>5568</v>
      </c>
    </row>
    <row r="484" spans="1:17" ht="15" customHeight="1" x14ac:dyDescent="0.25">
      <c r="A484" s="129"/>
      <c r="B484" s="129"/>
      <c r="C484" s="145"/>
      <c r="D484" s="150" t="s">
        <v>640</v>
      </c>
      <c r="E484" s="140">
        <v>1</v>
      </c>
      <c r="F484" s="108">
        <v>171956</v>
      </c>
      <c r="G484" s="108"/>
      <c r="H484" s="108"/>
      <c r="I484" s="108">
        <f>2349+táj2!I484</f>
        <v>2349</v>
      </c>
      <c r="J484" s="108"/>
      <c r="K484" s="108"/>
      <c r="L484" s="108"/>
      <c r="M484" s="108"/>
      <c r="N484" s="108"/>
      <c r="O484" s="108"/>
      <c r="P484" s="108"/>
      <c r="Q484" s="108">
        <f t="shared" si="44"/>
        <v>2349</v>
      </c>
    </row>
    <row r="485" spans="1:17" ht="15" customHeight="1" x14ac:dyDescent="0.25">
      <c r="A485" s="511"/>
      <c r="B485" s="511"/>
      <c r="C485" s="544"/>
      <c r="D485" s="754" t="s">
        <v>1095</v>
      </c>
      <c r="E485" s="532">
        <v>1</v>
      </c>
      <c r="F485" s="537">
        <v>172901</v>
      </c>
      <c r="G485" s="537"/>
      <c r="H485" s="537"/>
      <c r="I485" s="108"/>
      <c r="J485" s="108"/>
      <c r="K485" s="108"/>
      <c r="L485" s="108">
        <f>143+táj2!L485</f>
        <v>143</v>
      </c>
      <c r="M485" s="537"/>
      <c r="N485" s="537"/>
      <c r="O485" s="537"/>
      <c r="P485" s="537"/>
      <c r="Q485" s="108">
        <f t="shared" si="44"/>
        <v>143</v>
      </c>
    </row>
    <row r="486" spans="1:17" ht="15" customHeight="1" x14ac:dyDescent="0.25">
      <c r="A486" s="129"/>
      <c r="B486" s="129"/>
      <c r="C486" s="145"/>
      <c r="D486" s="150" t="s">
        <v>641</v>
      </c>
      <c r="E486" s="140">
        <v>1</v>
      </c>
      <c r="F486" s="108">
        <v>171958</v>
      </c>
      <c r="G486" s="108"/>
      <c r="H486" s="108"/>
      <c r="I486" s="108">
        <f>500+táj2!I486</f>
        <v>500</v>
      </c>
      <c r="J486" s="108"/>
      <c r="K486" s="108"/>
      <c r="L486" s="108"/>
      <c r="M486" s="108"/>
      <c r="N486" s="108"/>
      <c r="O486" s="108"/>
      <c r="P486" s="108"/>
      <c r="Q486" s="108">
        <f t="shared" si="44"/>
        <v>500</v>
      </c>
    </row>
    <row r="487" spans="1:17" ht="15" customHeight="1" x14ac:dyDescent="0.25">
      <c r="A487" s="129"/>
      <c r="B487" s="129"/>
      <c r="C487" s="145"/>
      <c r="D487" s="150" t="s">
        <v>642</v>
      </c>
      <c r="E487" s="140">
        <v>1</v>
      </c>
      <c r="F487" s="108">
        <v>171904</v>
      </c>
      <c r="G487" s="108"/>
      <c r="H487" s="108"/>
      <c r="I487" s="108">
        <f>2000+táj2!I487</f>
        <v>2000</v>
      </c>
      <c r="J487" s="108"/>
      <c r="K487" s="108"/>
      <c r="L487" s="108"/>
      <c r="M487" s="108"/>
      <c r="N487" s="108"/>
      <c r="O487" s="108"/>
      <c r="P487" s="108"/>
      <c r="Q487" s="108">
        <f t="shared" si="44"/>
        <v>2000</v>
      </c>
    </row>
    <row r="488" spans="1:17" ht="15" customHeight="1" x14ac:dyDescent="0.25">
      <c r="A488" s="129"/>
      <c r="B488" s="129"/>
      <c r="C488" s="145"/>
      <c r="D488" s="143" t="s">
        <v>643</v>
      </c>
      <c r="E488" s="108">
        <v>1</v>
      </c>
      <c r="F488" s="108">
        <v>171902</v>
      </c>
      <c r="G488" s="108"/>
      <c r="H488" s="108"/>
      <c r="I488" s="108">
        <f>17223+táj2!I488</f>
        <v>12416</v>
      </c>
      <c r="J488" s="108"/>
      <c r="K488" s="108"/>
      <c r="L488" s="108"/>
      <c r="M488" s="108"/>
      <c r="N488" s="108"/>
      <c r="O488" s="108"/>
      <c r="P488" s="108"/>
      <c r="Q488" s="108">
        <f t="shared" si="44"/>
        <v>12416</v>
      </c>
    </row>
    <row r="489" spans="1:17" ht="15" customHeight="1" x14ac:dyDescent="0.25">
      <c r="A489" s="129"/>
      <c r="B489" s="129"/>
      <c r="C489" s="145"/>
      <c r="D489" s="143" t="s">
        <v>644</v>
      </c>
      <c r="E489" s="108">
        <v>1</v>
      </c>
      <c r="F489" s="108">
        <v>171925</v>
      </c>
      <c r="G489" s="108"/>
      <c r="H489" s="108"/>
      <c r="I489" s="108">
        <f>1000+táj2!I489</f>
        <v>1000</v>
      </c>
      <c r="J489" s="108"/>
      <c r="K489" s="108"/>
      <c r="L489" s="108"/>
      <c r="M489" s="108"/>
      <c r="N489" s="108"/>
      <c r="O489" s="108"/>
      <c r="P489" s="108"/>
      <c r="Q489" s="108">
        <f t="shared" si="44"/>
        <v>1000</v>
      </c>
    </row>
    <row r="490" spans="1:17" ht="24.75" customHeight="1" x14ac:dyDescent="0.25">
      <c r="A490" s="129"/>
      <c r="B490" s="129"/>
      <c r="C490" s="145"/>
      <c r="D490" s="315" t="s">
        <v>779</v>
      </c>
      <c r="E490" s="316">
        <v>1</v>
      </c>
      <c r="F490" s="108">
        <v>171911</v>
      </c>
      <c r="G490" s="108"/>
      <c r="H490" s="108"/>
      <c r="I490" s="108">
        <f>25900+táj2!I490</f>
        <v>25900</v>
      </c>
      <c r="J490" s="108"/>
      <c r="K490" s="108"/>
      <c r="L490" s="108"/>
      <c r="M490" s="108"/>
      <c r="N490" s="108"/>
      <c r="O490" s="108"/>
      <c r="P490" s="108"/>
      <c r="Q490" s="108">
        <f t="shared" si="44"/>
        <v>25900</v>
      </c>
    </row>
    <row r="491" spans="1:17" ht="15" customHeight="1" x14ac:dyDescent="0.25">
      <c r="A491" s="129"/>
      <c r="B491" s="129"/>
      <c r="C491" s="129"/>
      <c r="D491" s="108" t="s">
        <v>645</v>
      </c>
      <c r="E491" s="157"/>
      <c r="F491" s="108"/>
      <c r="G491" s="108"/>
      <c r="H491" s="134"/>
      <c r="I491" s="108"/>
      <c r="J491" s="134"/>
      <c r="K491" s="134"/>
      <c r="L491" s="134"/>
      <c r="M491" s="108"/>
      <c r="N491" s="108"/>
      <c r="O491" s="108"/>
      <c r="P491" s="108"/>
      <c r="Q491" s="108"/>
    </row>
    <row r="492" spans="1:17" ht="15" customHeight="1" x14ac:dyDescent="0.25">
      <c r="A492" s="129"/>
      <c r="B492" s="129"/>
      <c r="C492" s="129"/>
      <c r="D492" s="108" t="s">
        <v>646</v>
      </c>
      <c r="E492" s="157">
        <v>1</v>
      </c>
      <c r="F492" s="108">
        <v>171954</v>
      </c>
      <c r="G492" s="108"/>
      <c r="H492" s="108"/>
      <c r="I492" s="108">
        <f>254+táj2!I492</f>
        <v>254</v>
      </c>
      <c r="J492" s="108"/>
      <c r="K492" s="108"/>
      <c r="L492" s="108"/>
      <c r="M492" s="108"/>
      <c r="N492" s="108"/>
      <c r="O492" s="108"/>
      <c r="P492" s="108"/>
      <c r="Q492" s="108">
        <f>SUM(G492:P492)</f>
        <v>254</v>
      </c>
    </row>
    <row r="493" spans="1:17" ht="15" customHeight="1" x14ac:dyDescent="0.25">
      <c r="A493" s="738"/>
      <c r="B493" s="738"/>
      <c r="C493" s="737"/>
      <c r="D493" s="740" t="s">
        <v>1069</v>
      </c>
      <c r="E493" s="733">
        <v>1</v>
      </c>
      <c r="F493" s="537">
        <v>172958</v>
      </c>
      <c r="G493" s="736"/>
      <c r="H493" s="736"/>
      <c r="I493" s="108">
        <f>8255+táj2!I493</f>
        <v>8255</v>
      </c>
      <c r="J493" s="736"/>
      <c r="K493" s="736"/>
      <c r="L493" s="736"/>
      <c r="M493" s="736"/>
      <c r="N493" s="736"/>
      <c r="O493" s="736"/>
      <c r="P493" s="736"/>
      <c r="Q493" s="108">
        <f>SUM(G493:P493)</f>
        <v>8255</v>
      </c>
    </row>
    <row r="494" spans="1:17" ht="15" customHeight="1" x14ac:dyDescent="0.25">
      <c r="A494" s="151"/>
      <c r="B494" s="151"/>
      <c r="C494" s="317"/>
      <c r="D494" s="153" t="s">
        <v>647</v>
      </c>
      <c r="E494" s="154"/>
      <c r="F494" s="155"/>
      <c r="G494" s="155">
        <f>SUM(G481:G493)</f>
        <v>0</v>
      </c>
      <c r="H494" s="155">
        <f t="shared" ref="H494:Q494" si="45">SUM(H481:H493)</f>
        <v>0</v>
      </c>
      <c r="I494" s="155">
        <f t="shared" si="45"/>
        <v>192544</v>
      </c>
      <c r="J494" s="155">
        <f t="shared" si="45"/>
        <v>0</v>
      </c>
      <c r="K494" s="155">
        <f t="shared" si="45"/>
        <v>0</v>
      </c>
      <c r="L494" s="155">
        <f t="shared" si="45"/>
        <v>143</v>
      </c>
      <c r="M494" s="155">
        <f t="shared" si="45"/>
        <v>1548</v>
      </c>
      <c r="N494" s="155">
        <f t="shared" si="45"/>
        <v>0</v>
      </c>
      <c r="O494" s="155">
        <f t="shared" si="45"/>
        <v>0</v>
      </c>
      <c r="P494" s="155">
        <f t="shared" si="45"/>
        <v>0</v>
      </c>
      <c r="Q494" s="155">
        <f t="shared" si="45"/>
        <v>194235</v>
      </c>
    </row>
    <row r="495" spans="1:17" ht="14.1" customHeight="1" x14ac:dyDescent="0.25">
      <c r="A495" s="156"/>
      <c r="B495" s="156"/>
      <c r="C495" s="174"/>
      <c r="D495" s="175" t="s">
        <v>648</v>
      </c>
      <c r="E495" s="158"/>
      <c r="F495" s="159"/>
      <c r="G495" s="159"/>
      <c r="H495" s="159"/>
      <c r="I495" s="159"/>
      <c r="J495" s="159"/>
      <c r="K495" s="159"/>
      <c r="L495" s="159"/>
      <c r="M495" s="159"/>
      <c r="N495" s="159"/>
      <c r="O495" s="159"/>
      <c r="P495" s="159"/>
      <c r="Q495" s="159"/>
    </row>
    <row r="496" spans="1:17" ht="27" customHeight="1" x14ac:dyDescent="0.25">
      <c r="A496" s="156"/>
      <c r="B496" s="156"/>
      <c r="C496" s="145" t="s">
        <v>90</v>
      </c>
      <c r="D496" s="318" t="s">
        <v>649</v>
      </c>
      <c r="E496" s="190"/>
      <c r="F496" s="191">
        <v>171980</v>
      </c>
      <c r="G496" s="108"/>
      <c r="H496" s="108"/>
      <c r="I496" s="108"/>
      <c r="J496" s="108"/>
      <c r="K496" s="108"/>
      <c r="L496" s="108"/>
      <c r="M496" s="108"/>
      <c r="N496" s="108">
        <f>44000+táj2!N496</f>
        <v>44000</v>
      </c>
      <c r="O496" s="108"/>
      <c r="P496" s="108"/>
      <c r="Q496" s="108">
        <f>SUM(G496:P496)</f>
        <v>44000</v>
      </c>
    </row>
    <row r="497" spans="1:17" ht="15.9" customHeight="1" x14ac:dyDescent="0.25">
      <c r="A497" s="156"/>
      <c r="B497" s="156"/>
      <c r="C497" s="145"/>
      <c r="D497" s="143" t="s">
        <v>968</v>
      </c>
      <c r="E497" s="190"/>
      <c r="F497" s="191"/>
      <c r="G497" s="108"/>
      <c r="H497" s="159"/>
      <c r="I497" s="159"/>
      <c r="J497" s="159"/>
      <c r="K497" s="159"/>
      <c r="L497" s="108"/>
      <c r="M497" s="108"/>
      <c r="N497" s="108"/>
      <c r="O497" s="108"/>
      <c r="P497" s="108"/>
      <c r="Q497" s="108"/>
    </row>
    <row r="498" spans="1:17" ht="16.5" customHeight="1" x14ac:dyDescent="0.25">
      <c r="A498" s="156"/>
      <c r="B498" s="156"/>
      <c r="C498" s="145" t="s">
        <v>335</v>
      </c>
      <c r="D498" s="403" t="s">
        <v>650</v>
      </c>
      <c r="E498" s="319"/>
      <c r="F498" s="108">
        <v>162603</v>
      </c>
      <c r="G498" s="108"/>
      <c r="H498" s="108"/>
      <c r="I498" s="108">
        <f>271+táj2!I498</f>
        <v>271</v>
      </c>
      <c r="J498" s="108"/>
      <c r="K498" s="108"/>
      <c r="L498" s="108">
        <f>11725+táj2!L498</f>
        <v>12125</v>
      </c>
      <c r="M498" s="108"/>
      <c r="N498" s="108"/>
      <c r="O498" s="108"/>
      <c r="P498" s="108"/>
      <c r="Q498" s="108">
        <f>SUM(G498:P498)</f>
        <v>12396</v>
      </c>
    </row>
    <row r="499" spans="1:17" ht="15.9" customHeight="1" x14ac:dyDescent="0.25">
      <c r="A499" s="151"/>
      <c r="B499" s="151"/>
      <c r="C499" s="152"/>
      <c r="D499" s="153" t="s">
        <v>275</v>
      </c>
      <c r="E499" s="154"/>
      <c r="F499" s="155"/>
      <c r="G499" s="155">
        <f t="shared" ref="G499:Q499" si="46">SUM(G494:G498)</f>
        <v>0</v>
      </c>
      <c r="H499" s="155">
        <f t="shared" si="46"/>
        <v>0</v>
      </c>
      <c r="I499" s="155">
        <f t="shared" si="46"/>
        <v>192815</v>
      </c>
      <c r="J499" s="155">
        <f t="shared" si="46"/>
        <v>0</v>
      </c>
      <c r="K499" s="155">
        <f t="shared" si="46"/>
        <v>0</v>
      </c>
      <c r="L499" s="155">
        <f t="shared" si="46"/>
        <v>12268</v>
      </c>
      <c r="M499" s="155">
        <f t="shared" si="46"/>
        <v>1548</v>
      </c>
      <c r="N499" s="155">
        <f t="shared" si="46"/>
        <v>44000</v>
      </c>
      <c r="O499" s="155">
        <f t="shared" si="46"/>
        <v>0</v>
      </c>
      <c r="P499" s="155">
        <f t="shared" si="46"/>
        <v>0</v>
      </c>
      <c r="Q499" s="155">
        <f t="shared" si="46"/>
        <v>250631</v>
      </c>
    </row>
    <row r="500" spans="1:17" ht="15" customHeight="1" x14ac:dyDescent="0.25">
      <c r="A500" s="129">
        <v>1</v>
      </c>
      <c r="B500" s="129">
        <v>18</v>
      </c>
      <c r="C500" s="145"/>
      <c r="D500" s="178" t="s">
        <v>651</v>
      </c>
      <c r="E500" s="158"/>
      <c r="F500" s="158"/>
      <c r="G500" s="108"/>
      <c r="H500" s="134"/>
      <c r="I500" s="134"/>
      <c r="J500" s="134"/>
      <c r="K500" s="134"/>
      <c r="L500" s="134"/>
      <c r="M500" s="108"/>
      <c r="N500" s="108"/>
      <c r="O500" s="108"/>
      <c r="P500" s="108"/>
      <c r="Q500" s="108"/>
    </row>
    <row r="501" spans="1:17" ht="15.75" customHeight="1" x14ac:dyDescent="0.25">
      <c r="A501" s="129"/>
      <c r="B501" s="129"/>
      <c r="C501" s="145"/>
      <c r="D501" s="143" t="s">
        <v>215</v>
      </c>
      <c r="E501" s="161"/>
      <c r="F501" s="161"/>
      <c r="G501" s="108"/>
      <c r="H501" s="134"/>
      <c r="I501" s="134"/>
      <c r="J501" s="134"/>
      <c r="K501" s="134"/>
      <c r="L501" s="134"/>
      <c r="M501" s="108"/>
      <c r="N501" s="108"/>
      <c r="O501" s="108"/>
      <c r="P501" s="108"/>
      <c r="Q501" s="108"/>
    </row>
    <row r="502" spans="1:17" ht="17.25" customHeight="1" x14ac:dyDescent="0.25">
      <c r="A502" s="129"/>
      <c r="B502" s="129"/>
      <c r="C502" s="145"/>
      <c r="D502" s="143" t="s">
        <v>652</v>
      </c>
      <c r="E502" s="108">
        <v>2</v>
      </c>
      <c r="F502" s="108">
        <v>181905</v>
      </c>
      <c r="G502" s="108"/>
      <c r="H502" s="108"/>
      <c r="I502" s="108">
        <f>25400+táj2!I502</f>
        <v>25400</v>
      </c>
      <c r="J502" s="108"/>
      <c r="K502" s="108"/>
      <c r="L502" s="108"/>
      <c r="M502" s="108"/>
      <c r="N502" s="108"/>
      <c r="O502" s="108"/>
      <c r="P502" s="108"/>
      <c r="Q502" s="108">
        <f>SUM(G502:P502)</f>
        <v>25400</v>
      </c>
    </row>
    <row r="503" spans="1:17" ht="27.75" customHeight="1" x14ac:dyDescent="0.25">
      <c r="A503" s="129"/>
      <c r="B503" s="129"/>
      <c r="C503" s="145"/>
      <c r="D503" s="150" t="s">
        <v>653</v>
      </c>
      <c r="E503" s="108">
        <v>1</v>
      </c>
      <c r="F503" s="108" t="s">
        <v>278</v>
      </c>
      <c r="G503" s="108"/>
      <c r="H503" s="108"/>
      <c r="I503" s="108">
        <f>75000+táj2!I503</f>
        <v>82000</v>
      </c>
      <c r="J503" s="108"/>
      <c r="K503" s="108"/>
      <c r="L503" s="108">
        <f>363+táj2!L503</f>
        <v>363</v>
      </c>
      <c r="M503" s="108"/>
      <c r="N503" s="108"/>
      <c r="O503" s="108"/>
      <c r="P503" s="108"/>
      <c r="Q503" s="108">
        <f>SUM(G503:P503)</f>
        <v>82363</v>
      </c>
    </row>
    <row r="504" spans="1:17" ht="14.1" customHeight="1" x14ac:dyDescent="0.25">
      <c r="A504" s="129"/>
      <c r="B504" s="129"/>
      <c r="C504" s="145"/>
      <c r="D504" s="143" t="s">
        <v>654</v>
      </c>
      <c r="E504" s="108">
        <v>1</v>
      </c>
      <c r="F504" s="108">
        <v>181906</v>
      </c>
      <c r="G504" s="108"/>
      <c r="H504" s="108"/>
      <c r="I504" s="108">
        <f>1900+táj2!I504</f>
        <v>1900</v>
      </c>
      <c r="J504" s="108"/>
      <c r="K504" s="108"/>
      <c r="L504" s="108">
        <f>1000+táj2!L504</f>
        <v>1000</v>
      </c>
      <c r="M504" s="108"/>
      <c r="N504" s="108"/>
      <c r="O504" s="108"/>
      <c r="P504" s="108"/>
      <c r="Q504" s="108">
        <f>SUM(G504:P504)</f>
        <v>2900</v>
      </c>
    </row>
    <row r="505" spans="1:17" ht="14.1" customHeight="1" x14ac:dyDescent="0.25">
      <c r="A505" s="129"/>
      <c r="B505" s="129"/>
      <c r="C505" s="145"/>
      <c r="D505" s="143" t="s">
        <v>865</v>
      </c>
      <c r="E505" s="108">
        <v>1</v>
      </c>
      <c r="F505" s="108">
        <v>181915</v>
      </c>
      <c r="G505" s="108"/>
      <c r="H505" s="108"/>
      <c r="I505" s="108">
        <f>2850+táj2!I505</f>
        <v>2850</v>
      </c>
      <c r="J505" s="108"/>
      <c r="K505" s="108"/>
      <c r="L505" s="108"/>
      <c r="M505" s="108"/>
      <c r="N505" s="108"/>
      <c r="O505" s="108"/>
      <c r="P505" s="108"/>
      <c r="Q505" s="108">
        <f>SUM(G505:P505)</f>
        <v>2850</v>
      </c>
    </row>
    <row r="506" spans="1:17" ht="15" customHeight="1" x14ac:dyDescent="0.25">
      <c r="A506" s="129"/>
      <c r="B506" s="129"/>
      <c r="C506" s="145"/>
      <c r="D506" s="146" t="s">
        <v>206</v>
      </c>
      <c r="E506" s="165"/>
      <c r="F506" s="165"/>
      <c r="G506" s="108"/>
      <c r="H506" s="108"/>
      <c r="I506" s="108"/>
      <c r="J506" s="108"/>
      <c r="K506" s="108"/>
      <c r="L506" s="108"/>
      <c r="M506" s="108"/>
      <c r="N506" s="108"/>
      <c r="O506" s="108"/>
      <c r="P506" s="108"/>
      <c r="Q506" s="108"/>
    </row>
    <row r="507" spans="1:17" ht="24.75" customHeight="1" x14ac:dyDescent="0.25">
      <c r="A507" s="129"/>
      <c r="B507" s="129"/>
      <c r="C507" s="145"/>
      <c r="D507" s="150" t="s">
        <v>655</v>
      </c>
      <c r="E507" s="149">
        <v>1</v>
      </c>
      <c r="F507" s="108">
        <v>221950</v>
      </c>
      <c r="G507" s="108">
        <f>194788+táj2!G507</f>
        <v>194788</v>
      </c>
      <c r="H507" s="108">
        <f>24574+táj2!H507</f>
        <v>24574</v>
      </c>
      <c r="I507" s="108">
        <f>1200+táj2!I507</f>
        <v>1200</v>
      </c>
      <c r="J507" s="108"/>
      <c r="K507" s="108"/>
      <c r="L507" s="108"/>
      <c r="M507" s="108"/>
      <c r="N507" s="108"/>
      <c r="O507" s="108"/>
      <c r="P507" s="108"/>
      <c r="Q507" s="192">
        <f>SUM(G507:P507)</f>
        <v>220562</v>
      </c>
    </row>
    <row r="508" spans="1:17" ht="24.75" customHeight="1" x14ac:dyDescent="0.25">
      <c r="A508" s="129"/>
      <c r="B508" s="129"/>
      <c r="C508" s="145"/>
      <c r="D508" s="150" t="s">
        <v>656</v>
      </c>
      <c r="E508" s="140">
        <v>1</v>
      </c>
      <c r="F508" s="108">
        <v>181907</v>
      </c>
      <c r="G508" s="108"/>
      <c r="H508" s="108"/>
      <c r="I508" s="108">
        <f>22910+táj2!I508</f>
        <v>15910</v>
      </c>
      <c r="J508" s="108"/>
      <c r="K508" s="108"/>
      <c r="L508" s="108"/>
      <c r="M508" s="108"/>
      <c r="N508" s="108"/>
      <c r="O508" s="108"/>
      <c r="P508" s="108"/>
      <c r="Q508" s="108">
        <f>SUM(G508:P508)</f>
        <v>15910</v>
      </c>
    </row>
    <row r="509" spans="1:17" ht="15.75" customHeight="1" x14ac:dyDescent="0.25">
      <c r="A509" s="129"/>
      <c r="B509" s="129"/>
      <c r="C509" s="145"/>
      <c r="D509" s="143" t="s">
        <v>657</v>
      </c>
      <c r="E509" s="140"/>
      <c r="F509" s="140"/>
      <c r="G509" s="108"/>
      <c r="H509" s="108"/>
      <c r="I509" s="108"/>
      <c r="J509" s="108"/>
      <c r="K509" s="108"/>
      <c r="L509" s="108"/>
      <c r="M509" s="108"/>
      <c r="N509" s="108"/>
      <c r="O509" s="108"/>
      <c r="P509" s="108"/>
      <c r="Q509" s="108"/>
    </row>
    <row r="510" spans="1:17" ht="12.75" customHeight="1" x14ac:dyDescent="0.25">
      <c r="A510" s="129"/>
      <c r="B510" s="129"/>
      <c r="C510" s="145"/>
      <c r="D510" s="150" t="s">
        <v>658</v>
      </c>
      <c r="E510" s="140">
        <v>1</v>
      </c>
      <c r="F510" s="108">
        <v>181909</v>
      </c>
      <c r="G510" s="108"/>
      <c r="H510" s="108"/>
      <c r="I510" s="108">
        <f>2225+táj2!I510</f>
        <v>2225</v>
      </c>
      <c r="J510" s="108"/>
      <c r="K510" s="108">
        <f>3000+táj2!K510</f>
        <v>3000</v>
      </c>
      <c r="L510" s="108"/>
      <c r="M510" s="108"/>
      <c r="N510" s="108"/>
      <c r="O510" s="108"/>
      <c r="P510" s="108"/>
      <c r="Q510" s="108">
        <f>SUM(G510:P510)</f>
        <v>5225</v>
      </c>
    </row>
    <row r="511" spans="1:17" ht="26.25" customHeight="1" x14ac:dyDescent="0.25">
      <c r="A511" s="129"/>
      <c r="B511" s="129"/>
      <c r="C511" s="145"/>
      <c r="D511" s="150" t="s">
        <v>659</v>
      </c>
      <c r="E511" s="165">
        <v>2</v>
      </c>
      <c r="F511" s="167">
        <v>191142</v>
      </c>
      <c r="G511" s="108"/>
      <c r="H511" s="108"/>
      <c r="I511" s="108"/>
      <c r="J511" s="108"/>
      <c r="K511" s="108">
        <f>950+táj2!K511</f>
        <v>950</v>
      </c>
      <c r="L511" s="108"/>
      <c r="M511" s="108"/>
      <c r="N511" s="108"/>
      <c r="O511" s="108"/>
      <c r="P511" s="108"/>
      <c r="Q511" s="108">
        <f>SUM(G511:P511)</f>
        <v>950</v>
      </c>
    </row>
    <row r="512" spans="1:17" ht="24" customHeight="1" x14ac:dyDescent="0.25">
      <c r="A512" s="129"/>
      <c r="B512" s="129"/>
      <c r="C512" s="145"/>
      <c r="D512" s="150" t="s">
        <v>660</v>
      </c>
      <c r="E512" s="165">
        <v>2</v>
      </c>
      <c r="F512" s="167">
        <v>191154</v>
      </c>
      <c r="G512" s="108"/>
      <c r="H512" s="108"/>
      <c r="I512" s="108"/>
      <c r="J512" s="108"/>
      <c r="K512" s="108">
        <f>3325+táj2!K512</f>
        <v>3325</v>
      </c>
      <c r="L512" s="108"/>
      <c r="M512" s="108"/>
      <c r="N512" s="108"/>
      <c r="O512" s="108"/>
      <c r="P512" s="108"/>
      <c r="Q512" s="108">
        <f>SUM(G512:P512)</f>
        <v>3325</v>
      </c>
    </row>
    <row r="513" spans="1:17" ht="17.399999999999999" customHeight="1" x14ac:dyDescent="0.25">
      <c r="A513" s="511"/>
      <c r="B513" s="511"/>
      <c r="C513" s="544"/>
      <c r="D513" s="628" t="s">
        <v>206</v>
      </c>
      <c r="E513" s="549"/>
      <c r="F513" s="550"/>
      <c r="G513" s="537"/>
      <c r="H513" s="537"/>
      <c r="I513" s="537"/>
      <c r="J513" s="537"/>
      <c r="K513" s="108"/>
      <c r="L513" s="537"/>
      <c r="M513" s="537"/>
      <c r="N513" s="537"/>
      <c r="O513" s="537"/>
      <c r="P513" s="537"/>
      <c r="Q513" s="108"/>
    </row>
    <row r="514" spans="1:17" ht="16.2" customHeight="1" x14ac:dyDescent="0.25">
      <c r="A514" s="511"/>
      <c r="B514" s="511"/>
      <c r="C514" s="544"/>
      <c r="D514" s="546" t="s">
        <v>1002</v>
      </c>
      <c r="E514" s="549">
        <v>2</v>
      </c>
      <c r="F514" s="550">
        <v>181916</v>
      </c>
      <c r="G514" s="537"/>
      <c r="H514" s="537"/>
      <c r="I514" s="108">
        <f>40000+táj2!I514</f>
        <v>40000</v>
      </c>
      <c r="J514" s="108"/>
      <c r="K514" s="108"/>
      <c r="L514" s="537"/>
      <c r="M514" s="537"/>
      <c r="N514" s="537"/>
      <c r="O514" s="537"/>
      <c r="P514" s="537"/>
      <c r="Q514" s="108">
        <f t="shared" ref="Q514" si="47">SUM(G514:P514)</f>
        <v>40000</v>
      </c>
    </row>
    <row r="515" spans="1:17" ht="15" customHeight="1" x14ac:dyDescent="0.25">
      <c r="A515" s="129"/>
      <c r="B515" s="129"/>
      <c r="C515" s="145"/>
      <c r="D515" s="150" t="s">
        <v>661</v>
      </c>
      <c r="E515" s="140"/>
      <c r="F515" s="140"/>
      <c r="G515" s="108"/>
      <c r="H515" s="108"/>
      <c r="I515" s="108"/>
      <c r="J515" s="108"/>
      <c r="K515" s="108"/>
      <c r="L515" s="108"/>
      <c r="M515" s="108"/>
      <c r="N515" s="108"/>
      <c r="O515" s="108"/>
      <c r="P515" s="108"/>
      <c r="Q515" s="108"/>
    </row>
    <row r="516" spans="1:17" ht="15" customHeight="1" x14ac:dyDescent="0.25">
      <c r="A516" s="129"/>
      <c r="B516" s="129"/>
      <c r="C516" s="145"/>
      <c r="D516" s="150" t="s">
        <v>662</v>
      </c>
      <c r="E516" s="140">
        <v>1</v>
      </c>
      <c r="F516" s="108">
        <v>181902</v>
      </c>
      <c r="G516" s="108"/>
      <c r="H516" s="108"/>
      <c r="I516" s="108">
        <f>285+táj2!I516</f>
        <v>285</v>
      </c>
      <c r="J516" s="108"/>
      <c r="K516" s="108"/>
      <c r="L516" s="108"/>
      <c r="M516" s="108"/>
      <c r="N516" s="108"/>
      <c r="O516" s="108"/>
      <c r="P516" s="108"/>
      <c r="Q516" s="108">
        <f>SUM(G516:P516)</f>
        <v>285</v>
      </c>
    </row>
    <row r="517" spans="1:17" ht="15" customHeight="1" x14ac:dyDescent="0.25">
      <c r="A517" s="129"/>
      <c r="B517" s="129"/>
      <c r="C517" s="145"/>
      <c r="D517" s="150" t="s">
        <v>663</v>
      </c>
      <c r="E517" s="140">
        <v>1</v>
      </c>
      <c r="F517" s="108">
        <v>181903</v>
      </c>
      <c r="G517" s="108"/>
      <c r="H517" s="108"/>
      <c r="I517" s="108">
        <f>95+táj2!I517</f>
        <v>95</v>
      </c>
      <c r="J517" s="108"/>
      <c r="K517" s="108"/>
      <c r="L517" s="108"/>
      <c r="M517" s="108"/>
      <c r="N517" s="108"/>
      <c r="O517" s="108"/>
      <c r="P517" s="108"/>
      <c r="Q517" s="108">
        <f>SUM(G517:P517)</f>
        <v>95</v>
      </c>
    </row>
    <row r="518" spans="1:17" ht="14.1" customHeight="1" x14ac:dyDescent="0.25">
      <c r="A518" s="320"/>
      <c r="B518" s="320"/>
      <c r="C518" s="320"/>
      <c r="D518" s="143" t="s">
        <v>664</v>
      </c>
      <c r="E518" s="108">
        <v>1</v>
      </c>
      <c r="F518" s="108">
        <v>181904</v>
      </c>
      <c r="G518" s="108"/>
      <c r="H518" s="108"/>
      <c r="I518" s="108">
        <f>644+táj2!I518</f>
        <v>644</v>
      </c>
      <c r="J518" s="108"/>
      <c r="K518" s="108"/>
      <c r="L518" s="108"/>
      <c r="M518" s="108"/>
      <c r="N518" s="108"/>
      <c r="O518" s="108"/>
      <c r="P518" s="108"/>
      <c r="Q518" s="108">
        <f>SUM(G518:P518)</f>
        <v>644</v>
      </c>
    </row>
    <row r="519" spans="1:17" ht="15" customHeight="1" x14ac:dyDescent="0.25">
      <c r="A519" s="155"/>
      <c r="B519" s="155"/>
      <c r="C519" s="153"/>
      <c r="D519" s="153" t="s">
        <v>665</v>
      </c>
      <c r="E519" s="154"/>
      <c r="F519" s="154"/>
      <c r="G519" s="207">
        <f t="shared" ref="G519:Q519" si="48">SUM(G502:G518)</f>
        <v>194788</v>
      </c>
      <c r="H519" s="207">
        <f t="shared" si="48"/>
        <v>24574</v>
      </c>
      <c r="I519" s="207">
        <f t="shared" si="48"/>
        <v>172509</v>
      </c>
      <c r="J519" s="207">
        <f t="shared" si="48"/>
        <v>0</v>
      </c>
      <c r="K519" s="207">
        <f t="shared" si="48"/>
        <v>7275</v>
      </c>
      <c r="L519" s="207">
        <f t="shared" si="48"/>
        <v>1363</v>
      </c>
      <c r="M519" s="207">
        <f t="shared" si="48"/>
        <v>0</v>
      </c>
      <c r="N519" s="207">
        <f t="shared" si="48"/>
        <v>0</v>
      </c>
      <c r="O519" s="207">
        <f t="shared" si="48"/>
        <v>0</v>
      </c>
      <c r="P519" s="207">
        <f t="shared" si="48"/>
        <v>0</v>
      </c>
      <c r="Q519" s="207">
        <f t="shared" si="48"/>
        <v>400509</v>
      </c>
    </row>
    <row r="520" spans="1:17" ht="15" customHeight="1" x14ac:dyDescent="0.25">
      <c r="A520" s="159"/>
      <c r="B520" s="159"/>
      <c r="C520" s="178"/>
      <c r="D520" s="175" t="s">
        <v>666</v>
      </c>
      <c r="E520" s="158"/>
      <c r="F520" s="158"/>
      <c r="G520" s="134"/>
      <c r="H520" s="134"/>
      <c r="I520" s="134"/>
      <c r="J520" s="134"/>
      <c r="K520" s="134"/>
      <c r="L520" s="134"/>
      <c r="M520" s="134"/>
      <c r="N520" s="134"/>
      <c r="O520" s="134"/>
      <c r="P520" s="134"/>
      <c r="Q520" s="134"/>
    </row>
    <row r="521" spans="1:17" ht="15" customHeight="1" x14ac:dyDescent="0.25">
      <c r="A521" s="543"/>
      <c r="B521" s="543"/>
      <c r="C521" s="607"/>
      <c r="D521" s="528" t="s">
        <v>968</v>
      </c>
      <c r="E521" s="629"/>
      <c r="F521" s="485"/>
      <c r="G521" s="193"/>
      <c r="H521" s="193"/>
      <c r="I521" s="193"/>
      <c r="J521" s="193"/>
      <c r="K521" s="193"/>
      <c r="L521" s="193"/>
      <c r="M521" s="193"/>
      <c r="N521" s="193"/>
      <c r="O521" s="193"/>
      <c r="P521" s="193"/>
      <c r="Q521" s="534"/>
    </row>
    <row r="522" spans="1:17" ht="27" customHeight="1" x14ac:dyDescent="0.25">
      <c r="A522" s="159"/>
      <c r="B522" s="159"/>
      <c r="C522" s="511" t="s">
        <v>335</v>
      </c>
      <c r="D522" s="546" t="s">
        <v>877</v>
      </c>
      <c r="E522" s="630"/>
      <c r="F522" s="537">
        <v>182912</v>
      </c>
      <c r="G522" s="193"/>
      <c r="H522" s="193"/>
      <c r="I522" s="193">
        <f>0+táj2!I522</f>
        <v>0</v>
      </c>
      <c r="J522" s="193"/>
      <c r="K522" s="193"/>
      <c r="L522" s="193">
        <f>0+táj2!L522</f>
        <v>0</v>
      </c>
      <c r="M522" s="193"/>
      <c r="N522" s="193">
        <f>8386+táj2!N522</f>
        <v>8386</v>
      </c>
      <c r="O522" s="193"/>
      <c r="P522" s="193"/>
      <c r="Q522" s="134">
        <f>SUM(G522:P522)</f>
        <v>8386</v>
      </c>
    </row>
    <row r="523" spans="1:17" ht="18.75" customHeight="1" x14ac:dyDescent="0.25">
      <c r="A523" s="398"/>
      <c r="B523" s="398"/>
      <c r="C523" s="511" t="s">
        <v>337</v>
      </c>
      <c r="D523" s="631" t="s">
        <v>667</v>
      </c>
      <c r="E523" s="632"/>
      <c r="F523" s="383">
        <v>182905</v>
      </c>
      <c r="G523" s="193"/>
      <c r="H523" s="193"/>
      <c r="I523" s="193"/>
      <c r="J523" s="193"/>
      <c r="K523" s="193"/>
      <c r="L523" s="193">
        <f>3000+táj2!L523</f>
        <v>3000</v>
      </c>
      <c r="M523" s="193">
        <f>2000+táj2!M523</f>
        <v>2000</v>
      </c>
      <c r="N523" s="193"/>
      <c r="O523" s="193"/>
      <c r="P523" s="193"/>
      <c r="Q523" s="134">
        <f>SUM(G523:P523)</f>
        <v>5000</v>
      </c>
    </row>
    <row r="524" spans="1:17" ht="15" customHeight="1" x14ac:dyDescent="0.25">
      <c r="A524" s="155"/>
      <c r="B524" s="155"/>
      <c r="C524" s="153"/>
      <c r="D524" s="153" t="s">
        <v>668</v>
      </c>
      <c r="E524" s="154"/>
      <c r="F524" s="154"/>
      <c r="G524" s="207">
        <f t="shared" ref="G524:Q524" si="49">SUM(G519:G523)</f>
        <v>194788</v>
      </c>
      <c r="H524" s="207">
        <f t="shared" si="49"/>
        <v>24574</v>
      </c>
      <c r="I524" s="207">
        <f t="shared" si="49"/>
        <v>172509</v>
      </c>
      <c r="J524" s="207">
        <f t="shared" si="49"/>
        <v>0</v>
      </c>
      <c r="K524" s="207">
        <f t="shared" si="49"/>
        <v>7275</v>
      </c>
      <c r="L524" s="207">
        <f t="shared" si="49"/>
        <v>4363</v>
      </c>
      <c r="M524" s="207">
        <f t="shared" si="49"/>
        <v>2000</v>
      </c>
      <c r="N524" s="207">
        <f t="shared" si="49"/>
        <v>8386</v>
      </c>
      <c r="O524" s="207">
        <f t="shared" si="49"/>
        <v>0</v>
      </c>
      <c r="P524" s="207">
        <f t="shared" si="49"/>
        <v>0</v>
      </c>
      <c r="Q524" s="207">
        <f t="shared" si="49"/>
        <v>413895</v>
      </c>
    </row>
    <row r="525" spans="1:17" ht="15" customHeight="1" x14ac:dyDescent="0.25">
      <c r="A525" s="129">
        <v>1</v>
      </c>
      <c r="B525" s="129">
        <v>19</v>
      </c>
      <c r="C525" s="145"/>
      <c r="D525" s="178" t="s">
        <v>669</v>
      </c>
      <c r="E525" s="157"/>
      <c r="F525" s="157"/>
      <c r="G525" s="108"/>
      <c r="H525" s="134"/>
      <c r="I525" s="134"/>
      <c r="J525" s="134"/>
      <c r="K525" s="134"/>
      <c r="L525" s="134"/>
      <c r="M525" s="108"/>
      <c r="N525" s="108"/>
      <c r="O525" s="108"/>
      <c r="P525" s="108"/>
      <c r="Q525" s="108"/>
    </row>
    <row r="526" spans="1:17" ht="15" customHeight="1" x14ac:dyDescent="0.25">
      <c r="A526" s="129"/>
      <c r="B526" s="129"/>
      <c r="C526" s="145"/>
      <c r="D526" s="142" t="s">
        <v>670</v>
      </c>
      <c r="E526" s="161"/>
      <c r="F526" s="161"/>
      <c r="G526" s="108"/>
      <c r="H526" s="134"/>
      <c r="I526" s="134"/>
      <c r="J526" s="134"/>
      <c r="K526" s="134"/>
      <c r="L526" s="134"/>
      <c r="M526" s="108"/>
      <c r="N526" s="108"/>
      <c r="O526" s="108"/>
      <c r="P526" s="108"/>
      <c r="Q526" s="108"/>
    </row>
    <row r="527" spans="1:17" ht="15" customHeight="1" x14ac:dyDescent="0.25">
      <c r="A527" s="129"/>
      <c r="B527" s="129"/>
      <c r="C527" s="145"/>
      <c r="D527" s="143" t="s">
        <v>1003</v>
      </c>
      <c r="E527" s="140">
        <v>1</v>
      </c>
      <c r="F527" s="108">
        <v>191101</v>
      </c>
      <c r="G527" s="108"/>
      <c r="H527" s="108"/>
      <c r="I527" s="108"/>
      <c r="J527" s="108"/>
      <c r="K527" s="108">
        <f>6000+táj2!K527</f>
        <v>3859</v>
      </c>
      <c r="L527" s="108"/>
      <c r="M527" s="108"/>
      <c r="N527" s="108"/>
      <c r="O527" s="108"/>
      <c r="P527" s="108"/>
      <c r="Q527" s="108">
        <f>SUM(G527:P527)</f>
        <v>3859</v>
      </c>
    </row>
    <row r="528" spans="1:17" ht="15" customHeight="1" x14ac:dyDescent="0.25">
      <c r="A528" s="129"/>
      <c r="B528" s="129"/>
      <c r="C528" s="145"/>
      <c r="D528" s="143" t="s">
        <v>1004</v>
      </c>
      <c r="E528" s="140">
        <v>1</v>
      </c>
      <c r="F528" s="108">
        <v>191901</v>
      </c>
      <c r="G528" s="108"/>
      <c r="H528" s="108"/>
      <c r="I528" s="108"/>
      <c r="J528" s="108"/>
      <c r="K528" s="108"/>
      <c r="L528" s="108"/>
      <c r="M528" s="108"/>
      <c r="N528" s="108"/>
      <c r="O528" s="108"/>
      <c r="P528" s="108">
        <f>181338+táj2!P528</f>
        <v>181338</v>
      </c>
      <c r="Q528" s="108">
        <f>SUM(G528:P528)</f>
        <v>181338</v>
      </c>
    </row>
    <row r="529" spans="1:17" ht="15" customHeight="1" x14ac:dyDescent="0.25">
      <c r="A529" s="129"/>
      <c r="B529" s="129"/>
      <c r="C529" s="145"/>
      <c r="D529" s="143" t="s">
        <v>671</v>
      </c>
      <c r="E529" s="140">
        <v>1</v>
      </c>
      <c r="F529" s="108">
        <v>191901</v>
      </c>
      <c r="G529" s="108"/>
      <c r="H529" s="108"/>
      <c r="I529" s="108"/>
      <c r="J529" s="108"/>
      <c r="K529" s="108">
        <f>1510327+táj2!K529</f>
        <v>1510327</v>
      </c>
      <c r="L529" s="108"/>
      <c r="M529" s="108"/>
      <c r="N529" s="108"/>
      <c r="O529" s="108"/>
      <c r="P529" s="108"/>
      <c r="Q529" s="108">
        <f>SUM(G529:P529)</f>
        <v>1510327</v>
      </c>
    </row>
    <row r="530" spans="1:17" ht="15" customHeight="1" x14ac:dyDescent="0.25">
      <c r="A530" s="129"/>
      <c r="B530" s="129"/>
      <c r="C530" s="145"/>
      <c r="D530" s="146" t="s">
        <v>206</v>
      </c>
      <c r="E530" s="165"/>
      <c r="F530" s="165"/>
      <c r="G530" s="108"/>
      <c r="H530" s="108"/>
      <c r="I530" s="108"/>
      <c r="J530" s="108"/>
      <c r="K530" s="108"/>
      <c r="L530" s="108"/>
      <c r="M530" s="108"/>
      <c r="N530" s="108"/>
      <c r="O530" s="108"/>
      <c r="P530" s="108"/>
      <c r="Q530" s="108"/>
    </row>
    <row r="531" spans="1:17" ht="15" customHeight="1" x14ac:dyDescent="0.25">
      <c r="A531" s="129"/>
      <c r="B531" s="129"/>
      <c r="C531" s="145"/>
      <c r="D531" s="143" t="s">
        <v>672</v>
      </c>
      <c r="E531" s="140">
        <v>1</v>
      </c>
      <c r="F531" s="108">
        <v>191102</v>
      </c>
      <c r="G531" s="108"/>
      <c r="H531" s="108"/>
      <c r="I531" s="108">
        <f>25000+táj2!I531</f>
        <v>25000</v>
      </c>
      <c r="J531" s="108"/>
      <c r="K531" s="108"/>
      <c r="L531" s="108"/>
      <c r="M531" s="108"/>
      <c r="N531" s="108"/>
      <c r="O531" s="108"/>
      <c r="P531" s="108"/>
      <c r="Q531" s="108">
        <f t="shared" ref="Q531:Q534" si="50">SUM(G531:P531)</f>
        <v>25000</v>
      </c>
    </row>
    <row r="532" spans="1:17" ht="15" customHeight="1" x14ac:dyDescent="0.25">
      <c r="A532" s="129"/>
      <c r="B532" s="129"/>
      <c r="C532" s="145"/>
      <c r="D532" s="143" t="s">
        <v>673</v>
      </c>
      <c r="E532" s="108">
        <v>1</v>
      </c>
      <c r="F532" s="108">
        <v>191103</v>
      </c>
      <c r="G532" s="108"/>
      <c r="H532" s="108"/>
      <c r="I532" s="108">
        <f>341311+táj2!I532</f>
        <v>386195</v>
      </c>
      <c r="J532" s="108"/>
      <c r="K532" s="108"/>
      <c r="L532" s="108"/>
      <c r="M532" s="108"/>
      <c r="N532" s="108"/>
      <c r="O532" s="108"/>
      <c r="P532" s="108"/>
      <c r="Q532" s="108">
        <f t="shared" si="50"/>
        <v>386195</v>
      </c>
    </row>
    <row r="533" spans="1:17" ht="15" customHeight="1" x14ac:dyDescent="0.25">
      <c r="A533" s="129"/>
      <c r="B533" s="129"/>
      <c r="C533" s="145"/>
      <c r="D533" s="143" t="s">
        <v>674</v>
      </c>
      <c r="E533" s="108">
        <v>1</v>
      </c>
      <c r="F533" s="108">
        <v>191105</v>
      </c>
      <c r="G533" s="108"/>
      <c r="H533" s="108"/>
      <c r="I533" s="108">
        <f>4200+táj2!I533</f>
        <v>4200</v>
      </c>
      <c r="J533" s="108"/>
      <c r="K533" s="108"/>
      <c r="L533" s="108"/>
      <c r="M533" s="108"/>
      <c r="N533" s="108"/>
      <c r="O533" s="108"/>
      <c r="P533" s="108"/>
      <c r="Q533" s="108">
        <f t="shared" si="50"/>
        <v>4200</v>
      </c>
    </row>
    <row r="534" spans="1:17" ht="15" customHeight="1" x14ac:dyDescent="0.25">
      <c r="A534" s="129"/>
      <c r="B534" s="129"/>
      <c r="C534" s="145"/>
      <c r="D534" s="143" t="s">
        <v>675</v>
      </c>
      <c r="E534" s="108">
        <v>1</v>
      </c>
      <c r="F534" s="108">
        <v>196901</v>
      </c>
      <c r="G534" s="108"/>
      <c r="H534" s="108"/>
      <c r="I534" s="108">
        <f>403+táj2!I534</f>
        <v>653</v>
      </c>
      <c r="J534" s="108"/>
      <c r="K534" s="108"/>
      <c r="L534" s="108"/>
      <c r="M534" s="108"/>
      <c r="N534" s="108">
        <f>5000+táj2!N534</f>
        <v>4750</v>
      </c>
      <c r="O534" s="108"/>
      <c r="P534" s="108"/>
      <c r="Q534" s="108">
        <f t="shared" si="50"/>
        <v>5403</v>
      </c>
    </row>
    <row r="535" spans="1:17" ht="15" customHeight="1" x14ac:dyDescent="0.25">
      <c r="A535" s="129"/>
      <c r="B535" s="129"/>
      <c r="C535" s="145"/>
      <c r="D535" s="143" t="s">
        <v>215</v>
      </c>
      <c r="E535" s="108"/>
      <c r="F535" s="108"/>
      <c r="G535" s="108"/>
      <c r="H535" s="108"/>
      <c r="I535" s="108"/>
      <c r="J535" s="108"/>
      <c r="K535" s="108"/>
      <c r="L535" s="108"/>
      <c r="M535" s="108"/>
      <c r="N535" s="108"/>
      <c r="O535" s="108"/>
      <c r="P535" s="108"/>
      <c r="Q535" s="108"/>
    </row>
    <row r="536" spans="1:17" ht="15" customHeight="1" x14ac:dyDescent="0.25">
      <c r="A536" s="129"/>
      <c r="B536" s="129"/>
      <c r="C536" s="145"/>
      <c r="D536" s="143" t="s">
        <v>676</v>
      </c>
      <c r="E536" s="108">
        <v>1</v>
      </c>
      <c r="F536" s="108">
        <v>191104</v>
      </c>
      <c r="G536" s="108"/>
      <c r="H536" s="108"/>
      <c r="I536" s="108">
        <f>8500+táj2!I536</f>
        <v>8500</v>
      </c>
      <c r="J536" s="108"/>
      <c r="K536" s="108"/>
      <c r="L536" s="108"/>
      <c r="M536" s="108"/>
      <c r="N536" s="108"/>
      <c r="O536" s="108"/>
      <c r="P536" s="108"/>
      <c r="Q536" s="108">
        <f>SUM(G536:P536)</f>
        <v>8500</v>
      </c>
    </row>
    <row r="537" spans="1:17" ht="14.1" customHeight="1" x14ac:dyDescent="0.25">
      <c r="A537" s="129"/>
      <c r="B537" s="129"/>
      <c r="C537" s="145"/>
      <c r="D537" s="746" t="s">
        <v>1085</v>
      </c>
      <c r="E537" s="108"/>
      <c r="F537" s="108"/>
      <c r="G537" s="108"/>
      <c r="H537" s="108"/>
      <c r="I537" s="108"/>
      <c r="J537" s="108"/>
      <c r="K537" s="108"/>
      <c r="L537" s="108"/>
      <c r="M537" s="108"/>
      <c r="N537" s="108"/>
      <c r="O537" s="108"/>
      <c r="P537" s="108"/>
      <c r="Q537" s="108"/>
    </row>
    <row r="538" spans="1:17" ht="14.1" customHeight="1" x14ac:dyDescent="0.25">
      <c r="A538" s="129"/>
      <c r="B538" s="129"/>
      <c r="C538" s="145"/>
      <c r="D538" s="143" t="s">
        <v>678</v>
      </c>
      <c r="E538" s="108">
        <v>2</v>
      </c>
      <c r="F538" s="108">
        <v>191109</v>
      </c>
      <c r="G538" s="108"/>
      <c r="H538" s="108"/>
      <c r="I538" s="108"/>
      <c r="J538" s="108"/>
      <c r="K538" s="108">
        <f>5000+táj2!K538</f>
        <v>5000</v>
      </c>
      <c r="L538" s="108"/>
      <c r="M538" s="108"/>
      <c r="N538" s="108"/>
      <c r="O538" s="108"/>
      <c r="P538" s="108"/>
      <c r="Q538" s="108">
        <f>SUM(G538:P538)</f>
        <v>5000</v>
      </c>
    </row>
    <row r="539" spans="1:17" ht="15" customHeight="1" x14ac:dyDescent="0.25">
      <c r="A539" s="129"/>
      <c r="B539" s="129"/>
      <c r="C539" s="145"/>
      <c r="D539" s="146" t="s">
        <v>206</v>
      </c>
      <c r="E539" s="165"/>
      <c r="F539" s="165"/>
      <c r="G539" s="108"/>
      <c r="H539" s="108"/>
      <c r="I539" s="108"/>
      <c r="J539" s="108"/>
      <c r="K539" s="108"/>
      <c r="L539" s="108"/>
      <c r="M539" s="108"/>
      <c r="N539" s="108"/>
      <c r="O539" s="108"/>
      <c r="P539" s="108"/>
      <c r="Q539" s="108"/>
    </row>
    <row r="540" spans="1:17" ht="17.25" customHeight="1" x14ac:dyDescent="0.25">
      <c r="A540" s="129"/>
      <c r="B540" s="129"/>
      <c r="C540" s="145"/>
      <c r="D540" s="162" t="s">
        <v>681</v>
      </c>
      <c r="E540" s="140">
        <v>1</v>
      </c>
      <c r="F540" s="108">
        <v>191905</v>
      </c>
      <c r="G540" s="108"/>
      <c r="H540" s="108"/>
      <c r="I540" s="108"/>
      <c r="J540" s="108"/>
      <c r="K540" s="108">
        <f>705258+táj2!K540</f>
        <v>691421</v>
      </c>
      <c r="L540" s="108"/>
      <c r="M540" s="108"/>
      <c r="N540" s="108"/>
      <c r="O540" s="108"/>
      <c r="P540" s="108"/>
      <c r="Q540" s="108">
        <f>SUM(G540:P540)</f>
        <v>691421</v>
      </c>
    </row>
    <row r="541" spans="1:17" ht="15" customHeight="1" x14ac:dyDescent="0.25">
      <c r="A541" s="129"/>
      <c r="B541" s="129"/>
      <c r="C541" s="145"/>
      <c r="D541" s="146" t="s">
        <v>206</v>
      </c>
      <c r="E541" s="165"/>
      <c r="F541" s="165"/>
      <c r="G541" s="108"/>
      <c r="H541" s="108"/>
      <c r="I541" s="108"/>
      <c r="J541" s="108"/>
      <c r="K541" s="108"/>
      <c r="L541" s="108"/>
      <c r="M541" s="108"/>
      <c r="N541" s="108"/>
      <c r="O541" s="108"/>
      <c r="P541" s="108"/>
      <c r="Q541" s="108"/>
    </row>
    <row r="542" spans="1:17" ht="17.25" customHeight="1" x14ac:dyDescent="0.25">
      <c r="A542" s="129"/>
      <c r="B542" s="129"/>
      <c r="C542" s="145"/>
      <c r="D542" s="143" t="s">
        <v>682</v>
      </c>
      <c r="E542" s="108">
        <v>1</v>
      </c>
      <c r="F542" s="108">
        <v>191121</v>
      </c>
      <c r="G542" s="108"/>
      <c r="H542" s="108"/>
      <c r="I542" s="108">
        <f>13000+táj2!I542</f>
        <v>13000</v>
      </c>
      <c r="J542" s="108"/>
      <c r="K542" s="108"/>
      <c r="L542" s="108"/>
      <c r="M542" s="108"/>
      <c r="N542" s="108"/>
      <c r="O542" s="108"/>
      <c r="P542" s="108"/>
      <c r="Q542" s="108">
        <f>SUM(G542:P542)</f>
        <v>13000</v>
      </c>
    </row>
    <row r="543" spans="1:17" ht="21" customHeight="1" x14ac:dyDescent="0.25">
      <c r="A543" s="129"/>
      <c r="B543" s="129"/>
      <c r="C543" s="145"/>
      <c r="D543" s="150" t="s">
        <v>284</v>
      </c>
      <c r="E543" s="165"/>
      <c r="F543" s="165"/>
      <c r="G543" s="108"/>
      <c r="H543" s="108"/>
      <c r="I543" s="108"/>
      <c r="J543" s="108"/>
      <c r="K543" s="108"/>
      <c r="L543" s="108"/>
      <c r="M543" s="108"/>
      <c r="N543" s="108"/>
      <c r="O543" s="108"/>
      <c r="P543" s="108"/>
      <c r="Q543" s="108"/>
    </row>
    <row r="544" spans="1:17" ht="26.25" customHeight="1" x14ac:dyDescent="0.25">
      <c r="A544" s="129"/>
      <c r="B544" s="129"/>
      <c r="C544" s="145"/>
      <c r="D544" s="150" t="s">
        <v>683</v>
      </c>
      <c r="E544" s="165">
        <v>1</v>
      </c>
      <c r="F544" s="167">
        <v>191152</v>
      </c>
      <c r="G544" s="108"/>
      <c r="H544" s="108"/>
      <c r="I544" s="108">
        <f>188840+táj2!I544</f>
        <v>188840</v>
      </c>
      <c r="J544" s="108"/>
      <c r="K544" s="108"/>
      <c r="L544" s="108"/>
      <c r="M544" s="108"/>
      <c r="N544" s="108"/>
      <c r="O544" s="108">
        <f>122216+táj2!O544</f>
        <v>122216</v>
      </c>
      <c r="P544" s="108"/>
      <c r="Q544" s="108">
        <f>SUM(G544:P544)</f>
        <v>311056</v>
      </c>
    </row>
    <row r="545" spans="1:17" ht="21.6" customHeight="1" x14ac:dyDescent="0.25">
      <c r="A545" s="129"/>
      <c r="B545" s="129"/>
      <c r="C545" s="145"/>
      <c r="D545" s="167" t="s">
        <v>684</v>
      </c>
      <c r="E545" s="165">
        <v>2</v>
      </c>
      <c r="F545" s="167">
        <v>196919</v>
      </c>
      <c r="G545" s="108"/>
      <c r="H545" s="108"/>
      <c r="I545" s="108"/>
      <c r="J545" s="108"/>
      <c r="K545" s="108"/>
      <c r="L545" s="108"/>
      <c r="M545" s="108"/>
      <c r="N545" s="108"/>
      <c r="O545" s="108"/>
      <c r="P545" s="108">
        <f>7000000+táj2!P545</f>
        <v>7000000</v>
      </c>
      <c r="Q545" s="108">
        <f>SUM(G545:P545)</f>
        <v>7000000</v>
      </c>
    </row>
    <row r="546" spans="1:17" ht="21.6" customHeight="1" x14ac:dyDescent="0.25">
      <c r="A546" s="511"/>
      <c r="B546" s="511"/>
      <c r="C546" s="544"/>
      <c r="D546" s="633" t="s">
        <v>740</v>
      </c>
      <c r="E546" s="634"/>
      <c r="F546" s="550"/>
      <c r="G546" s="537"/>
      <c r="H546" s="537"/>
      <c r="I546" s="537"/>
      <c r="J546" s="537"/>
      <c r="K546" s="537"/>
      <c r="L546" s="537"/>
      <c r="M546" s="537"/>
      <c r="N546" s="537"/>
      <c r="O546" s="537"/>
      <c r="P546" s="537"/>
      <c r="Q546" s="108"/>
    </row>
    <row r="547" spans="1:17" ht="21.6" customHeight="1" x14ac:dyDescent="0.25">
      <c r="A547" s="511"/>
      <c r="B547" s="511"/>
      <c r="C547" s="544"/>
      <c r="D547" s="546" t="s">
        <v>1005</v>
      </c>
      <c r="E547" s="549">
        <v>2</v>
      </c>
      <c r="F547" s="550">
        <v>191134</v>
      </c>
      <c r="G547" s="537"/>
      <c r="H547" s="537"/>
      <c r="I547" s="537"/>
      <c r="J547" s="537"/>
      <c r="K547" s="108">
        <f>25000+táj2!K547</f>
        <v>25000</v>
      </c>
      <c r="L547" s="537"/>
      <c r="M547" s="537"/>
      <c r="N547" s="537"/>
      <c r="O547" s="537"/>
      <c r="P547" s="537"/>
      <c r="Q547" s="108">
        <f t="shared" ref="Q547:Q549" si="51">SUM(G547:P547)</f>
        <v>25000</v>
      </c>
    </row>
    <row r="548" spans="1:17" ht="26.4" customHeight="1" x14ac:dyDescent="0.25">
      <c r="A548" s="511"/>
      <c r="B548" s="511"/>
      <c r="C548" s="544"/>
      <c r="D548" s="765" t="s">
        <v>1124</v>
      </c>
      <c r="E548" s="537">
        <v>2</v>
      </c>
      <c r="F548" s="537">
        <v>191158</v>
      </c>
      <c r="G548" s="537"/>
      <c r="H548" s="537"/>
      <c r="I548" s="537"/>
      <c r="J548" s="537"/>
      <c r="K548" s="108">
        <f>19000+táj2!K548</f>
        <v>19000</v>
      </c>
      <c r="L548" s="537"/>
      <c r="M548" s="537"/>
      <c r="N548" s="537"/>
      <c r="O548" s="537"/>
      <c r="P548" s="537"/>
      <c r="Q548" s="108">
        <f t="shared" si="51"/>
        <v>19000</v>
      </c>
    </row>
    <row r="549" spans="1:17" ht="26.25" customHeight="1" x14ac:dyDescent="0.25">
      <c r="A549" s="511"/>
      <c r="B549" s="511"/>
      <c r="C549" s="544"/>
      <c r="D549" s="780" t="s">
        <v>1070</v>
      </c>
      <c r="E549" s="741">
        <v>1</v>
      </c>
      <c r="F549" s="741">
        <v>191909</v>
      </c>
      <c r="G549" s="537"/>
      <c r="H549" s="537"/>
      <c r="I549" s="537"/>
      <c r="J549" s="537"/>
      <c r="K549" s="108">
        <f>4617+táj2!K549</f>
        <v>4617</v>
      </c>
      <c r="L549" s="537"/>
      <c r="M549" s="537"/>
      <c r="N549" s="537"/>
      <c r="O549" s="537"/>
      <c r="P549" s="537"/>
      <c r="Q549" s="108">
        <f t="shared" si="51"/>
        <v>4617</v>
      </c>
    </row>
    <row r="550" spans="1:17" ht="17.100000000000001" customHeight="1" x14ac:dyDescent="0.25">
      <c r="A550" s="129"/>
      <c r="B550" s="129"/>
      <c r="C550" s="145"/>
      <c r="D550" s="143" t="s">
        <v>685</v>
      </c>
      <c r="E550" s="108"/>
      <c r="F550" s="195"/>
      <c r="G550" s="108"/>
      <c r="H550" s="108"/>
      <c r="I550" s="108"/>
      <c r="J550" s="108"/>
      <c r="K550" s="108"/>
      <c r="L550" s="108"/>
      <c r="M550" s="108"/>
      <c r="N550" s="108"/>
      <c r="O550" s="108"/>
      <c r="P550" s="108"/>
      <c r="Q550" s="108"/>
    </row>
    <row r="551" spans="1:17" ht="17.100000000000001" customHeight="1" x14ac:dyDescent="0.25">
      <c r="A551" s="129"/>
      <c r="B551" s="129"/>
      <c r="C551" s="145"/>
      <c r="D551" s="143" t="s">
        <v>686</v>
      </c>
      <c r="E551" s="108">
        <v>2</v>
      </c>
      <c r="F551" s="196" t="s">
        <v>687</v>
      </c>
      <c r="G551" s="108"/>
      <c r="H551" s="108"/>
      <c r="I551" s="108"/>
      <c r="J551" s="108"/>
      <c r="K551" s="108">
        <f>3579+táj2!K551</f>
        <v>3579</v>
      </c>
      <c r="L551" s="108"/>
      <c r="M551" s="108"/>
      <c r="N551" s="108">
        <f>150+táj2!N551</f>
        <v>150</v>
      </c>
      <c r="O551" s="108"/>
      <c r="P551" s="108"/>
      <c r="Q551" s="108">
        <f>SUM(G551:P551)</f>
        <v>3729</v>
      </c>
    </row>
    <row r="552" spans="1:17" ht="17.100000000000001" customHeight="1" x14ac:dyDescent="0.25">
      <c r="A552" s="151"/>
      <c r="B552" s="151"/>
      <c r="C552" s="152"/>
      <c r="D552" s="153" t="s">
        <v>688</v>
      </c>
      <c r="E552" s="154"/>
      <c r="F552" s="154"/>
      <c r="G552" s="155">
        <f t="shared" ref="G552:Q552" si="52">SUM(G525:G551)</f>
        <v>0</v>
      </c>
      <c r="H552" s="155">
        <f t="shared" si="52"/>
        <v>0</v>
      </c>
      <c r="I552" s="155">
        <f t="shared" si="52"/>
        <v>626388</v>
      </c>
      <c r="J552" s="155">
        <f t="shared" si="52"/>
        <v>0</v>
      </c>
      <c r="K552" s="155">
        <f t="shared" si="52"/>
        <v>2262803</v>
      </c>
      <c r="L552" s="155">
        <f t="shared" si="52"/>
        <v>0</v>
      </c>
      <c r="M552" s="155">
        <f t="shared" si="52"/>
        <v>0</v>
      </c>
      <c r="N552" s="155">
        <f t="shared" si="52"/>
        <v>4900</v>
      </c>
      <c r="O552" s="155">
        <f t="shared" si="52"/>
        <v>122216</v>
      </c>
      <c r="P552" s="155">
        <f t="shared" si="52"/>
        <v>7181338</v>
      </c>
      <c r="Q552" s="155">
        <f t="shared" si="52"/>
        <v>10197645</v>
      </c>
    </row>
    <row r="553" spans="1:17" ht="17.100000000000001" customHeight="1" x14ac:dyDescent="0.25">
      <c r="A553" s="156"/>
      <c r="B553" s="156"/>
      <c r="C553" s="174"/>
      <c r="D553" s="175" t="s">
        <v>666</v>
      </c>
      <c r="E553" s="158"/>
      <c r="F553" s="158"/>
      <c r="G553" s="159"/>
      <c r="H553" s="159"/>
      <c r="I553" s="159"/>
      <c r="J553" s="159"/>
      <c r="K553" s="159"/>
      <c r="L553" s="159"/>
      <c r="M553" s="159"/>
      <c r="N553" s="159"/>
      <c r="O553" s="159"/>
      <c r="P553" s="159"/>
      <c r="Q553" s="159"/>
    </row>
    <row r="554" spans="1:17" ht="22.95" customHeight="1" x14ac:dyDescent="0.25">
      <c r="A554" s="539"/>
      <c r="B554" s="539"/>
      <c r="C554" s="544" t="s">
        <v>90</v>
      </c>
      <c r="D554" s="546" t="s">
        <v>1108</v>
      </c>
      <c r="E554" s="756"/>
      <c r="F554" s="742">
        <v>192909</v>
      </c>
      <c r="G554" s="537"/>
      <c r="H554" s="537"/>
      <c r="I554" s="537"/>
      <c r="J554" s="537"/>
      <c r="K554" s="537"/>
      <c r="L554" s="537"/>
      <c r="M554" s="537"/>
      <c r="N554" s="537">
        <f>500+táj2!N554</f>
        <v>500</v>
      </c>
      <c r="O554" s="537"/>
      <c r="P554" s="537"/>
      <c r="Q554" s="537">
        <f>SUM(G554:P554)</f>
        <v>500</v>
      </c>
    </row>
    <row r="555" spans="1:17" ht="17.100000000000001" customHeight="1" x14ac:dyDescent="0.25">
      <c r="A555" s="151">
        <v>1</v>
      </c>
      <c r="B555" s="151">
        <v>20</v>
      </c>
      <c r="C555" s="152"/>
      <c r="D555" s="153" t="s">
        <v>298</v>
      </c>
      <c r="E555" s="154"/>
      <c r="F555" s="154"/>
      <c r="G555" s="155">
        <f>SUM(G552:G554)</f>
        <v>0</v>
      </c>
      <c r="H555" s="155">
        <f t="shared" ref="H555:Q555" si="53">SUM(H552:H554)</f>
        <v>0</v>
      </c>
      <c r="I555" s="155">
        <f t="shared" si="53"/>
        <v>626388</v>
      </c>
      <c r="J555" s="155">
        <f t="shared" si="53"/>
        <v>0</v>
      </c>
      <c r="K555" s="155">
        <f t="shared" si="53"/>
        <v>2262803</v>
      </c>
      <c r="L555" s="155">
        <f t="shared" si="53"/>
        <v>0</v>
      </c>
      <c r="M555" s="155">
        <f t="shared" si="53"/>
        <v>0</v>
      </c>
      <c r="N555" s="155">
        <f t="shared" si="53"/>
        <v>5400</v>
      </c>
      <c r="O555" s="155">
        <f t="shared" si="53"/>
        <v>122216</v>
      </c>
      <c r="P555" s="155">
        <f t="shared" si="53"/>
        <v>7181338</v>
      </c>
      <c r="Q555" s="155">
        <f t="shared" si="53"/>
        <v>10198145</v>
      </c>
    </row>
    <row r="556" spans="1:17" ht="17.100000000000001" customHeight="1" x14ac:dyDescent="0.25">
      <c r="A556" s="197">
        <v>1</v>
      </c>
      <c r="B556" s="197" t="s">
        <v>689</v>
      </c>
      <c r="C556" s="198"/>
      <c r="D556" s="321" t="s">
        <v>690</v>
      </c>
      <c r="E556" s="199"/>
      <c r="F556" s="199"/>
      <c r="G556" s="200"/>
      <c r="H556" s="134"/>
      <c r="I556" s="134"/>
      <c r="J556" s="134"/>
      <c r="K556" s="134"/>
      <c r="L556" s="134"/>
      <c r="M556" s="108"/>
      <c r="N556" s="108"/>
      <c r="O556" s="200"/>
      <c r="P556" s="200"/>
      <c r="Q556" s="200"/>
    </row>
    <row r="557" spans="1:17" ht="17.100000000000001" customHeight="1" x14ac:dyDescent="0.25">
      <c r="A557" s="197"/>
      <c r="B557" s="197"/>
      <c r="C557" s="198"/>
      <c r="D557" s="146" t="s">
        <v>206</v>
      </c>
      <c r="E557" s="161"/>
      <c r="F557" s="161"/>
      <c r="G557" s="200"/>
      <c r="H557" s="134"/>
      <c r="I557" s="134"/>
      <c r="J557" s="134"/>
      <c r="K557" s="134"/>
      <c r="L557" s="134"/>
      <c r="M557" s="108"/>
      <c r="N557" s="108"/>
      <c r="O557" s="200"/>
      <c r="P557" s="200"/>
      <c r="Q557" s="200"/>
    </row>
    <row r="558" spans="1:17" ht="17.100000000000001" customHeight="1" x14ac:dyDescent="0.25">
      <c r="A558" s="197"/>
      <c r="B558" s="197"/>
      <c r="C558" s="198"/>
      <c r="D558" s="147" t="s">
        <v>691</v>
      </c>
      <c r="E558" s="192">
        <v>2</v>
      </c>
      <c r="F558" s="192">
        <v>221901</v>
      </c>
      <c r="G558" s="201">
        <f>20000+táj2!G558</f>
        <v>32572</v>
      </c>
      <c r="H558" s="201">
        <f>10193+táj2!H558</f>
        <v>15147</v>
      </c>
      <c r="I558" s="201">
        <f>41593+táj2!I558</f>
        <v>52787</v>
      </c>
      <c r="J558" s="201"/>
      <c r="K558" s="201">
        <f>300+táj2!K558</f>
        <v>300</v>
      </c>
      <c r="L558" s="201">
        <f>3153+táj2!L558</f>
        <v>3153</v>
      </c>
      <c r="M558" s="201"/>
      <c r="N558" s="201"/>
      <c r="O558" s="201"/>
      <c r="P558" s="201"/>
      <c r="Q558" s="192">
        <f t="shared" ref="Q558:Q569" si="54">SUM(G558:P558)</f>
        <v>103959</v>
      </c>
    </row>
    <row r="559" spans="1:17" ht="17.100000000000001" customHeight="1" x14ac:dyDescent="0.25">
      <c r="A559" s="197"/>
      <c r="B559" s="197"/>
      <c r="C559" s="198"/>
      <c r="D559" s="142" t="s">
        <v>692</v>
      </c>
      <c r="E559" s="149">
        <v>1</v>
      </c>
      <c r="F559" s="108">
        <v>221912</v>
      </c>
      <c r="G559" s="201">
        <f>350+táj2!G559</f>
        <v>350</v>
      </c>
      <c r="H559" s="201">
        <f>100+táj2!H559</f>
        <v>100</v>
      </c>
      <c r="I559" s="201">
        <f>5259+táj2!I559</f>
        <v>5259</v>
      </c>
      <c r="J559" s="201"/>
      <c r="K559" s="201">
        <f>3000+táj2!K559</f>
        <v>3000</v>
      </c>
      <c r="L559" s="201"/>
      <c r="M559" s="201"/>
      <c r="N559" s="201"/>
      <c r="O559" s="201"/>
      <c r="P559" s="201"/>
      <c r="Q559" s="192">
        <f t="shared" si="54"/>
        <v>8709</v>
      </c>
    </row>
    <row r="560" spans="1:17" ht="17.100000000000001" customHeight="1" x14ac:dyDescent="0.25">
      <c r="A560" s="197"/>
      <c r="B560" s="197"/>
      <c r="C560" s="198"/>
      <c r="D560" s="142" t="s">
        <v>693</v>
      </c>
      <c r="E560" s="149">
        <v>2</v>
      </c>
      <c r="F560" s="108">
        <v>221916</v>
      </c>
      <c r="G560" s="201"/>
      <c r="H560" s="201"/>
      <c r="I560" s="201"/>
      <c r="J560" s="201"/>
      <c r="K560" s="201">
        <f>36500+táj2!K560</f>
        <v>36500</v>
      </c>
      <c r="L560" s="201"/>
      <c r="M560" s="201"/>
      <c r="N560" s="201"/>
      <c r="O560" s="201"/>
      <c r="P560" s="201"/>
      <c r="Q560" s="192">
        <f t="shared" si="54"/>
        <v>36500</v>
      </c>
    </row>
    <row r="561" spans="1:17" ht="17.100000000000001" customHeight="1" x14ac:dyDescent="0.25">
      <c r="A561" s="197"/>
      <c r="B561" s="197"/>
      <c r="C561" s="198"/>
      <c r="D561" s="143" t="s">
        <v>694</v>
      </c>
      <c r="E561" s="149">
        <v>2</v>
      </c>
      <c r="F561" s="108">
        <v>221904</v>
      </c>
      <c r="G561" s="201"/>
      <c r="H561" s="201"/>
      <c r="I561" s="201">
        <f>2000+táj2!I561</f>
        <v>2000</v>
      </c>
      <c r="J561" s="201"/>
      <c r="K561" s="201"/>
      <c r="L561" s="201"/>
      <c r="M561" s="201"/>
      <c r="N561" s="201"/>
      <c r="O561" s="201"/>
      <c r="P561" s="201"/>
      <c r="Q561" s="192">
        <f t="shared" si="54"/>
        <v>2000</v>
      </c>
    </row>
    <row r="562" spans="1:17" ht="17.100000000000001" customHeight="1" x14ac:dyDescent="0.25">
      <c r="A562" s="197"/>
      <c r="B562" s="197"/>
      <c r="C562" s="198"/>
      <c r="D562" s="143" t="s">
        <v>695</v>
      </c>
      <c r="E562" s="108">
        <v>2</v>
      </c>
      <c r="F562" s="108">
        <v>221922</v>
      </c>
      <c r="G562" s="201"/>
      <c r="H562" s="201"/>
      <c r="I562" s="201">
        <f>7666+táj2!I562</f>
        <v>7666</v>
      </c>
      <c r="J562" s="201"/>
      <c r="K562" s="201"/>
      <c r="L562" s="201"/>
      <c r="M562" s="201"/>
      <c r="N562" s="201"/>
      <c r="O562" s="201"/>
      <c r="P562" s="201"/>
      <c r="Q562" s="192">
        <f t="shared" si="54"/>
        <v>7666</v>
      </c>
    </row>
    <row r="563" spans="1:17" ht="17.100000000000001" customHeight="1" x14ac:dyDescent="0.25">
      <c r="A563" s="197"/>
      <c r="B563" s="197"/>
      <c r="C563" s="198"/>
      <c r="D563" s="143" t="s">
        <v>696</v>
      </c>
      <c r="E563" s="140">
        <v>2</v>
      </c>
      <c r="F563" s="108">
        <v>221939</v>
      </c>
      <c r="G563" s="201">
        <f>0+táj2!G563</f>
        <v>101</v>
      </c>
      <c r="H563" s="201">
        <f>0+táj2!H563</f>
        <v>12</v>
      </c>
      <c r="I563" s="201">
        <f>700+táj2!I563</f>
        <v>347</v>
      </c>
      <c r="J563" s="201"/>
      <c r="K563" s="201">
        <f>1900+táj2!K563</f>
        <v>1620</v>
      </c>
      <c r="L563" s="201"/>
      <c r="M563" s="201"/>
      <c r="N563" s="201"/>
      <c r="O563" s="201"/>
      <c r="P563" s="201"/>
      <c r="Q563" s="192">
        <f t="shared" si="54"/>
        <v>2080</v>
      </c>
    </row>
    <row r="564" spans="1:17" ht="17.100000000000001" customHeight="1" x14ac:dyDescent="0.25">
      <c r="A564" s="197"/>
      <c r="B564" s="197"/>
      <c r="C564" s="198"/>
      <c r="D564" s="143" t="s">
        <v>697</v>
      </c>
      <c r="E564" s="140">
        <v>2</v>
      </c>
      <c r="F564" s="108">
        <v>221927</v>
      </c>
      <c r="G564" s="201"/>
      <c r="H564" s="201"/>
      <c r="I564" s="201"/>
      <c r="J564" s="201"/>
      <c r="K564" s="201">
        <f>2800+táj2!K564</f>
        <v>2800</v>
      </c>
      <c r="L564" s="201"/>
      <c r="M564" s="201"/>
      <c r="N564" s="201"/>
      <c r="O564" s="201"/>
      <c r="P564" s="201"/>
      <c r="Q564" s="192">
        <f t="shared" si="54"/>
        <v>2800</v>
      </c>
    </row>
    <row r="565" spans="1:17" ht="24.75" customHeight="1" x14ac:dyDescent="0.25">
      <c r="A565" s="197"/>
      <c r="B565" s="197"/>
      <c r="C565" s="198"/>
      <c r="D565" s="322" t="s">
        <v>698</v>
      </c>
      <c r="E565" s="140">
        <v>2</v>
      </c>
      <c r="F565" s="108">
        <v>221935</v>
      </c>
      <c r="G565" s="201"/>
      <c r="H565" s="201"/>
      <c r="I565" s="201"/>
      <c r="J565" s="201"/>
      <c r="K565" s="201">
        <f>30000+táj2!K565</f>
        <v>30000</v>
      </c>
      <c r="L565" s="201"/>
      <c r="M565" s="201"/>
      <c r="N565" s="201"/>
      <c r="O565" s="201"/>
      <c r="P565" s="201"/>
      <c r="Q565" s="192">
        <f t="shared" si="54"/>
        <v>30000</v>
      </c>
    </row>
    <row r="566" spans="1:17" ht="17.100000000000001" customHeight="1" x14ac:dyDescent="0.25">
      <c r="A566" s="197"/>
      <c r="B566" s="197"/>
      <c r="C566" s="198"/>
      <c r="D566" s="143" t="s">
        <v>699</v>
      </c>
      <c r="E566" s="108">
        <v>2</v>
      </c>
      <c r="F566" s="108">
        <v>191110</v>
      </c>
      <c r="G566" s="201">
        <f>9306+táj2!G566</f>
        <v>10806</v>
      </c>
      <c r="H566" s="201">
        <f>3610+táj2!H566</f>
        <v>3670</v>
      </c>
      <c r="I566" s="201">
        <f>5293+táj2!I566</f>
        <v>3603</v>
      </c>
      <c r="J566" s="201"/>
      <c r="K566" s="201">
        <f>50+táj2!K566</f>
        <v>50</v>
      </c>
      <c r="L566" s="201"/>
      <c r="M566" s="201"/>
      <c r="N566" s="201"/>
      <c r="O566" s="201"/>
      <c r="P566" s="201"/>
      <c r="Q566" s="192">
        <f t="shared" si="54"/>
        <v>18129</v>
      </c>
    </row>
    <row r="567" spans="1:17" ht="17.100000000000001" customHeight="1" x14ac:dyDescent="0.25">
      <c r="A567" s="197"/>
      <c r="B567" s="197"/>
      <c r="C567" s="198"/>
      <c r="D567" s="143" t="s">
        <v>867</v>
      </c>
      <c r="E567" s="108">
        <v>2</v>
      </c>
      <c r="F567" s="108">
        <v>221967</v>
      </c>
      <c r="G567" s="201">
        <f>3000+táj2!G567</f>
        <v>3000</v>
      </c>
      <c r="H567" s="201">
        <f>400+táj2!H567</f>
        <v>400</v>
      </c>
      <c r="I567" s="201"/>
      <c r="J567" s="201"/>
      <c r="K567" s="201">
        <f>1600+táj2!K567</f>
        <v>1600</v>
      </c>
      <c r="L567" s="201"/>
      <c r="M567" s="201"/>
      <c r="N567" s="201"/>
      <c r="O567" s="201"/>
      <c r="P567" s="201"/>
      <c r="Q567" s="192">
        <f t="shared" si="54"/>
        <v>5000</v>
      </c>
    </row>
    <row r="568" spans="1:17" ht="17.100000000000001" customHeight="1" x14ac:dyDescent="0.25">
      <c r="A568" s="197"/>
      <c r="B568" s="197"/>
      <c r="C568" s="198"/>
      <c r="D568" s="421" t="s">
        <v>926</v>
      </c>
      <c r="E568" s="408">
        <v>2</v>
      </c>
      <c r="F568" s="408">
        <v>191139</v>
      </c>
      <c r="G568" s="149"/>
      <c r="H568" s="201"/>
      <c r="I568" s="201">
        <f>3810+táj2!I568</f>
        <v>3810</v>
      </c>
      <c r="J568" s="201"/>
      <c r="K568" s="201">
        <f>2190+táj2!K568</f>
        <v>2190</v>
      </c>
      <c r="L568" s="201"/>
      <c r="M568" s="201"/>
      <c r="N568" s="201"/>
      <c r="O568" s="201"/>
      <c r="P568" s="201"/>
      <c r="Q568" s="192">
        <f t="shared" si="54"/>
        <v>6000</v>
      </c>
    </row>
    <row r="569" spans="1:17" ht="17.100000000000001" customHeight="1" x14ac:dyDescent="0.25">
      <c r="A569" s="197"/>
      <c r="B569" s="197"/>
      <c r="C569" s="198"/>
      <c r="D569" s="528" t="s">
        <v>1006</v>
      </c>
      <c r="E569" s="108">
        <v>2</v>
      </c>
      <c r="F569" s="108">
        <v>221963</v>
      </c>
      <c r="G569" s="201"/>
      <c r="H569" s="201"/>
      <c r="I569" s="201"/>
      <c r="J569" s="201"/>
      <c r="K569" s="201">
        <f>5000+táj2!K569</f>
        <v>5000</v>
      </c>
      <c r="L569" s="201"/>
      <c r="M569" s="201"/>
      <c r="N569" s="201"/>
      <c r="O569" s="201"/>
      <c r="P569" s="201"/>
      <c r="Q569" s="192">
        <f t="shared" si="54"/>
        <v>5000</v>
      </c>
    </row>
    <row r="570" spans="1:17" ht="17.100000000000001" customHeight="1" x14ac:dyDescent="0.25">
      <c r="A570" s="197"/>
      <c r="B570" s="197"/>
      <c r="C570" s="198"/>
      <c r="D570" s="143" t="s">
        <v>700</v>
      </c>
      <c r="E570" s="140"/>
      <c r="F570" s="140"/>
      <c r="G570" s="201"/>
      <c r="H570" s="201"/>
      <c r="I570" s="201"/>
      <c r="J570" s="201"/>
      <c r="K570" s="201"/>
      <c r="L570" s="201"/>
      <c r="M570" s="201"/>
      <c r="N570" s="201"/>
      <c r="O570" s="201"/>
      <c r="P570" s="201"/>
      <c r="Q570" s="192"/>
    </row>
    <row r="571" spans="1:17" ht="17.100000000000001" customHeight="1" x14ac:dyDescent="0.25">
      <c r="A571" s="197"/>
      <c r="B571" s="197"/>
      <c r="C571" s="198"/>
      <c r="D571" s="143" t="s">
        <v>701</v>
      </c>
      <c r="E571" s="108">
        <v>2</v>
      </c>
      <c r="F571" s="108">
        <v>191301</v>
      </c>
      <c r="G571" s="201"/>
      <c r="H571" s="201"/>
      <c r="I571" s="201"/>
      <c r="J571" s="201"/>
      <c r="K571" s="201">
        <f>42000+táj2!K571</f>
        <v>42000</v>
      </c>
      <c r="L571" s="201"/>
      <c r="M571" s="201"/>
      <c r="N571" s="201"/>
      <c r="O571" s="201"/>
      <c r="P571" s="201"/>
      <c r="Q571" s="192">
        <f>SUM(G571:P571)</f>
        <v>42000</v>
      </c>
    </row>
    <row r="572" spans="1:17" ht="17.100000000000001" customHeight="1" x14ac:dyDescent="0.25">
      <c r="A572" s="156"/>
      <c r="B572" s="156"/>
      <c r="C572" s="174"/>
      <c r="D572" s="143" t="s">
        <v>702</v>
      </c>
      <c r="E572" s="108">
        <v>2</v>
      </c>
      <c r="F572" s="108">
        <v>191302</v>
      </c>
      <c r="G572" s="149"/>
      <c r="H572" s="149"/>
      <c r="I572" s="201">
        <f>10000+táj2!I572</f>
        <v>10000</v>
      </c>
      <c r="J572" s="201"/>
      <c r="K572" s="201"/>
      <c r="L572" s="149"/>
      <c r="M572" s="149"/>
      <c r="N572" s="149"/>
      <c r="O572" s="149"/>
      <c r="P572" s="149"/>
      <c r="Q572" s="108">
        <f>SUM(G572:P572)</f>
        <v>10000</v>
      </c>
    </row>
    <row r="573" spans="1:17" ht="17.100000000000001" customHeight="1" x14ac:dyDescent="0.25">
      <c r="A573" s="197"/>
      <c r="B573" s="197"/>
      <c r="C573" s="198"/>
      <c r="D573" s="323" t="s">
        <v>229</v>
      </c>
      <c r="E573" s="149"/>
      <c r="F573" s="108"/>
      <c r="G573" s="201"/>
      <c r="H573" s="201"/>
      <c r="I573" s="201"/>
      <c r="J573" s="201"/>
      <c r="K573" s="201"/>
      <c r="L573" s="201"/>
      <c r="M573" s="201"/>
      <c r="N573" s="201"/>
      <c r="O573" s="201"/>
      <c r="P573" s="201"/>
      <c r="Q573" s="192"/>
    </row>
    <row r="574" spans="1:17" ht="17.100000000000001" customHeight="1" x14ac:dyDescent="0.25">
      <c r="A574" s="197"/>
      <c r="B574" s="197"/>
      <c r="C574" s="198"/>
      <c r="D574" s="150" t="s">
        <v>703</v>
      </c>
      <c r="E574" s="171">
        <v>2</v>
      </c>
      <c r="F574" s="167">
        <v>221951</v>
      </c>
      <c r="G574" s="201"/>
      <c r="H574" s="201"/>
      <c r="I574" s="201">
        <f>500+táj2!I574</f>
        <v>500</v>
      </c>
      <c r="J574" s="201"/>
      <c r="K574" s="201">
        <f>26196+táj2!K574</f>
        <v>26698</v>
      </c>
      <c r="L574" s="201"/>
      <c r="M574" s="201"/>
      <c r="N574" s="201"/>
      <c r="O574" s="201"/>
      <c r="P574" s="201"/>
      <c r="Q574" s="192">
        <f>SUM(G574:P574)</f>
        <v>27198</v>
      </c>
    </row>
    <row r="575" spans="1:17" ht="17.100000000000001" customHeight="1" x14ac:dyDescent="0.25">
      <c r="A575" s="197"/>
      <c r="B575" s="197"/>
      <c r="C575" s="202"/>
      <c r="D575" s="324" t="s">
        <v>704</v>
      </c>
      <c r="E575" s="149">
        <v>2</v>
      </c>
      <c r="F575" s="108" t="s">
        <v>705</v>
      </c>
      <c r="G575" s="201">
        <f>585+táj2!G575</f>
        <v>662</v>
      </c>
      <c r="H575" s="201">
        <f>158+táj2!H575</f>
        <v>135</v>
      </c>
      <c r="I575" s="201">
        <f>23478+táj2!I575</f>
        <v>23587</v>
      </c>
      <c r="J575" s="201"/>
      <c r="K575" s="201">
        <f>15657+táj2!K575</f>
        <v>15657</v>
      </c>
      <c r="L575" s="201"/>
      <c r="M575" s="201"/>
      <c r="N575" s="201"/>
      <c r="O575" s="201"/>
      <c r="P575" s="201"/>
      <c r="Q575" s="192">
        <f>SUM(G575:P575)</f>
        <v>40041</v>
      </c>
    </row>
    <row r="576" spans="1:17" ht="17.100000000000001" customHeight="1" x14ac:dyDescent="0.25">
      <c r="A576" s="197"/>
      <c r="B576" s="197"/>
      <c r="C576" s="325"/>
      <c r="D576" s="324" t="s">
        <v>868</v>
      </c>
      <c r="E576" s="149">
        <v>2</v>
      </c>
      <c r="F576" s="108">
        <v>221969</v>
      </c>
      <c r="G576" s="201"/>
      <c r="H576" s="201"/>
      <c r="I576" s="201"/>
      <c r="J576" s="201"/>
      <c r="K576" s="201">
        <f>19662+táj2!K576</f>
        <v>19662</v>
      </c>
      <c r="L576" s="201"/>
      <c r="M576" s="201"/>
      <c r="N576" s="201"/>
      <c r="O576" s="201"/>
      <c r="P576" s="201"/>
      <c r="Q576" s="192">
        <f t="shared" ref="Q576" si="55">SUM(G576:P576)</f>
        <v>19662</v>
      </c>
    </row>
    <row r="577" spans="1:17" ht="17.100000000000001" customHeight="1" x14ac:dyDescent="0.25">
      <c r="A577" s="197"/>
      <c r="B577" s="197"/>
      <c r="C577" s="198"/>
      <c r="D577" s="142" t="s">
        <v>706</v>
      </c>
      <c r="E577" s="149"/>
      <c r="F577" s="108"/>
      <c r="G577" s="201"/>
      <c r="H577" s="201"/>
      <c r="I577" s="201"/>
      <c r="J577" s="201"/>
      <c r="K577" s="201"/>
      <c r="L577" s="201"/>
      <c r="M577" s="201"/>
      <c r="N577" s="201"/>
      <c r="O577" s="201"/>
      <c r="P577" s="201"/>
      <c r="Q577" s="192"/>
    </row>
    <row r="578" spans="1:17" ht="17.100000000000001" customHeight="1" x14ac:dyDescent="0.25">
      <c r="A578" s="197"/>
      <c r="B578" s="197"/>
      <c r="C578" s="198"/>
      <c r="D578" s="142" t="s">
        <v>707</v>
      </c>
      <c r="E578" s="149">
        <v>2</v>
      </c>
      <c r="F578" s="108">
        <v>221929</v>
      </c>
      <c r="G578" s="201"/>
      <c r="H578" s="201"/>
      <c r="I578" s="201"/>
      <c r="J578" s="201"/>
      <c r="K578" s="201">
        <f>11955+táj2!K578</f>
        <v>11955</v>
      </c>
      <c r="L578" s="201"/>
      <c r="M578" s="201"/>
      <c r="N578" s="201"/>
      <c r="O578" s="201"/>
      <c r="P578" s="201"/>
      <c r="Q578" s="192">
        <f>SUM(G578:P578)</f>
        <v>11955</v>
      </c>
    </row>
    <row r="579" spans="1:17" ht="17.100000000000001" customHeight="1" x14ac:dyDescent="0.25">
      <c r="A579" s="197"/>
      <c r="B579" s="197"/>
      <c r="C579" s="325"/>
      <c r="D579" s="142" t="s">
        <v>708</v>
      </c>
      <c r="E579" s="149">
        <v>2</v>
      </c>
      <c r="F579" s="108">
        <v>191402</v>
      </c>
      <c r="G579" s="201"/>
      <c r="H579" s="201"/>
      <c r="I579" s="201"/>
      <c r="J579" s="201"/>
      <c r="K579" s="201">
        <f>12000+táj2!K579</f>
        <v>15000</v>
      </c>
      <c r="L579" s="201"/>
      <c r="M579" s="201"/>
      <c r="N579" s="201"/>
      <c r="O579" s="201"/>
      <c r="P579" s="201"/>
      <c r="Q579" s="192">
        <f>SUM(G579:P579)</f>
        <v>15000</v>
      </c>
    </row>
    <row r="580" spans="1:17" ht="17.100000000000001" customHeight="1" x14ac:dyDescent="0.25">
      <c r="A580" s="197"/>
      <c r="B580" s="197"/>
      <c r="C580" s="325"/>
      <c r="D580" s="142" t="s">
        <v>709</v>
      </c>
      <c r="E580" s="149"/>
      <c r="F580" s="108"/>
      <c r="G580" s="201"/>
      <c r="H580" s="201"/>
      <c r="I580" s="201"/>
      <c r="J580" s="201"/>
      <c r="K580" s="201"/>
      <c r="L580" s="201"/>
      <c r="M580" s="201"/>
      <c r="N580" s="201"/>
      <c r="O580" s="201"/>
      <c r="P580" s="201"/>
      <c r="Q580" s="192"/>
    </row>
    <row r="581" spans="1:17" ht="17.100000000000001" customHeight="1" x14ac:dyDescent="0.25">
      <c r="A581" s="197"/>
      <c r="B581" s="197"/>
      <c r="C581" s="325"/>
      <c r="D581" s="142" t="s">
        <v>710</v>
      </c>
      <c r="E581" s="149">
        <v>1</v>
      </c>
      <c r="F581" s="108">
        <v>221909</v>
      </c>
      <c r="G581" s="201"/>
      <c r="H581" s="201"/>
      <c r="I581" s="201"/>
      <c r="J581" s="201"/>
      <c r="K581" s="201">
        <f>18100+táj2!K581</f>
        <v>15100</v>
      </c>
      <c r="L581" s="201"/>
      <c r="M581" s="201"/>
      <c r="N581" s="201"/>
      <c r="O581" s="201"/>
      <c r="P581" s="201"/>
      <c r="Q581" s="192">
        <f>SUM(G581:P581)</f>
        <v>15100</v>
      </c>
    </row>
    <row r="582" spans="1:17" ht="17.100000000000001" customHeight="1" x14ac:dyDescent="0.25">
      <c r="A582" s="197"/>
      <c r="B582" s="197"/>
      <c r="C582" s="198"/>
      <c r="D582" s="142" t="s">
        <v>711</v>
      </c>
      <c r="E582" s="149">
        <v>1</v>
      </c>
      <c r="F582" s="108">
        <v>221913</v>
      </c>
      <c r="G582" s="201"/>
      <c r="H582" s="201"/>
      <c r="I582" s="201">
        <f>17000+táj2!I582</f>
        <v>17000</v>
      </c>
      <c r="J582" s="201"/>
      <c r="K582" s="201"/>
      <c r="L582" s="201"/>
      <c r="M582" s="201"/>
      <c r="N582" s="201"/>
      <c r="O582" s="201"/>
      <c r="P582" s="201"/>
      <c r="Q582" s="192">
        <f>SUM(G582:P582)</f>
        <v>17000</v>
      </c>
    </row>
    <row r="583" spans="1:17" ht="17.100000000000001" customHeight="1" x14ac:dyDescent="0.25">
      <c r="A583" s="197"/>
      <c r="B583" s="197"/>
      <c r="C583" s="198"/>
      <c r="D583" s="142" t="s">
        <v>780</v>
      </c>
      <c r="E583" s="149">
        <v>1</v>
      </c>
      <c r="F583" s="108">
        <v>221962</v>
      </c>
      <c r="G583" s="201"/>
      <c r="H583" s="201"/>
      <c r="I583" s="201"/>
      <c r="J583" s="201"/>
      <c r="K583" s="201">
        <f>54000+táj2!K583</f>
        <v>54000</v>
      </c>
      <c r="L583" s="201"/>
      <c r="M583" s="201"/>
      <c r="N583" s="201"/>
      <c r="O583" s="201"/>
      <c r="P583" s="201"/>
      <c r="Q583" s="192">
        <f>SUM(G583:P583)</f>
        <v>54000</v>
      </c>
    </row>
    <row r="584" spans="1:17" ht="17.100000000000001" customHeight="1" x14ac:dyDescent="0.25">
      <c r="A584" s="197"/>
      <c r="B584" s="197"/>
      <c r="C584" s="198"/>
      <c r="D584" s="162" t="s">
        <v>712</v>
      </c>
      <c r="E584" s="149">
        <v>2</v>
      </c>
      <c r="F584" s="157">
        <v>221955</v>
      </c>
      <c r="G584" s="201"/>
      <c r="H584" s="201"/>
      <c r="I584" s="201">
        <f>3785+táj2!I584</f>
        <v>3785</v>
      </c>
      <c r="J584" s="201"/>
      <c r="K584" s="201"/>
      <c r="L584" s="201"/>
      <c r="M584" s="201"/>
      <c r="N584" s="201"/>
      <c r="O584" s="201"/>
      <c r="P584" s="201"/>
      <c r="Q584" s="192">
        <f>SUM(G584:P584)</f>
        <v>3785</v>
      </c>
    </row>
    <row r="585" spans="1:17" ht="17.100000000000001" customHeight="1" x14ac:dyDescent="0.25">
      <c r="A585" s="197"/>
      <c r="B585" s="197"/>
      <c r="C585" s="198"/>
      <c r="D585" s="143" t="s">
        <v>713</v>
      </c>
      <c r="E585" s="140"/>
      <c r="F585" s="140"/>
      <c r="G585" s="201"/>
      <c r="H585" s="201"/>
      <c r="I585" s="201"/>
      <c r="J585" s="201"/>
      <c r="K585" s="201"/>
      <c r="L585" s="201"/>
      <c r="M585" s="201"/>
      <c r="N585" s="201"/>
      <c r="O585" s="201"/>
      <c r="P585" s="201"/>
      <c r="Q585" s="108"/>
    </row>
    <row r="586" spans="1:17" ht="14.25" customHeight="1" x14ac:dyDescent="0.25">
      <c r="A586" s="197"/>
      <c r="B586" s="197"/>
      <c r="C586" s="198"/>
      <c r="D586" s="143" t="s">
        <v>714</v>
      </c>
      <c r="E586" s="108">
        <v>2</v>
      </c>
      <c r="F586" s="108">
        <v>191151</v>
      </c>
      <c r="G586" s="201"/>
      <c r="H586" s="201"/>
      <c r="I586" s="201"/>
      <c r="J586" s="201"/>
      <c r="K586" s="201">
        <f>70000+táj2!K586</f>
        <v>78000</v>
      </c>
      <c r="L586" s="201"/>
      <c r="M586" s="201"/>
      <c r="N586" s="201"/>
      <c r="O586" s="201"/>
      <c r="P586" s="201"/>
      <c r="Q586" s="108">
        <f>SUM(G586:P586)</f>
        <v>78000</v>
      </c>
    </row>
    <row r="587" spans="1:17" ht="15.9" customHeight="1" x14ac:dyDescent="0.25">
      <c r="A587" s="197"/>
      <c r="B587" s="197"/>
      <c r="C587" s="198"/>
      <c r="D587" s="143" t="s">
        <v>359</v>
      </c>
      <c r="E587" s="149"/>
      <c r="F587" s="157"/>
      <c r="G587" s="201"/>
      <c r="H587" s="201"/>
      <c r="I587" s="201"/>
      <c r="J587" s="201"/>
      <c r="K587" s="201"/>
      <c r="L587" s="201"/>
      <c r="M587" s="201"/>
      <c r="N587" s="201"/>
      <c r="O587" s="201"/>
      <c r="P587" s="201"/>
      <c r="Q587" s="192"/>
    </row>
    <row r="588" spans="1:17" ht="18.75" customHeight="1" x14ac:dyDescent="0.25">
      <c r="A588" s="197"/>
      <c r="B588" s="197"/>
      <c r="C588" s="198"/>
      <c r="D588" s="150" t="s">
        <v>736</v>
      </c>
      <c r="E588" s="149">
        <v>2</v>
      </c>
      <c r="F588" s="157">
        <v>221961</v>
      </c>
      <c r="G588" s="201"/>
      <c r="H588" s="201"/>
      <c r="I588" s="201">
        <f>4000+táj2!I588</f>
        <v>4000</v>
      </c>
      <c r="J588" s="201"/>
      <c r="K588" s="201"/>
      <c r="L588" s="201"/>
      <c r="M588" s="201"/>
      <c r="N588" s="201"/>
      <c r="O588" s="201"/>
      <c r="P588" s="201"/>
      <c r="Q588" s="192">
        <f t="shared" ref="Q588:Q592" si="56">SUM(G588:P588)</f>
        <v>4000</v>
      </c>
    </row>
    <row r="589" spans="1:17" ht="16.5" customHeight="1" x14ac:dyDescent="0.25">
      <c r="A589" s="197"/>
      <c r="B589" s="197"/>
      <c r="C589" s="198"/>
      <c r="D589" s="537" t="s">
        <v>1007</v>
      </c>
      <c r="E589" s="532">
        <v>2</v>
      </c>
      <c r="F589" s="537">
        <v>121518</v>
      </c>
      <c r="G589" s="201"/>
      <c r="H589" s="201"/>
      <c r="I589" s="201"/>
      <c r="J589" s="201"/>
      <c r="K589" s="201">
        <f>1500+táj2!K589</f>
        <v>1500</v>
      </c>
      <c r="L589" s="201"/>
      <c r="M589" s="201"/>
      <c r="N589" s="201"/>
      <c r="O589" s="201"/>
      <c r="P589" s="201"/>
      <c r="Q589" s="192">
        <f t="shared" si="56"/>
        <v>1500</v>
      </c>
    </row>
    <row r="590" spans="1:17" ht="25.5" customHeight="1" x14ac:dyDescent="0.25">
      <c r="A590" s="757"/>
      <c r="B590" s="757"/>
      <c r="C590" s="758"/>
      <c r="D590" s="546" t="s">
        <v>1109</v>
      </c>
      <c r="E590" s="759">
        <v>2</v>
      </c>
      <c r="F590" s="742">
        <v>221975</v>
      </c>
      <c r="G590" s="744"/>
      <c r="H590" s="744"/>
      <c r="I590" s="744"/>
      <c r="J590" s="744"/>
      <c r="K590" s="201">
        <f>300+táj2!K590</f>
        <v>300</v>
      </c>
      <c r="L590" s="744"/>
      <c r="M590" s="744"/>
      <c r="N590" s="744"/>
      <c r="O590" s="744"/>
      <c r="P590" s="744"/>
      <c r="Q590" s="192">
        <f t="shared" si="56"/>
        <v>300</v>
      </c>
    </row>
    <row r="591" spans="1:17" ht="16.5" customHeight="1" x14ac:dyDescent="0.25">
      <c r="A591" s="376"/>
      <c r="B591" s="376"/>
      <c r="C591" s="401"/>
      <c r="D591" s="537" t="s">
        <v>907</v>
      </c>
      <c r="E591" s="532">
        <v>2</v>
      </c>
      <c r="F591" s="410">
        <v>221970</v>
      </c>
      <c r="G591" s="377"/>
      <c r="H591" s="377"/>
      <c r="I591" s="377"/>
      <c r="J591" s="377"/>
      <c r="K591" s="201">
        <f>500+táj2!K591</f>
        <v>500</v>
      </c>
      <c r="L591" s="377"/>
      <c r="M591" s="377"/>
      <c r="N591" s="377"/>
      <c r="O591" s="377"/>
      <c r="P591" s="377"/>
      <c r="Q591" s="192">
        <f t="shared" si="56"/>
        <v>500</v>
      </c>
    </row>
    <row r="592" spans="1:17" ht="36.75" customHeight="1" x14ac:dyDescent="0.25">
      <c r="A592" s="706"/>
      <c r="B592" s="706"/>
      <c r="C592" s="707"/>
      <c r="D592" s="710" t="s">
        <v>1053</v>
      </c>
      <c r="E592" s="708">
        <v>2</v>
      </c>
      <c r="F592" s="622">
        <v>221974</v>
      </c>
      <c r="G592" s="642"/>
      <c r="H592" s="709"/>
      <c r="I592" s="709"/>
      <c r="J592" s="709"/>
      <c r="K592" s="201">
        <f>500+táj2!K592</f>
        <v>500</v>
      </c>
      <c r="L592" s="709"/>
      <c r="M592" s="709"/>
      <c r="N592" s="709"/>
      <c r="O592" s="709"/>
      <c r="P592" s="709"/>
      <c r="Q592" s="192">
        <f t="shared" si="56"/>
        <v>500</v>
      </c>
    </row>
    <row r="593" spans="1:17" ht="14.1" customHeight="1" x14ac:dyDescent="0.25">
      <c r="A593" s="151"/>
      <c r="B593" s="151"/>
      <c r="C593" s="355"/>
      <c r="D593" s="356" t="s">
        <v>715</v>
      </c>
      <c r="E593" s="357"/>
      <c r="F593" s="358"/>
      <c r="G593" s="203">
        <f>SUM(G558:G592)</f>
        <v>47491</v>
      </c>
      <c r="H593" s="203">
        <f t="shared" ref="H593:Q593" si="57">SUM(H558:H592)</f>
        <v>19464</v>
      </c>
      <c r="I593" s="203">
        <f t="shared" si="57"/>
        <v>134344</v>
      </c>
      <c r="J593" s="203">
        <f t="shared" si="57"/>
        <v>0</v>
      </c>
      <c r="K593" s="203">
        <f t="shared" si="57"/>
        <v>363932</v>
      </c>
      <c r="L593" s="203">
        <f t="shared" si="57"/>
        <v>3153</v>
      </c>
      <c r="M593" s="203">
        <f t="shared" si="57"/>
        <v>0</v>
      </c>
      <c r="N593" s="203">
        <f t="shared" si="57"/>
        <v>0</v>
      </c>
      <c r="O593" s="203">
        <f t="shared" si="57"/>
        <v>0</v>
      </c>
      <c r="P593" s="203">
        <f t="shared" si="57"/>
        <v>0</v>
      </c>
      <c r="Q593" s="203">
        <f t="shared" si="57"/>
        <v>568384</v>
      </c>
    </row>
    <row r="594" spans="1:17" ht="14.1" customHeight="1" x14ac:dyDescent="0.25">
      <c r="A594" s="156"/>
      <c r="B594" s="156"/>
      <c r="C594" s="156"/>
      <c r="D594" s="359" t="s">
        <v>716</v>
      </c>
      <c r="E594" s="360"/>
      <c r="F594" s="361"/>
      <c r="G594" s="177"/>
      <c r="H594" s="177"/>
      <c r="I594" s="177"/>
      <c r="J594" s="177"/>
      <c r="K594" s="177"/>
      <c r="L594" s="177"/>
      <c r="M594" s="177"/>
      <c r="N594" s="177"/>
      <c r="O594" s="177"/>
      <c r="P594" s="177"/>
      <c r="Q594" s="177"/>
    </row>
    <row r="595" spans="1:17" ht="18" customHeight="1" x14ac:dyDescent="0.25">
      <c r="A595" s="156"/>
      <c r="B595" s="156"/>
      <c r="C595" s="362" t="s">
        <v>90</v>
      </c>
      <c r="D595" s="860" t="s">
        <v>887</v>
      </c>
      <c r="E595" s="861"/>
      <c r="F595" s="363">
        <v>222928</v>
      </c>
      <c r="G595" s="201"/>
      <c r="H595" s="201"/>
      <c r="I595" s="149"/>
      <c r="J595" s="201"/>
      <c r="K595" s="201"/>
      <c r="L595" s="149">
        <f>13000+táj2!L595</f>
        <v>13000</v>
      </c>
      <c r="M595" s="201"/>
      <c r="N595" s="201"/>
      <c r="O595" s="201"/>
      <c r="P595" s="201"/>
      <c r="Q595" s="192">
        <f t="shared" ref="Q595:Q597" si="58">SUM(G595:P595)</f>
        <v>13000</v>
      </c>
    </row>
    <row r="596" spans="1:17" ht="18" customHeight="1" x14ac:dyDescent="0.25">
      <c r="A596" s="539"/>
      <c r="B596" s="539"/>
      <c r="C596" s="544" t="s">
        <v>1082</v>
      </c>
      <c r="D596" s="613" t="s">
        <v>1083</v>
      </c>
      <c r="E596" s="743"/>
      <c r="F596" s="742">
        <v>222933</v>
      </c>
      <c r="G596" s="744"/>
      <c r="H596" s="744"/>
      <c r="I596" s="636"/>
      <c r="J596" s="744"/>
      <c r="K596" s="744"/>
      <c r="L596" s="149"/>
      <c r="M596" s="149"/>
      <c r="N596" s="149">
        <f>18624+táj2!N596</f>
        <v>18624</v>
      </c>
      <c r="O596" s="744"/>
      <c r="P596" s="744"/>
      <c r="Q596" s="192">
        <f t="shared" si="58"/>
        <v>18624</v>
      </c>
    </row>
    <row r="597" spans="1:17" ht="24" customHeight="1" x14ac:dyDescent="0.25">
      <c r="A597" s="793"/>
      <c r="B597" s="793"/>
      <c r="C597" s="737" t="s">
        <v>91</v>
      </c>
      <c r="D597" s="798" t="s">
        <v>1164</v>
      </c>
      <c r="E597" s="796"/>
      <c r="F597" s="730">
        <v>222934</v>
      </c>
      <c r="G597" s="799"/>
      <c r="H597" s="799"/>
      <c r="I597" s="797"/>
      <c r="J597" s="799"/>
      <c r="K597" s="799"/>
      <c r="L597" s="797"/>
      <c r="M597" s="797"/>
      <c r="N597" s="149">
        <f>150+táj2!N597</f>
        <v>282</v>
      </c>
      <c r="O597" s="799"/>
      <c r="P597" s="799"/>
      <c r="Q597" s="192">
        <f t="shared" si="58"/>
        <v>282</v>
      </c>
    </row>
    <row r="598" spans="1:17" ht="18" customHeight="1" x14ac:dyDescent="0.25">
      <c r="A598" s="151"/>
      <c r="B598" s="151"/>
      <c r="C598" s="355"/>
      <c r="D598" s="365" t="s">
        <v>717</v>
      </c>
      <c r="E598" s="357"/>
      <c r="F598" s="358"/>
      <c r="G598" s="203">
        <f>SUM(G593:G597)</f>
        <v>47491</v>
      </c>
      <c r="H598" s="203">
        <f t="shared" ref="H598:Q598" si="59">SUM(H593:H597)</f>
        <v>19464</v>
      </c>
      <c r="I598" s="203">
        <f t="shared" si="59"/>
        <v>134344</v>
      </c>
      <c r="J598" s="203">
        <f t="shared" si="59"/>
        <v>0</v>
      </c>
      <c r="K598" s="203">
        <f t="shared" si="59"/>
        <v>363932</v>
      </c>
      <c r="L598" s="203">
        <f t="shared" si="59"/>
        <v>16153</v>
      </c>
      <c r="M598" s="203">
        <f t="shared" si="59"/>
        <v>0</v>
      </c>
      <c r="N598" s="203">
        <f t="shared" si="59"/>
        <v>18906</v>
      </c>
      <c r="O598" s="203">
        <f t="shared" si="59"/>
        <v>0</v>
      </c>
      <c r="P598" s="203">
        <f t="shared" si="59"/>
        <v>0</v>
      </c>
      <c r="Q598" s="203">
        <f t="shared" si="59"/>
        <v>600290</v>
      </c>
    </row>
    <row r="599" spans="1:17" ht="18" customHeight="1" x14ac:dyDescent="0.25">
      <c r="A599" s="156">
        <v>1</v>
      </c>
      <c r="B599" s="156">
        <v>30</v>
      </c>
      <c r="C599" s="366"/>
      <c r="D599" s="364" t="s">
        <v>718</v>
      </c>
      <c r="E599" s="363"/>
      <c r="F599" s="363"/>
      <c r="G599" s="108"/>
      <c r="H599" s="134"/>
      <c r="I599" s="134"/>
      <c r="J599" s="134"/>
      <c r="K599" s="134"/>
      <c r="L599" s="134"/>
      <c r="M599" s="108"/>
      <c r="N599" s="108"/>
      <c r="O599" s="108"/>
      <c r="P599" s="108"/>
      <c r="Q599" s="108"/>
    </row>
    <row r="600" spans="1:17" ht="15.6" customHeight="1" x14ac:dyDescent="0.25">
      <c r="A600" s="156"/>
      <c r="B600" s="156">
        <v>31</v>
      </c>
      <c r="C600" s="366"/>
      <c r="D600" s="367" t="s">
        <v>719</v>
      </c>
      <c r="E600" s="108">
        <v>1</v>
      </c>
      <c r="F600" s="363">
        <v>311901</v>
      </c>
      <c r="G600" s="149"/>
      <c r="H600" s="149"/>
      <c r="I600" s="149"/>
      <c r="J600" s="149"/>
      <c r="K600" s="149">
        <f>1701+táj2!K600</f>
        <v>1045</v>
      </c>
      <c r="L600" s="149"/>
      <c r="M600" s="149"/>
      <c r="N600" s="149"/>
      <c r="O600" s="149"/>
      <c r="P600" s="149"/>
      <c r="Q600" s="108">
        <f>SUM(K600:P600)</f>
        <v>1045</v>
      </c>
    </row>
    <row r="601" spans="1:17" ht="15" customHeight="1" x14ac:dyDescent="0.25">
      <c r="A601" s="129"/>
      <c r="B601" s="129">
        <v>32</v>
      </c>
      <c r="C601" s="362"/>
      <c r="D601" s="367" t="s">
        <v>720</v>
      </c>
      <c r="E601" s="108"/>
      <c r="F601" s="363"/>
      <c r="G601" s="149"/>
      <c r="H601" s="134"/>
      <c r="I601" s="134"/>
      <c r="J601" s="134"/>
      <c r="K601" s="149"/>
      <c r="L601" s="134"/>
      <c r="M601" s="149"/>
      <c r="N601" s="149"/>
      <c r="O601" s="108"/>
      <c r="P601" s="108"/>
      <c r="Q601" s="108"/>
    </row>
    <row r="602" spans="1:17" ht="18" customHeight="1" x14ac:dyDescent="0.25">
      <c r="A602" s="129"/>
      <c r="B602" s="129"/>
      <c r="C602" s="362"/>
      <c r="D602" s="364" t="s">
        <v>781</v>
      </c>
      <c r="E602" s="108">
        <v>1</v>
      </c>
      <c r="F602" s="108">
        <v>321907</v>
      </c>
      <c r="G602" s="149"/>
      <c r="H602" s="149"/>
      <c r="I602" s="149"/>
      <c r="J602" s="149"/>
      <c r="K602" s="149">
        <f>0+táj2!K602</f>
        <v>0</v>
      </c>
      <c r="L602" s="149"/>
      <c r="M602" s="149"/>
      <c r="N602" s="149"/>
      <c r="O602" s="149"/>
      <c r="P602" s="149"/>
      <c r="Q602" s="108">
        <f t="shared" ref="Q602:Q610" si="60">SUM(K602:P602)</f>
        <v>0</v>
      </c>
    </row>
    <row r="603" spans="1:17" ht="17.25" customHeight="1" x14ac:dyDescent="0.25">
      <c r="A603" s="326"/>
      <c r="B603" s="326"/>
      <c r="C603" s="326"/>
      <c r="D603" s="422" t="s">
        <v>721</v>
      </c>
      <c r="E603" s="204">
        <v>1</v>
      </c>
      <c r="F603" s="205">
        <v>321903</v>
      </c>
      <c r="G603" s="149"/>
      <c r="H603" s="149"/>
      <c r="I603" s="149"/>
      <c r="J603" s="149"/>
      <c r="K603" s="149">
        <f>69139+táj2!K603</f>
        <v>84690</v>
      </c>
      <c r="L603" s="149"/>
      <c r="M603" s="149"/>
      <c r="N603" s="149"/>
      <c r="O603" s="149"/>
      <c r="P603" s="149"/>
      <c r="Q603" s="108">
        <f t="shared" si="60"/>
        <v>84690</v>
      </c>
    </row>
    <row r="604" spans="1:17" ht="18" customHeight="1" x14ac:dyDescent="0.25">
      <c r="A604" s="129"/>
      <c r="B604" s="129"/>
      <c r="C604" s="362"/>
      <c r="D604" s="364" t="s">
        <v>722</v>
      </c>
      <c r="E604" s="140">
        <v>1</v>
      </c>
      <c r="F604" s="108">
        <v>321908</v>
      </c>
      <c r="G604" s="149"/>
      <c r="H604" s="149"/>
      <c r="I604" s="149"/>
      <c r="J604" s="149"/>
      <c r="K604" s="149">
        <f>88+táj2!K604</f>
        <v>88</v>
      </c>
      <c r="L604" s="149"/>
      <c r="M604" s="149"/>
      <c r="N604" s="149"/>
      <c r="O604" s="149"/>
      <c r="P604" s="149"/>
      <c r="Q604" s="108">
        <f t="shared" si="60"/>
        <v>88</v>
      </c>
    </row>
    <row r="605" spans="1:17" ht="16.95" customHeight="1" x14ac:dyDescent="0.25">
      <c r="A605" s="129"/>
      <c r="B605" s="129"/>
      <c r="C605" s="362"/>
      <c r="D605" s="322" t="s">
        <v>723</v>
      </c>
      <c r="E605" s="165">
        <v>1</v>
      </c>
      <c r="F605" s="167">
        <v>321933</v>
      </c>
      <c r="G605" s="149"/>
      <c r="H605" s="149"/>
      <c r="I605" s="149"/>
      <c r="J605" s="149"/>
      <c r="K605" s="149">
        <f>240687+táj2!K605</f>
        <v>266503</v>
      </c>
      <c r="L605" s="149"/>
      <c r="M605" s="149"/>
      <c r="N605" s="149"/>
      <c r="O605" s="149"/>
      <c r="P605" s="149"/>
      <c r="Q605" s="108">
        <f t="shared" si="60"/>
        <v>266503</v>
      </c>
    </row>
    <row r="606" spans="1:17" ht="16.95" customHeight="1" x14ac:dyDescent="0.25">
      <c r="A606" s="511"/>
      <c r="B606" s="511"/>
      <c r="C606" s="544"/>
      <c r="D606" s="635" t="s">
        <v>1008</v>
      </c>
      <c r="E606" s="637">
        <v>1</v>
      </c>
      <c r="F606" s="638">
        <v>321924</v>
      </c>
      <c r="G606" s="636"/>
      <c r="H606" s="636"/>
      <c r="I606" s="636"/>
      <c r="J606" s="636"/>
      <c r="K606" s="149">
        <f>137548+táj2!K606</f>
        <v>230089</v>
      </c>
      <c r="L606" s="636"/>
      <c r="M606" s="636"/>
      <c r="N606" s="636"/>
      <c r="O606" s="636"/>
      <c r="P606" s="636"/>
      <c r="Q606" s="108">
        <f t="shared" si="60"/>
        <v>230089</v>
      </c>
    </row>
    <row r="607" spans="1:17" ht="16.95" customHeight="1" x14ac:dyDescent="0.25">
      <c r="A607" s="511"/>
      <c r="B607" s="511"/>
      <c r="C607" s="544"/>
      <c r="D607" s="639" t="s">
        <v>1009</v>
      </c>
      <c r="E607" s="637">
        <v>1</v>
      </c>
      <c r="F607" s="638">
        <v>321925</v>
      </c>
      <c r="G607" s="636"/>
      <c r="H607" s="636"/>
      <c r="I607" s="636"/>
      <c r="J607" s="636"/>
      <c r="K607" s="149">
        <f>0+táj2!K607</f>
        <v>0</v>
      </c>
      <c r="L607" s="636"/>
      <c r="M607" s="636"/>
      <c r="N607" s="636"/>
      <c r="O607" s="636"/>
      <c r="P607" s="636"/>
      <c r="Q607" s="108">
        <f t="shared" si="60"/>
        <v>0</v>
      </c>
    </row>
    <row r="608" spans="1:17" ht="15.6" customHeight="1" x14ac:dyDescent="0.25">
      <c r="A608" s="129"/>
      <c r="B608" s="129"/>
      <c r="C608" s="145"/>
      <c r="D608" s="327" t="s">
        <v>724</v>
      </c>
      <c r="E608" s="165">
        <v>1</v>
      </c>
      <c r="F608" s="167">
        <v>321934</v>
      </c>
      <c r="G608" s="149"/>
      <c r="H608" s="149"/>
      <c r="I608" s="149"/>
      <c r="J608" s="149"/>
      <c r="K608" s="149">
        <f>1614+táj2!K608</f>
        <v>672</v>
      </c>
      <c r="L608" s="149"/>
      <c r="M608" s="149"/>
      <c r="N608" s="149"/>
      <c r="O608" s="149"/>
      <c r="P608" s="149"/>
      <c r="Q608" s="108">
        <f t="shared" si="60"/>
        <v>672</v>
      </c>
    </row>
    <row r="609" spans="1:17" ht="18" customHeight="1" x14ac:dyDescent="0.25">
      <c r="A609" s="129"/>
      <c r="B609" s="129"/>
      <c r="C609" s="145"/>
      <c r="D609" s="162" t="s">
        <v>725</v>
      </c>
      <c r="E609" s="165">
        <v>1</v>
      </c>
      <c r="F609" s="167">
        <v>321911</v>
      </c>
      <c r="G609" s="149"/>
      <c r="H609" s="149"/>
      <c r="I609" s="149"/>
      <c r="J609" s="149"/>
      <c r="K609" s="149">
        <f>47926+táj2!K609</f>
        <v>21426</v>
      </c>
      <c r="L609" s="149"/>
      <c r="M609" s="149"/>
      <c r="N609" s="149"/>
      <c r="O609" s="149"/>
      <c r="P609" s="149"/>
      <c r="Q609" s="108">
        <f t="shared" si="60"/>
        <v>21426</v>
      </c>
    </row>
    <row r="610" spans="1:17" ht="18" customHeight="1" x14ac:dyDescent="0.25">
      <c r="A610" s="129"/>
      <c r="B610" s="129"/>
      <c r="C610" s="145"/>
      <c r="D610" s="150" t="s">
        <v>726</v>
      </c>
      <c r="E610" s="165">
        <v>1</v>
      </c>
      <c r="F610" s="167">
        <v>321909</v>
      </c>
      <c r="G610" s="149"/>
      <c r="H610" s="149"/>
      <c r="I610" s="149"/>
      <c r="J610" s="149"/>
      <c r="K610" s="149">
        <f>45000+táj2!K610</f>
        <v>45000</v>
      </c>
      <c r="L610" s="149"/>
      <c r="M610" s="149"/>
      <c r="N610" s="149"/>
      <c r="O610" s="149"/>
      <c r="P610" s="149"/>
      <c r="Q610" s="108">
        <f t="shared" si="60"/>
        <v>45000</v>
      </c>
    </row>
    <row r="611" spans="1:17" ht="16.95" customHeight="1" x14ac:dyDescent="0.25">
      <c r="A611" s="129"/>
      <c r="B611" s="129"/>
      <c r="C611" s="145"/>
      <c r="D611" s="175" t="s">
        <v>727</v>
      </c>
      <c r="E611" s="108"/>
      <c r="F611" s="108"/>
      <c r="G611" s="149"/>
      <c r="H611" s="134"/>
      <c r="I611" s="134"/>
      <c r="J611" s="134"/>
      <c r="K611" s="149"/>
      <c r="L611" s="134"/>
      <c r="M611" s="108"/>
      <c r="N611" s="108"/>
      <c r="O611" s="108"/>
      <c r="P611" s="108"/>
      <c r="Q611" s="108"/>
    </row>
    <row r="612" spans="1:17" ht="18" customHeight="1" x14ac:dyDescent="0.25">
      <c r="A612" s="129"/>
      <c r="B612" s="129"/>
      <c r="C612" s="145" t="s">
        <v>90</v>
      </c>
      <c r="D612" s="328" t="s">
        <v>728</v>
      </c>
      <c r="E612" s="108">
        <v>1</v>
      </c>
      <c r="F612" s="108">
        <v>324902</v>
      </c>
      <c r="G612" s="149"/>
      <c r="H612" s="149"/>
      <c r="I612" s="149"/>
      <c r="J612" s="149"/>
      <c r="K612" s="149"/>
      <c r="L612" s="149"/>
      <c r="M612" s="149">
        <f>9670+táj2!M612</f>
        <v>1682</v>
      </c>
      <c r="N612" s="149"/>
      <c r="O612" s="149"/>
      <c r="P612" s="149"/>
      <c r="Q612" s="108">
        <f>SUM(K612:P612)</f>
        <v>1682</v>
      </c>
    </row>
    <row r="613" spans="1:17" ht="18" customHeight="1" x14ac:dyDescent="0.25">
      <c r="A613" s="372"/>
      <c r="B613" s="372"/>
      <c r="C613" s="373" t="s">
        <v>89</v>
      </c>
      <c r="D613" s="329" t="s">
        <v>782</v>
      </c>
      <c r="E613" s="157">
        <v>1</v>
      </c>
      <c r="F613" s="157">
        <v>322906</v>
      </c>
      <c r="G613" s="375"/>
      <c r="H613" s="375"/>
      <c r="I613" s="375"/>
      <c r="J613" s="375"/>
      <c r="K613" s="149"/>
      <c r="L613" s="149">
        <f>18196+táj2!L613</f>
        <v>0</v>
      </c>
      <c r="M613" s="375"/>
      <c r="N613" s="375"/>
      <c r="O613" s="375"/>
      <c r="P613" s="375"/>
      <c r="Q613" s="108">
        <f t="shared" ref="Q613:Q615" si="61">SUM(K613:P613)</f>
        <v>0</v>
      </c>
    </row>
    <row r="614" spans="1:17" ht="18" customHeight="1" x14ac:dyDescent="0.25">
      <c r="A614" s="640"/>
      <c r="B614" s="640"/>
      <c r="C614" s="641" t="s">
        <v>91</v>
      </c>
      <c r="D614" s="643" t="s">
        <v>1010</v>
      </c>
      <c r="E614" s="622">
        <v>1</v>
      </c>
      <c r="F614" s="622">
        <v>322909</v>
      </c>
      <c r="G614" s="642"/>
      <c r="H614" s="642"/>
      <c r="I614" s="642"/>
      <c r="J614" s="642"/>
      <c r="K614" s="642"/>
      <c r="L614" s="149">
        <f>629495+táj2!L614</f>
        <v>632305</v>
      </c>
      <c r="M614" s="642"/>
      <c r="N614" s="642"/>
      <c r="O614" s="642"/>
      <c r="P614" s="642"/>
      <c r="Q614" s="108">
        <f t="shared" si="61"/>
        <v>632305</v>
      </c>
    </row>
    <row r="615" spans="1:17" ht="18" customHeight="1" x14ac:dyDescent="0.25">
      <c r="A615" s="640"/>
      <c r="B615" s="640"/>
      <c r="C615" s="641" t="s">
        <v>92</v>
      </c>
      <c r="D615" s="645" t="s">
        <v>1011</v>
      </c>
      <c r="E615" s="622">
        <v>1</v>
      </c>
      <c r="F615" s="622">
        <v>322917</v>
      </c>
      <c r="G615" s="642"/>
      <c r="H615" s="642"/>
      <c r="I615" s="642"/>
      <c r="J615" s="642"/>
      <c r="K615" s="642"/>
      <c r="L615" s="149">
        <f>98606+táj2!L615</f>
        <v>0</v>
      </c>
      <c r="M615" s="642"/>
      <c r="N615" s="642"/>
      <c r="O615" s="642"/>
      <c r="P615" s="642"/>
      <c r="Q615" s="108">
        <f t="shared" si="61"/>
        <v>0</v>
      </c>
    </row>
    <row r="616" spans="1:17" ht="15.9" customHeight="1" x14ac:dyDescent="0.25">
      <c r="A616" s="151"/>
      <c r="B616" s="151"/>
      <c r="C616" s="152"/>
      <c r="D616" s="153" t="s">
        <v>729</v>
      </c>
      <c r="E616" s="154"/>
      <c r="F616" s="206"/>
      <c r="G616" s="207">
        <f>SUM(G600:G615)</f>
        <v>0</v>
      </c>
      <c r="H616" s="207">
        <f t="shared" ref="H616:Q616" si="62">SUM(H600:H615)</f>
        <v>0</v>
      </c>
      <c r="I616" s="207">
        <f t="shared" si="62"/>
        <v>0</v>
      </c>
      <c r="J616" s="207">
        <f t="shared" si="62"/>
        <v>0</v>
      </c>
      <c r="K616" s="207">
        <f t="shared" si="62"/>
        <v>649513</v>
      </c>
      <c r="L616" s="207">
        <f t="shared" si="62"/>
        <v>632305</v>
      </c>
      <c r="M616" s="207">
        <f t="shared" si="62"/>
        <v>1682</v>
      </c>
      <c r="N616" s="207">
        <f t="shared" si="62"/>
        <v>0</v>
      </c>
      <c r="O616" s="207">
        <f t="shared" si="62"/>
        <v>0</v>
      </c>
      <c r="P616" s="207">
        <f t="shared" si="62"/>
        <v>0</v>
      </c>
      <c r="Q616" s="207">
        <f t="shared" si="62"/>
        <v>1283500</v>
      </c>
    </row>
    <row r="617" spans="1:17" ht="21.75" customHeight="1" x14ac:dyDescent="0.25">
      <c r="A617" s="151"/>
      <c r="B617" s="151"/>
      <c r="C617" s="152"/>
      <c r="D617" s="330" t="s">
        <v>730</v>
      </c>
      <c r="E617" s="331"/>
      <c r="F617" s="332"/>
      <c r="G617" s="208">
        <f>SUM(G48+G194+G206+G367+G479+G499+G524+G555+G598+G616)</f>
        <v>289467</v>
      </c>
      <c r="H617" s="208">
        <f t="shared" ref="H617:Q617" si="63">SUM(H48+H194+H206+H367+H479+H499+H524+H555+H598+H616)</f>
        <v>54930</v>
      </c>
      <c r="I617" s="208">
        <f t="shared" si="63"/>
        <v>7521153</v>
      </c>
      <c r="J617" s="208">
        <f t="shared" si="63"/>
        <v>94792</v>
      </c>
      <c r="K617" s="208">
        <f t="shared" si="63"/>
        <v>5770244</v>
      </c>
      <c r="L617" s="208">
        <f t="shared" si="63"/>
        <v>18016271</v>
      </c>
      <c r="M617" s="208">
        <f t="shared" si="63"/>
        <v>6601605</v>
      </c>
      <c r="N617" s="208">
        <f t="shared" si="63"/>
        <v>3041195</v>
      </c>
      <c r="O617" s="208">
        <f t="shared" si="63"/>
        <v>122216</v>
      </c>
      <c r="P617" s="208">
        <f t="shared" si="63"/>
        <v>7181338</v>
      </c>
      <c r="Q617" s="208">
        <f t="shared" si="63"/>
        <v>48693211</v>
      </c>
    </row>
    <row r="618" spans="1:17" s="604" customFormat="1" ht="15.9" customHeight="1" x14ac:dyDescent="0.25">
      <c r="A618" s="745">
        <v>2</v>
      </c>
      <c r="B618" s="745"/>
      <c r="C618" s="745"/>
      <c r="D618" s="131" t="s">
        <v>174</v>
      </c>
      <c r="E618" s="157"/>
      <c r="F618" s="209"/>
      <c r="G618" s="210">
        <f>'10'!F23</f>
        <v>6017087</v>
      </c>
      <c r="H618" s="210">
        <f>'10'!G23</f>
        <v>858890</v>
      </c>
      <c r="I618" s="210">
        <f>'10'!H23</f>
        <v>4214053</v>
      </c>
      <c r="J618" s="210">
        <f>'10'!I23</f>
        <v>10936</v>
      </c>
      <c r="K618" s="210">
        <f>'10'!J23</f>
        <v>171109</v>
      </c>
      <c r="L618" s="210">
        <f>'10'!K23</f>
        <v>246135</v>
      </c>
      <c r="M618" s="210">
        <f>'10'!L23</f>
        <v>29813</v>
      </c>
      <c r="N618" s="210">
        <f>'10'!M23</f>
        <v>113000</v>
      </c>
      <c r="O618" s="210"/>
      <c r="P618" s="210">
        <f>'10'!N23</f>
        <v>205000</v>
      </c>
      <c r="Q618" s="210">
        <f>SUM(G618:P618)</f>
        <v>11866023</v>
      </c>
    </row>
    <row r="619" spans="1:17" ht="15.9" customHeight="1" x14ac:dyDescent="0.25">
      <c r="A619" s="151"/>
      <c r="B619" s="151"/>
      <c r="C619" s="152"/>
      <c r="D619" s="153" t="s">
        <v>164</v>
      </c>
      <c r="E619" s="185"/>
      <c r="F619" s="211"/>
      <c r="G619" s="30">
        <f>SUM(G617:G618)</f>
        <v>6306554</v>
      </c>
      <c r="H619" s="30">
        <f t="shared" ref="H619:P619" si="64">SUM(H617:H618)</f>
        <v>913820</v>
      </c>
      <c r="I619" s="30">
        <f t="shared" si="64"/>
        <v>11735206</v>
      </c>
      <c r="J619" s="30">
        <f t="shared" si="64"/>
        <v>105728</v>
      </c>
      <c r="K619" s="30">
        <f t="shared" si="64"/>
        <v>5941353</v>
      </c>
      <c r="L619" s="30">
        <f t="shared" si="64"/>
        <v>18262406</v>
      </c>
      <c r="M619" s="30">
        <f t="shared" si="64"/>
        <v>6631418</v>
      </c>
      <c r="N619" s="30">
        <f t="shared" si="64"/>
        <v>3154195</v>
      </c>
      <c r="O619" s="30">
        <f t="shared" si="64"/>
        <v>122216</v>
      </c>
      <c r="P619" s="30">
        <f t="shared" si="64"/>
        <v>7386338</v>
      </c>
      <c r="Q619" s="30">
        <f>SUM(Q617:Q618)</f>
        <v>60559234</v>
      </c>
    </row>
    <row r="620" spans="1:17" ht="12" x14ac:dyDescent="0.25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333"/>
      <c r="N620" s="333"/>
      <c r="O620" s="26"/>
      <c r="P620" s="26"/>
      <c r="Q620" s="26"/>
    </row>
    <row r="621" spans="1:17" ht="12.75" customHeight="1" x14ac:dyDescent="0.25">
      <c r="N621" s="846"/>
      <c r="O621" s="846"/>
      <c r="P621" s="846"/>
      <c r="Q621" s="213"/>
    </row>
  </sheetData>
  <sheetProtection selectLockedCells="1" selectUnlockedCells="1"/>
  <mergeCells count="13">
    <mergeCell ref="Q1:Q2"/>
    <mergeCell ref="N621:P621"/>
    <mergeCell ref="A1:A2"/>
    <mergeCell ref="B1:B2"/>
    <mergeCell ref="C1:C2"/>
    <mergeCell ref="D1:D2"/>
    <mergeCell ref="E1:E2"/>
    <mergeCell ref="F1:F2"/>
    <mergeCell ref="G1:N1"/>
    <mergeCell ref="O1:P1"/>
    <mergeCell ref="D227:E227"/>
    <mergeCell ref="D595:E595"/>
    <mergeCell ref="D367:E367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2023.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1"/>
  <sheetViews>
    <sheetView topLeftCell="C1" workbookViewId="0">
      <pane ySplit="2" topLeftCell="A9" activePane="bottomLeft" state="frozen"/>
      <selection activeCell="A30" sqref="A30"/>
      <selection pane="bottomLeft" activeCell="N22" sqref="N22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4" width="12.33203125" style="74" customWidth="1"/>
    <col min="5" max="5" width="12" style="74" customWidth="1"/>
    <col min="6" max="7" width="12.33203125" style="74" customWidth="1"/>
    <col min="8" max="8" width="7.6640625" style="74" customWidth="1"/>
    <col min="9" max="9" width="10.33203125" style="74" customWidth="1"/>
    <col min="10" max="10" width="11.44140625" style="74" customWidth="1"/>
    <col min="11" max="11" width="12.33203125" style="74" customWidth="1"/>
    <col min="12" max="12" width="11.33203125" style="74" customWidth="1"/>
    <col min="13" max="13" width="12.77734375" style="74" customWidth="1"/>
    <col min="14" max="14" width="14.77734375" style="74" customWidth="1"/>
    <col min="15" max="15" width="12" style="74" customWidth="1"/>
    <col min="16" max="16" width="12.44140625" style="74" customWidth="1"/>
    <col min="17" max="16384" width="9.33203125" style="74"/>
  </cols>
  <sheetData>
    <row r="1" spans="1:16" ht="12.75" customHeight="1" x14ac:dyDescent="0.25">
      <c r="A1" s="864" t="s">
        <v>925</v>
      </c>
      <c r="B1" s="868" t="s">
        <v>17</v>
      </c>
      <c r="C1" s="836" t="s">
        <v>124</v>
      </c>
      <c r="D1" s="866" t="s">
        <v>938</v>
      </c>
      <c r="E1" s="866" t="s">
        <v>928</v>
      </c>
      <c r="F1" s="869" t="s">
        <v>131</v>
      </c>
      <c r="G1" s="869"/>
      <c r="H1" s="869"/>
      <c r="I1" s="869"/>
      <c r="J1" s="869"/>
      <c r="K1" s="869"/>
      <c r="L1" s="869"/>
      <c r="M1" s="869" t="s">
        <v>188</v>
      </c>
      <c r="N1" s="869"/>
      <c r="O1" s="869"/>
      <c r="P1" s="866" t="s">
        <v>939</v>
      </c>
    </row>
    <row r="2" spans="1:16" s="75" customFormat="1" ht="78" customHeight="1" x14ac:dyDescent="0.25">
      <c r="A2" s="865"/>
      <c r="B2" s="868"/>
      <c r="C2" s="836"/>
      <c r="D2" s="867"/>
      <c r="E2" s="867"/>
      <c r="F2" s="78" t="s">
        <v>12</v>
      </c>
      <c r="G2" s="78" t="s">
        <v>13</v>
      </c>
      <c r="H2" s="66" t="s">
        <v>14</v>
      </c>
      <c r="I2" s="78" t="s">
        <v>184</v>
      </c>
      <c r="J2" s="66" t="s">
        <v>185</v>
      </c>
      <c r="K2" s="66" t="s">
        <v>186</v>
      </c>
      <c r="L2" s="66" t="s">
        <v>187</v>
      </c>
      <c r="M2" s="66" t="s">
        <v>133</v>
      </c>
      <c r="N2" s="66" t="s">
        <v>93</v>
      </c>
      <c r="O2" s="66" t="s">
        <v>135</v>
      </c>
      <c r="P2" s="867"/>
    </row>
    <row r="3" spans="1:16" s="75" customFormat="1" ht="15.75" customHeight="1" x14ac:dyDescent="0.25">
      <c r="A3" s="434">
        <v>2</v>
      </c>
      <c r="B3" s="426"/>
      <c r="C3" s="436" t="s">
        <v>174</v>
      </c>
      <c r="D3" s="439"/>
      <c r="E3" s="439"/>
      <c r="F3" s="427"/>
      <c r="G3" s="427"/>
      <c r="H3" s="428"/>
      <c r="I3" s="427"/>
      <c r="J3" s="428"/>
      <c r="K3" s="428"/>
      <c r="L3" s="428"/>
      <c r="M3" s="428"/>
      <c r="N3" s="428"/>
      <c r="O3" s="428"/>
      <c r="P3" s="429"/>
    </row>
    <row r="4" spans="1:16" ht="17.100000000000001" customHeight="1" x14ac:dyDescent="0.25">
      <c r="A4" s="424"/>
      <c r="B4" s="425">
        <v>1</v>
      </c>
      <c r="C4" s="79" t="s">
        <v>126</v>
      </c>
      <c r="D4" s="440">
        <v>1839867</v>
      </c>
      <c r="E4" s="440">
        <f>72411+táj3!N4</f>
        <v>84493</v>
      </c>
      <c r="F4" s="80">
        <f>2848+táj3!D4</f>
        <v>5225</v>
      </c>
      <c r="G4" s="80">
        <f>0+táj3!E4</f>
        <v>0</v>
      </c>
      <c r="H4" s="80">
        <f>4425+táj3!F4</f>
        <v>5675</v>
      </c>
      <c r="I4" s="80">
        <f>25422+táj3!G4</f>
        <v>27135</v>
      </c>
      <c r="J4" s="80">
        <f>0+táj3!H4</f>
        <v>115</v>
      </c>
      <c r="K4" s="80">
        <f>0+táj3!I4</f>
        <v>0</v>
      </c>
      <c r="L4" s="80">
        <f>0+táj3!J4</f>
        <v>0</v>
      </c>
      <c r="M4" s="80">
        <f>184290+táj3!K4</f>
        <v>184290</v>
      </c>
      <c r="N4" s="80">
        <f>1695293+táj3!L4</f>
        <v>1701920</v>
      </c>
      <c r="O4" s="80">
        <f>0+táj3!M4</f>
        <v>0</v>
      </c>
      <c r="P4" s="80">
        <f t="shared" ref="P4:P22" si="0">SUM(F4:O4)</f>
        <v>1924360</v>
      </c>
    </row>
    <row r="5" spans="1:16" ht="17.100000000000001" customHeight="1" x14ac:dyDescent="0.25">
      <c r="A5" s="424"/>
      <c r="B5" s="425">
        <v>2</v>
      </c>
      <c r="C5" s="79" t="s">
        <v>121</v>
      </c>
      <c r="D5" s="440">
        <v>1729082</v>
      </c>
      <c r="E5" s="440">
        <f>32741+táj3!N5</f>
        <v>6994</v>
      </c>
      <c r="F5" s="80">
        <f>382+táj3!D5</f>
        <v>382</v>
      </c>
      <c r="G5" s="80">
        <f>0+táj3!E5</f>
        <v>0</v>
      </c>
      <c r="H5" s="80">
        <f>0+táj3!F5</f>
        <v>0</v>
      </c>
      <c r="I5" s="80">
        <f>832508+táj3!G5</f>
        <v>832508</v>
      </c>
      <c r="J5" s="80">
        <f>0+táj3!H5</f>
        <v>0</v>
      </c>
      <c r="K5" s="80">
        <f>0+táj3!I5</f>
        <v>0</v>
      </c>
      <c r="L5" s="80">
        <f>0+táj3!J5</f>
        <v>0</v>
      </c>
      <c r="M5" s="80">
        <f>107756+táj3!K5</f>
        <v>107756</v>
      </c>
      <c r="N5" s="80">
        <f>821177+táj3!L5</f>
        <v>795430</v>
      </c>
      <c r="O5" s="80">
        <f>0+táj3!M5</f>
        <v>0</v>
      </c>
      <c r="P5" s="80">
        <f t="shared" si="0"/>
        <v>1736076</v>
      </c>
    </row>
    <row r="6" spans="1:16" ht="17.100000000000001" customHeight="1" x14ac:dyDescent="0.25">
      <c r="A6" s="424"/>
      <c r="B6" s="425">
        <v>3</v>
      </c>
      <c r="C6" s="79" t="s">
        <v>150</v>
      </c>
      <c r="D6" s="440">
        <v>983620</v>
      </c>
      <c r="E6" s="440">
        <f>49841+táj3!N6</f>
        <v>44483</v>
      </c>
      <c r="F6" s="80">
        <f>3105+táj3!D6</f>
        <v>3105</v>
      </c>
      <c r="G6" s="80">
        <f>0+táj3!E6</f>
        <v>0</v>
      </c>
      <c r="H6" s="80">
        <f>0+táj3!F6</f>
        <v>0</v>
      </c>
      <c r="I6" s="80">
        <f>82468+táj3!G6</f>
        <v>82468</v>
      </c>
      <c r="J6" s="80">
        <f>0+táj3!H6</f>
        <v>0</v>
      </c>
      <c r="K6" s="80">
        <f>0+táj3!I6</f>
        <v>0</v>
      </c>
      <c r="L6" s="80">
        <f>0+táj3!J6</f>
        <v>0</v>
      </c>
      <c r="M6" s="80">
        <f>59819+táj3!K6</f>
        <v>59819</v>
      </c>
      <c r="N6" s="80">
        <f>888069+táj3!L6</f>
        <v>882711</v>
      </c>
      <c r="O6" s="80"/>
      <c r="P6" s="80">
        <f t="shared" si="0"/>
        <v>1028103</v>
      </c>
    </row>
    <row r="7" spans="1:16" ht="24" customHeight="1" x14ac:dyDescent="0.25">
      <c r="A7" s="424"/>
      <c r="B7" s="425">
        <v>4</v>
      </c>
      <c r="C7" s="81" t="s">
        <v>176</v>
      </c>
      <c r="D7" s="441">
        <v>563450</v>
      </c>
      <c r="E7" s="440">
        <f>86738+táj3!N7</f>
        <v>86738</v>
      </c>
      <c r="F7" s="80">
        <f>392805+táj3!D7</f>
        <v>392805</v>
      </c>
      <c r="G7" s="80">
        <f>0+táj3!E7</f>
        <v>0</v>
      </c>
      <c r="H7" s="80">
        <f>0+táj3!F7</f>
        <v>0</v>
      </c>
      <c r="I7" s="80">
        <f>1771+táj3!G7</f>
        <v>1771</v>
      </c>
      <c r="J7" s="80">
        <f>4055+táj3!H7</f>
        <v>4055</v>
      </c>
      <c r="K7" s="80">
        <f>0+táj3!I7</f>
        <v>0</v>
      </c>
      <c r="L7" s="80">
        <f>0+táj3!J7</f>
        <v>0</v>
      </c>
      <c r="M7" s="80">
        <f>111951+táj3!K7</f>
        <v>111951</v>
      </c>
      <c r="N7" s="80">
        <f>139606+táj3!L7</f>
        <v>139606</v>
      </c>
      <c r="O7" s="80">
        <f>0+táj3!M7</f>
        <v>0</v>
      </c>
      <c r="P7" s="80">
        <f t="shared" si="0"/>
        <v>650188</v>
      </c>
    </row>
    <row r="8" spans="1:16" ht="24" customHeight="1" x14ac:dyDescent="0.25">
      <c r="A8" s="424"/>
      <c r="B8" s="425">
        <v>5</v>
      </c>
      <c r="C8" s="81" t="s">
        <v>177</v>
      </c>
      <c r="D8" s="441">
        <v>315370</v>
      </c>
      <c r="E8" s="440">
        <f>95102+táj3!N8</f>
        <v>104713</v>
      </c>
      <c r="F8" s="80">
        <f>0+táj3!D8</f>
        <v>0</v>
      </c>
      <c r="G8" s="80">
        <f>0+táj3!E8</f>
        <v>0</v>
      </c>
      <c r="H8" s="80">
        <f>0+táj3!F8</f>
        <v>0</v>
      </c>
      <c r="I8" s="80">
        <f>0+táj3!G8</f>
        <v>0</v>
      </c>
      <c r="J8" s="80">
        <f>0+táj3!H8</f>
        <v>0</v>
      </c>
      <c r="K8" s="80">
        <f>0+táj3!I8</f>
        <v>0</v>
      </c>
      <c r="L8" s="80">
        <f>0+táj3!J8</f>
        <v>0</v>
      </c>
      <c r="M8" s="80">
        <f>60470+táj3!K8</f>
        <v>60470</v>
      </c>
      <c r="N8" s="80">
        <f>350002+táj3!L8</f>
        <v>359613</v>
      </c>
      <c r="O8" s="80">
        <f>0+táj3!M8</f>
        <v>0</v>
      </c>
      <c r="P8" s="80">
        <f t="shared" si="0"/>
        <v>420083</v>
      </c>
    </row>
    <row r="9" spans="1:16" ht="17.100000000000001" customHeight="1" x14ac:dyDescent="0.25">
      <c r="A9" s="424"/>
      <c r="B9" s="425">
        <v>6</v>
      </c>
      <c r="C9" s="82" t="s">
        <v>151</v>
      </c>
      <c r="D9" s="442">
        <v>517654</v>
      </c>
      <c r="E9" s="440">
        <f>18563+táj3!N9</f>
        <v>19178</v>
      </c>
      <c r="F9" s="80">
        <f>736+táj3!D9</f>
        <v>886</v>
      </c>
      <c r="G9" s="80">
        <f>0+táj3!E9</f>
        <v>1050</v>
      </c>
      <c r="H9" s="80">
        <f>0+táj3!F9</f>
        <v>0</v>
      </c>
      <c r="I9" s="80">
        <f>22367+táj3!G9</f>
        <v>22367</v>
      </c>
      <c r="J9" s="80">
        <f>0+táj3!H9</f>
        <v>0</v>
      </c>
      <c r="K9" s="80">
        <f>0+táj3!I9</f>
        <v>0</v>
      </c>
      <c r="L9" s="80">
        <f>0+táj3!J9</f>
        <v>0</v>
      </c>
      <c r="M9" s="80">
        <f>28442+táj3!K9</f>
        <v>28442</v>
      </c>
      <c r="N9" s="80">
        <f>484672+táj3!L9</f>
        <v>484087</v>
      </c>
      <c r="O9" s="80">
        <f>0+táj3!M9</f>
        <v>0</v>
      </c>
      <c r="P9" s="80">
        <f t="shared" si="0"/>
        <v>536832</v>
      </c>
    </row>
    <row r="10" spans="1:16" ht="17.100000000000001" customHeight="1" x14ac:dyDescent="0.25">
      <c r="A10" s="424"/>
      <c r="B10" s="425">
        <v>7</v>
      </c>
      <c r="C10" s="82" t="s">
        <v>152</v>
      </c>
      <c r="D10" s="442">
        <v>454055</v>
      </c>
      <c r="E10" s="440">
        <f>7352+táj3!N10</f>
        <v>5385</v>
      </c>
      <c r="F10" s="80">
        <f>581+táj3!D10</f>
        <v>581</v>
      </c>
      <c r="G10" s="80">
        <f>0+táj3!E10</f>
        <v>0</v>
      </c>
      <c r="H10" s="80">
        <f>0+táj3!F10</f>
        <v>0</v>
      </c>
      <c r="I10" s="80">
        <f>31408+táj3!G10</f>
        <v>31408</v>
      </c>
      <c r="J10" s="80">
        <f>0+táj3!H10</f>
        <v>0</v>
      </c>
      <c r="K10" s="80">
        <f>0+táj3!I10</f>
        <v>0</v>
      </c>
      <c r="L10" s="80">
        <f>0+táj3!J10</f>
        <v>0</v>
      </c>
      <c r="M10" s="80">
        <f>37368+táj3!K10</f>
        <v>37368</v>
      </c>
      <c r="N10" s="80">
        <f>392050+táj3!L10</f>
        <v>390083</v>
      </c>
      <c r="O10" s="80">
        <f>0+táj3!M10</f>
        <v>0</v>
      </c>
      <c r="P10" s="80">
        <f t="shared" si="0"/>
        <v>459440</v>
      </c>
    </row>
    <row r="11" spans="1:16" ht="17.100000000000001" customHeight="1" x14ac:dyDescent="0.25">
      <c r="A11" s="424"/>
      <c r="B11" s="425">
        <v>8</v>
      </c>
      <c r="C11" s="82" t="s">
        <v>153</v>
      </c>
      <c r="D11" s="442">
        <v>468522</v>
      </c>
      <c r="E11" s="440">
        <f>12631+táj3!N11</f>
        <v>11811</v>
      </c>
      <c r="F11" s="80">
        <f>395+táj3!D11</f>
        <v>395</v>
      </c>
      <c r="G11" s="80">
        <f>0+táj3!E11</f>
        <v>0</v>
      </c>
      <c r="H11" s="80">
        <f>0+táj3!F11</f>
        <v>0</v>
      </c>
      <c r="I11" s="80">
        <f>28763+táj3!G11</f>
        <v>28763</v>
      </c>
      <c r="J11" s="80">
        <f>0+táj3!H11</f>
        <v>0</v>
      </c>
      <c r="K11" s="80">
        <f>0+táj3!I11</f>
        <v>0</v>
      </c>
      <c r="L11" s="80">
        <f>0+táj3!J11</f>
        <v>0</v>
      </c>
      <c r="M11" s="80">
        <f>44330+táj3!K11</f>
        <v>44330</v>
      </c>
      <c r="N11" s="80">
        <f>407665+táj3!L11</f>
        <v>406845</v>
      </c>
      <c r="O11" s="80">
        <f>0+táj3!M11</f>
        <v>0</v>
      </c>
      <c r="P11" s="80">
        <f t="shared" si="0"/>
        <v>480333</v>
      </c>
    </row>
    <row r="12" spans="1:16" ht="17.100000000000001" customHeight="1" x14ac:dyDescent="0.25">
      <c r="A12" s="424"/>
      <c r="B12" s="425">
        <v>9</v>
      </c>
      <c r="C12" s="82" t="s">
        <v>154</v>
      </c>
      <c r="D12" s="442">
        <v>451641</v>
      </c>
      <c r="E12" s="440">
        <f>4310+táj3!N12</f>
        <v>-1582</v>
      </c>
      <c r="F12" s="80">
        <f>0+táj3!D12</f>
        <v>0</v>
      </c>
      <c r="G12" s="80">
        <f>1174+táj3!E12</f>
        <v>1174</v>
      </c>
      <c r="H12" s="80">
        <f>0+táj3!F12</f>
        <v>0</v>
      </c>
      <c r="I12" s="80">
        <f>22848+táj3!G12</f>
        <v>22848</v>
      </c>
      <c r="J12" s="80">
        <f>0+táj3!H12</f>
        <v>0</v>
      </c>
      <c r="K12" s="80">
        <f>0+táj3!I12</f>
        <v>0</v>
      </c>
      <c r="L12" s="80">
        <f>0+táj3!J12</f>
        <v>0</v>
      </c>
      <c r="M12" s="80">
        <f>28074+táj3!K12</f>
        <v>28074</v>
      </c>
      <c r="N12" s="80">
        <f>403855+táj3!L12</f>
        <v>397963</v>
      </c>
      <c r="O12" s="80">
        <f>0+táj3!M12</f>
        <v>0</v>
      </c>
      <c r="P12" s="80">
        <f t="shared" si="0"/>
        <v>450059</v>
      </c>
    </row>
    <row r="13" spans="1:16" ht="18" customHeight="1" x14ac:dyDescent="0.25">
      <c r="A13" s="424"/>
      <c r="B13" s="425">
        <v>10</v>
      </c>
      <c r="C13" s="82" t="s">
        <v>178</v>
      </c>
      <c r="D13" s="442">
        <v>70290</v>
      </c>
      <c r="E13" s="440">
        <f>5587+táj3!N13</f>
        <v>5587</v>
      </c>
      <c r="F13" s="80">
        <f>0+táj3!D13</f>
        <v>0</v>
      </c>
      <c r="G13" s="80">
        <f>0+táj3!E13</f>
        <v>0</v>
      </c>
      <c r="H13" s="80">
        <f>0+táj3!F13</f>
        <v>0</v>
      </c>
      <c r="I13" s="80">
        <f>1+táj3!G13</f>
        <v>1</v>
      </c>
      <c r="J13" s="80">
        <f>0+táj3!H13</f>
        <v>0</v>
      </c>
      <c r="K13" s="80">
        <f>0+táj3!I13</f>
        <v>0</v>
      </c>
      <c r="L13" s="80">
        <f>0+táj3!J13</f>
        <v>0</v>
      </c>
      <c r="M13" s="80">
        <f>1327+táj3!K13</f>
        <v>1327</v>
      </c>
      <c r="N13" s="80">
        <f>74549+táj3!L13</f>
        <v>74549</v>
      </c>
      <c r="O13" s="80">
        <f>0+táj3!M13</f>
        <v>0</v>
      </c>
      <c r="P13" s="80">
        <f t="shared" si="0"/>
        <v>75877</v>
      </c>
    </row>
    <row r="14" spans="1:16" ht="17.100000000000001" customHeight="1" x14ac:dyDescent="0.25">
      <c r="A14" s="424"/>
      <c r="B14" s="425">
        <v>11</v>
      </c>
      <c r="C14" s="83" t="s">
        <v>148</v>
      </c>
      <c r="D14" s="443">
        <v>460425</v>
      </c>
      <c r="E14" s="440">
        <f>73459+táj3!N14</f>
        <v>127954</v>
      </c>
      <c r="F14" s="80">
        <f>19410+táj3!D14</f>
        <v>28642</v>
      </c>
      <c r="G14" s="80">
        <f>700+táj3!E14</f>
        <v>2200</v>
      </c>
      <c r="H14" s="80">
        <f>0+táj3!F14</f>
        <v>0</v>
      </c>
      <c r="I14" s="80">
        <f>88618+táj3!G14</f>
        <v>128618</v>
      </c>
      <c r="J14" s="80">
        <f>394+táj3!H14</f>
        <v>394</v>
      </c>
      <c r="K14" s="80">
        <f>720+táj3!I14</f>
        <v>720</v>
      </c>
      <c r="L14" s="80">
        <f>0+táj3!J14</f>
        <v>0</v>
      </c>
      <c r="M14" s="80">
        <f>71173+táj3!K14</f>
        <v>71173</v>
      </c>
      <c r="N14" s="80">
        <f>352869+táj3!L14</f>
        <v>356632</v>
      </c>
      <c r="O14" s="80">
        <f>0+táj3!M14</f>
        <v>0</v>
      </c>
      <c r="P14" s="80">
        <f t="shared" si="0"/>
        <v>588379</v>
      </c>
    </row>
    <row r="15" spans="1:16" ht="29.4" customHeight="1" x14ac:dyDescent="0.25">
      <c r="A15" s="424"/>
      <c r="B15" s="425">
        <v>12</v>
      </c>
      <c r="C15" s="81" t="s">
        <v>155</v>
      </c>
      <c r="D15" s="441">
        <v>27153</v>
      </c>
      <c r="E15" s="440">
        <f>5284+táj3!N15</f>
        <v>6022</v>
      </c>
      <c r="F15" s="80">
        <f>3050+táj3!D15</f>
        <v>3048</v>
      </c>
      <c r="G15" s="80">
        <f>0+táj3!E15</f>
        <v>0</v>
      </c>
      <c r="H15" s="80">
        <f>0+táj3!F15</f>
        <v>0</v>
      </c>
      <c r="I15" s="80">
        <f>1500+táj3!G15</f>
        <v>2500</v>
      </c>
      <c r="J15" s="80">
        <f>0+táj3!H15</f>
        <v>0</v>
      </c>
      <c r="K15" s="80">
        <f>0+táj3!I15</f>
        <v>0</v>
      </c>
      <c r="L15" s="80">
        <f>0+táj3!J15</f>
        <v>0</v>
      </c>
      <c r="M15" s="80">
        <f>2490+táj3!K15</f>
        <v>2490</v>
      </c>
      <c r="N15" s="80">
        <f>25397+táj3!L15</f>
        <v>25137</v>
      </c>
      <c r="O15" s="80">
        <f>0+táj3!M15</f>
        <v>0</v>
      </c>
      <c r="P15" s="80">
        <f t="shared" si="0"/>
        <v>33175</v>
      </c>
    </row>
    <row r="16" spans="1:16" ht="17.100000000000001" customHeight="1" x14ac:dyDescent="0.25">
      <c r="A16" s="424"/>
      <c r="B16" s="425">
        <v>13</v>
      </c>
      <c r="C16" s="82" t="s">
        <v>149</v>
      </c>
      <c r="D16" s="442">
        <v>508408</v>
      </c>
      <c r="E16" s="440">
        <f>31082+táj3!N16</f>
        <v>21529</v>
      </c>
      <c r="F16" s="80">
        <f>22698+táj3!D16</f>
        <v>28179</v>
      </c>
      <c r="G16" s="80">
        <f>1261+táj3!E16</f>
        <v>1261</v>
      </c>
      <c r="H16" s="80">
        <f>0+táj3!F16</f>
        <v>0</v>
      </c>
      <c r="I16" s="80">
        <f>28000+táj3!G16</f>
        <v>28000</v>
      </c>
      <c r="J16" s="80">
        <f>0+táj3!H16</f>
        <v>0</v>
      </c>
      <c r="K16" s="80">
        <f>150+táj3!I16</f>
        <v>150</v>
      </c>
      <c r="L16" s="80">
        <f>0+táj3!J16</f>
        <v>0</v>
      </c>
      <c r="M16" s="80">
        <f>6326+táj3!K16</f>
        <v>6326</v>
      </c>
      <c r="N16" s="80">
        <f>481055+táj3!L16</f>
        <v>466021</v>
      </c>
      <c r="O16" s="80">
        <f>0+táj3!M16</f>
        <v>0</v>
      </c>
      <c r="P16" s="80">
        <f t="shared" si="0"/>
        <v>529937</v>
      </c>
    </row>
    <row r="17" spans="1:16" ht="17.100000000000001" customHeight="1" x14ac:dyDescent="0.25">
      <c r="A17" s="424"/>
      <c r="B17" s="425">
        <v>14</v>
      </c>
      <c r="C17" s="82" t="s">
        <v>1107</v>
      </c>
      <c r="D17" s="442">
        <v>1064860</v>
      </c>
      <c r="E17" s="440">
        <f>54953+táj3!N17</f>
        <v>51049</v>
      </c>
      <c r="F17" s="80">
        <f>38658+táj3!D17</f>
        <v>47753</v>
      </c>
      <c r="G17" s="80">
        <f>48000+táj3!E17</f>
        <v>50000</v>
      </c>
      <c r="H17" s="80">
        <f>0+táj3!F17</f>
        <v>0</v>
      </c>
      <c r="I17" s="80">
        <f>389769+táj3!G17</f>
        <v>389769</v>
      </c>
      <c r="J17" s="80">
        <f>500+táj3!H17</f>
        <v>500</v>
      </c>
      <c r="K17" s="80">
        <f>1839+táj3!I17</f>
        <v>2057</v>
      </c>
      <c r="L17" s="80">
        <f>0+táj3!J17</f>
        <v>1424</v>
      </c>
      <c r="M17" s="80">
        <f>367289+táj3!K17</f>
        <v>367289</v>
      </c>
      <c r="N17" s="80">
        <f>273758+táj3!L17</f>
        <v>257117</v>
      </c>
      <c r="O17" s="80">
        <f>0+táj3!M17</f>
        <v>0</v>
      </c>
      <c r="P17" s="80">
        <f t="shared" si="0"/>
        <v>1115909</v>
      </c>
    </row>
    <row r="18" spans="1:16" ht="17.100000000000001" customHeight="1" x14ac:dyDescent="0.25">
      <c r="A18" s="424"/>
      <c r="B18" s="425">
        <v>15</v>
      </c>
      <c r="C18" s="82" t="s">
        <v>156</v>
      </c>
      <c r="D18" s="442">
        <v>930885</v>
      </c>
      <c r="E18" s="440">
        <f>272035+táj3!N18</f>
        <v>241888</v>
      </c>
      <c r="F18" s="80">
        <f>333500+táj3!D18</f>
        <v>317247</v>
      </c>
      <c r="G18" s="80">
        <f>55000+táj3!E18</f>
        <v>54253</v>
      </c>
      <c r="H18" s="80">
        <f>0+táj3!F18</f>
        <v>0</v>
      </c>
      <c r="I18" s="80">
        <f>257927+táj3!G18</f>
        <v>259927</v>
      </c>
      <c r="J18" s="80">
        <f>0+táj3!H18</f>
        <v>0</v>
      </c>
      <c r="K18" s="80">
        <f>0+táj3!I18</f>
        <v>0</v>
      </c>
      <c r="L18" s="80">
        <f>0+táj3!J18</f>
        <v>0</v>
      </c>
      <c r="M18" s="80">
        <f>3623+táj3!K18</f>
        <v>3623</v>
      </c>
      <c r="N18" s="80">
        <f>382870+táj3!L18</f>
        <v>367723</v>
      </c>
      <c r="O18" s="80">
        <f>170000+táj3!M18</f>
        <v>170000</v>
      </c>
      <c r="P18" s="80">
        <f t="shared" si="0"/>
        <v>1172773</v>
      </c>
    </row>
    <row r="19" spans="1:16" ht="17.100000000000001" customHeight="1" x14ac:dyDescent="0.25">
      <c r="A19" s="424"/>
      <c r="B19" s="425">
        <v>16</v>
      </c>
      <c r="C19" s="82" t="s">
        <v>157</v>
      </c>
      <c r="D19" s="442">
        <v>182580</v>
      </c>
      <c r="E19" s="440">
        <f>64287+táj3!N19</f>
        <v>72287</v>
      </c>
      <c r="F19" s="80">
        <f>82663+táj3!D19</f>
        <v>86163</v>
      </c>
      <c r="G19" s="80">
        <f>0+táj3!E19</f>
        <v>0</v>
      </c>
      <c r="H19" s="80">
        <f>0+táj3!F19</f>
        <v>0</v>
      </c>
      <c r="I19" s="80">
        <f>40600+táj3!G19</f>
        <v>45100</v>
      </c>
      <c r="J19" s="80">
        <f>0+táj3!H19</f>
        <v>0</v>
      </c>
      <c r="K19" s="80">
        <f>0+táj3!I19</f>
        <v>0</v>
      </c>
      <c r="L19" s="80">
        <f>0+táj3!J19</f>
        <v>0</v>
      </c>
      <c r="M19" s="80">
        <f>33103+táj3!K19</f>
        <v>33103</v>
      </c>
      <c r="N19" s="80">
        <f>55501+táj3!L19</f>
        <v>55501</v>
      </c>
      <c r="O19" s="80">
        <f>35000+táj3!M19</f>
        <v>35000</v>
      </c>
      <c r="P19" s="80">
        <f t="shared" si="0"/>
        <v>254867</v>
      </c>
    </row>
    <row r="20" spans="1:16" ht="17.100000000000001" customHeight="1" x14ac:dyDescent="0.25">
      <c r="A20" s="424"/>
      <c r="B20" s="425">
        <v>17</v>
      </c>
      <c r="C20" s="82" t="s">
        <v>179</v>
      </c>
      <c r="D20" s="442">
        <v>316953</v>
      </c>
      <c r="E20" s="440">
        <f>7476+táj3!N20</f>
        <v>-91449</v>
      </c>
      <c r="F20" s="80">
        <f>118+táj3!D20</f>
        <v>118</v>
      </c>
      <c r="G20" s="80">
        <f>0+táj3!E20</f>
        <v>0</v>
      </c>
      <c r="H20" s="80">
        <f>0+táj3!F20</f>
        <v>0</v>
      </c>
      <c r="I20" s="80">
        <f>137847+táj3!G20</f>
        <v>102847</v>
      </c>
      <c r="J20" s="80">
        <f>0+táj3!H20</f>
        <v>0</v>
      </c>
      <c r="K20" s="80">
        <f>0+táj3!I20</f>
        <v>0</v>
      </c>
      <c r="L20" s="80">
        <f>0+táj3!J20</f>
        <v>0</v>
      </c>
      <c r="M20" s="80">
        <f>19913+táj3!K20</f>
        <v>19913</v>
      </c>
      <c r="N20" s="80">
        <f>166551+táj3!L20</f>
        <v>102626</v>
      </c>
      <c r="O20" s="80">
        <f>0+táj3!M20</f>
        <v>0</v>
      </c>
      <c r="P20" s="80">
        <f t="shared" si="0"/>
        <v>225504</v>
      </c>
    </row>
    <row r="21" spans="1:16" ht="17.100000000000001" customHeight="1" x14ac:dyDescent="0.25">
      <c r="A21" s="424"/>
      <c r="B21" s="425">
        <v>18</v>
      </c>
      <c r="C21" s="82" t="s">
        <v>182</v>
      </c>
      <c r="D21" s="442">
        <v>177395</v>
      </c>
      <c r="E21" s="440">
        <f>-4804+táj3!N21</f>
        <v>-3804</v>
      </c>
      <c r="F21" s="80">
        <f>0+táj3!D21</f>
        <v>0</v>
      </c>
      <c r="G21" s="80">
        <f>0+táj3!E21</f>
        <v>0</v>
      </c>
      <c r="H21" s="80">
        <f>0+táj3!F21</f>
        <v>0</v>
      </c>
      <c r="I21" s="80">
        <f>122909+táj3!G21</f>
        <v>123909</v>
      </c>
      <c r="J21" s="80">
        <f>0+táj3!H21</f>
        <v>0</v>
      </c>
      <c r="K21" s="80">
        <f>0+táj3!I21</f>
        <v>0</v>
      </c>
      <c r="L21" s="80">
        <f>0+táj3!J21</f>
        <v>0</v>
      </c>
      <c r="M21" s="80">
        <f>7019+táj3!K21</f>
        <v>7019</v>
      </c>
      <c r="N21" s="80">
        <f>42663+táj3!L21</f>
        <v>42663</v>
      </c>
      <c r="O21" s="80">
        <f>0+táj3!M21</f>
        <v>0</v>
      </c>
      <c r="P21" s="80">
        <f t="shared" si="0"/>
        <v>173591</v>
      </c>
    </row>
    <row r="22" spans="1:16" ht="27.75" customHeight="1" x14ac:dyDescent="0.25">
      <c r="A22" s="774"/>
      <c r="B22" s="775">
        <v>19</v>
      </c>
      <c r="C22" s="777" t="s">
        <v>1133</v>
      </c>
      <c r="D22" s="778"/>
      <c r="E22" s="440">
        <f>10037+táj3!N22</f>
        <v>10537</v>
      </c>
      <c r="F22" s="80">
        <f>0+táj3!D22</f>
        <v>500</v>
      </c>
      <c r="G22" s="80">
        <f>0+táj3!E22</f>
        <v>0</v>
      </c>
      <c r="H22" s="80">
        <f>0+táj3!F22</f>
        <v>0</v>
      </c>
      <c r="I22" s="80">
        <f>500+táj3!G22</f>
        <v>500</v>
      </c>
      <c r="J22" s="80">
        <f>0+táj3!H22</f>
        <v>0</v>
      </c>
      <c r="K22" s="80">
        <f>0+táj3!I22</f>
        <v>0</v>
      </c>
      <c r="L22" s="80">
        <f>0+táj3!J22</f>
        <v>0</v>
      </c>
      <c r="M22" s="80">
        <f>0+táj3!K22</f>
        <v>0</v>
      </c>
      <c r="N22" s="80">
        <f>9537+táj3!L22</f>
        <v>9537</v>
      </c>
      <c r="O22" s="80">
        <f>0+táj3!M22</f>
        <v>0</v>
      </c>
      <c r="P22" s="80">
        <f t="shared" si="0"/>
        <v>10537</v>
      </c>
    </row>
    <row r="23" spans="1:16" ht="14.25" customHeight="1" x14ac:dyDescent="0.25">
      <c r="A23" s="430"/>
      <c r="B23" s="423"/>
      <c r="C23" s="84" t="s">
        <v>11</v>
      </c>
      <c r="D23" s="85">
        <f>SUM(D4:D22)</f>
        <v>11062210</v>
      </c>
      <c r="E23" s="85">
        <f t="shared" ref="E23:P23" si="1">SUM(E4:E22)</f>
        <v>803813</v>
      </c>
      <c r="F23" s="85">
        <f t="shared" si="1"/>
        <v>915029</v>
      </c>
      <c r="G23" s="85">
        <f t="shared" si="1"/>
        <v>109938</v>
      </c>
      <c r="H23" s="85">
        <f t="shared" si="1"/>
        <v>5675</v>
      </c>
      <c r="I23" s="85">
        <f t="shared" si="1"/>
        <v>2130439</v>
      </c>
      <c r="J23" s="85">
        <f t="shared" si="1"/>
        <v>5064</v>
      </c>
      <c r="K23" s="85">
        <f t="shared" si="1"/>
        <v>2927</v>
      </c>
      <c r="L23" s="85">
        <f t="shared" si="1"/>
        <v>1424</v>
      </c>
      <c r="M23" s="85">
        <f t="shared" si="1"/>
        <v>1174763</v>
      </c>
      <c r="N23" s="85">
        <f t="shared" si="1"/>
        <v>7315764</v>
      </c>
      <c r="O23" s="85">
        <f t="shared" si="1"/>
        <v>205000</v>
      </c>
      <c r="P23" s="85">
        <f t="shared" si="1"/>
        <v>11866023</v>
      </c>
    </row>
    <row r="24" spans="1:16" ht="14.1" customHeight="1" x14ac:dyDescent="0.25">
      <c r="F24" s="76"/>
      <c r="G24" s="76"/>
      <c r="H24" s="76"/>
      <c r="I24" s="76"/>
      <c r="J24" s="76"/>
      <c r="K24" s="76"/>
      <c r="L24" s="76"/>
      <c r="M24" s="76"/>
      <c r="N24" s="76"/>
    </row>
    <row r="25" spans="1:16" ht="14.1" customHeight="1" x14ac:dyDescent="0.25">
      <c r="F25" s="76"/>
      <c r="G25" s="76"/>
      <c r="H25" s="76"/>
      <c r="I25" s="76"/>
      <c r="J25" s="76"/>
      <c r="K25" s="76"/>
      <c r="L25" s="76"/>
      <c r="M25" s="76"/>
      <c r="N25" s="76"/>
    </row>
    <row r="26" spans="1:16" ht="14.1" customHeight="1" x14ac:dyDescent="0.25">
      <c r="F26" s="76"/>
      <c r="G26" s="76"/>
      <c r="H26" s="76"/>
      <c r="I26" s="76"/>
      <c r="J26" s="76"/>
      <c r="K26" s="76"/>
      <c r="L26" s="76"/>
      <c r="M26" s="76"/>
      <c r="N26" s="86"/>
    </row>
    <row r="27" spans="1:16" ht="14.1" customHeight="1" x14ac:dyDescent="0.25">
      <c r="F27" s="76"/>
      <c r="G27" s="76"/>
      <c r="H27" s="76"/>
      <c r="I27" s="76"/>
      <c r="J27" s="76"/>
      <c r="K27" s="76"/>
      <c r="L27" s="76"/>
      <c r="M27" s="76"/>
      <c r="N27" s="86"/>
    </row>
    <row r="28" spans="1:16" ht="14.1" customHeight="1" x14ac:dyDescent="0.25">
      <c r="F28" s="76"/>
      <c r="G28" s="76"/>
      <c r="H28" s="76"/>
      <c r="I28" s="76"/>
      <c r="J28" s="76"/>
      <c r="K28" s="76"/>
      <c r="L28" s="76"/>
      <c r="M28" s="76"/>
      <c r="N28" s="76"/>
    </row>
    <row r="29" spans="1:16" ht="14.1" customHeight="1" x14ac:dyDescent="0.25"/>
    <row r="30" spans="1:16" ht="14.1" customHeight="1" x14ac:dyDescent="0.25"/>
    <row r="31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31496062992125984" right="0.39370078740157483" top="1.6141732283464567" bottom="0.98425196850393704" header="0.86614173228346458" footer="0.51181102362204722"/>
  <pageSetup paperSize="9" scale="78" orientation="landscape" r:id="rId1"/>
  <headerFooter alignWithMargins="0">
    <oddHeader>&amp;C&amp;"Times New Roman,Félkövér dőlt"ZALAEGERSZEG  MEGYEI JOGÚ VÁROS ÖNKORMÁNYZATA ÁLTAL IRÁNYÍTOTT KÖLTSÉGVETÉSI SZERVEK
  2023.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8"/>
  <sheetViews>
    <sheetView zoomScale="110" workbookViewId="0">
      <pane ySplit="2" topLeftCell="A9" activePane="bottomLeft" state="frozen"/>
      <selection activeCell="A30" sqref="A30"/>
      <selection pane="bottomLeft" activeCell="F31" sqref="F31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1.6640625" style="11" customWidth="1"/>
    <col min="5" max="5" width="11.77734375" style="11" customWidth="1"/>
    <col min="6" max="6" width="10" style="11" customWidth="1"/>
    <col min="7" max="7" width="11.77734375" style="11" customWidth="1"/>
    <col min="8" max="8" width="9.77734375" style="11" customWidth="1"/>
    <col min="9" max="10" width="10.44140625" style="11" customWidth="1"/>
    <col min="11" max="11" width="11.109375" style="11" customWidth="1"/>
    <col min="12" max="12" width="11.77734375" style="11" customWidth="1"/>
    <col min="13" max="13" width="9.44140625" style="11" customWidth="1"/>
    <col min="14" max="14" width="8.109375" style="11" customWidth="1"/>
    <col min="15" max="15" width="10.77734375" style="11" customWidth="1"/>
    <col min="16" max="16384" width="9.33203125" style="11"/>
  </cols>
  <sheetData>
    <row r="1" spans="1:15" ht="12.75" customHeight="1" x14ac:dyDescent="0.25">
      <c r="A1" s="843" t="s">
        <v>87</v>
      </c>
      <c r="B1" s="871" t="s">
        <v>17</v>
      </c>
      <c r="C1" s="843" t="s">
        <v>124</v>
      </c>
      <c r="D1" s="866" t="s">
        <v>938</v>
      </c>
      <c r="E1" s="866" t="s">
        <v>928</v>
      </c>
      <c r="F1" s="842" t="s">
        <v>130</v>
      </c>
      <c r="G1" s="842"/>
      <c r="H1" s="842"/>
      <c r="I1" s="842"/>
      <c r="J1" s="842"/>
      <c r="K1" s="842"/>
      <c r="L1" s="842"/>
      <c r="M1" s="842"/>
      <c r="N1" s="843" t="s">
        <v>129</v>
      </c>
      <c r="O1" s="866" t="s">
        <v>939</v>
      </c>
    </row>
    <row r="2" spans="1:15" s="19" customFormat="1" ht="60" customHeight="1" x14ac:dyDescent="0.25">
      <c r="A2" s="843"/>
      <c r="B2" s="872"/>
      <c r="C2" s="843"/>
      <c r="D2" s="867"/>
      <c r="E2" s="867"/>
      <c r="F2" s="65" t="s">
        <v>111</v>
      </c>
      <c r="G2" s="65" t="s">
        <v>189</v>
      </c>
      <c r="H2" s="65" t="s">
        <v>183</v>
      </c>
      <c r="I2" s="65" t="s">
        <v>15</v>
      </c>
      <c r="J2" s="65" t="s">
        <v>22</v>
      </c>
      <c r="K2" s="65" t="s">
        <v>20</v>
      </c>
      <c r="L2" s="65" t="s">
        <v>19</v>
      </c>
      <c r="M2" s="65" t="s">
        <v>16</v>
      </c>
      <c r="N2" s="870"/>
      <c r="O2" s="867"/>
    </row>
    <row r="3" spans="1:15" s="19" customFormat="1" ht="17.25" customHeight="1" x14ac:dyDescent="0.25">
      <c r="A3" s="435">
        <v>2</v>
      </c>
      <c r="B3" s="432"/>
      <c r="C3" s="436" t="s">
        <v>174</v>
      </c>
      <c r="D3" s="439"/>
      <c r="E3" s="439"/>
      <c r="F3" s="432"/>
      <c r="G3" s="432"/>
      <c r="H3" s="432"/>
      <c r="I3" s="432"/>
      <c r="J3" s="432"/>
      <c r="K3" s="432"/>
      <c r="L3" s="432"/>
      <c r="M3" s="432"/>
      <c r="N3" s="433"/>
      <c r="O3" s="432"/>
    </row>
    <row r="4" spans="1:15" s="19" customFormat="1" ht="15" customHeight="1" x14ac:dyDescent="0.25">
      <c r="A4" s="87"/>
      <c r="B4" s="425">
        <v>1</v>
      </c>
      <c r="C4" s="88" t="s">
        <v>126</v>
      </c>
      <c r="D4" s="440">
        <v>1839867</v>
      </c>
      <c r="E4" s="444">
        <f>72411+táj4!M4</f>
        <v>84493</v>
      </c>
      <c r="F4" s="89">
        <f>1408602+táj4!D4</f>
        <v>1424173</v>
      </c>
      <c r="G4" s="89">
        <f>207028+táj4!E4</f>
        <v>210140</v>
      </c>
      <c r="H4" s="89">
        <f>231675+táj4!F4</f>
        <v>236074</v>
      </c>
      <c r="I4" s="89">
        <f>0+táj4!G4</f>
        <v>0</v>
      </c>
      <c r="J4" s="89">
        <f>0+táj4!H4</f>
        <v>0</v>
      </c>
      <c r="K4" s="89">
        <f>63495+táj4!I4</f>
        <v>50495</v>
      </c>
      <c r="L4" s="89">
        <f>1478+táj4!J4</f>
        <v>3478</v>
      </c>
      <c r="M4" s="89">
        <f>0+táj4!K4</f>
        <v>0</v>
      </c>
      <c r="N4" s="89">
        <f>0+táj4!L4</f>
        <v>0</v>
      </c>
      <c r="O4" s="89">
        <f t="shared" ref="O4:O22" si="0">SUM(F4:N4)</f>
        <v>1924360</v>
      </c>
    </row>
    <row r="5" spans="1:15" s="19" customFormat="1" ht="15" customHeight="1" x14ac:dyDescent="0.25">
      <c r="A5" s="87"/>
      <c r="B5" s="425">
        <v>2</v>
      </c>
      <c r="C5" s="88" t="s">
        <v>121</v>
      </c>
      <c r="D5" s="440">
        <v>1729082</v>
      </c>
      <c r="E5" s="444">
        <f>32741+táj4!M5</f>
        <v>6994</v>
      </c>
      <c r="F5" s="89">
        <f>166789+táj4!D5</f>
        <v>166789</v>
      </c>
      <c r="G5" s="89">
        <f>25853+táj4!E5</f>
        <v>25853</v>
      </c>
      <c r="H5" s="89">
        <f>1533832+táj4!F5</f>
        <v>1508085</v>
      </c>
      <c r="I5" s="89">
        <f>0+táj4!G5</f>
        <v>0</v>
      </c>
      <c r="J5" s="89">
        <f>23935+táj4!H5</f>
        <v>23935</v>
      </c>
      <c r="K5" s="89">
        <f>6634+táj4!I5</f>
        <v>6634</v>
      </c>
      <c r="L5" s="89">
        <f>4780+táj4!J5</f>
        <v>4780</v>
      </c>
      <c r="M5" s="89">
        <f>0+táj4!K5</f>
        <v>0</v>
      </c>
      <c r="N5" s="89">
        <f>0+táj4!L5</f>
        <v>0</v>
      </c>
      <c r="O5" s="89">
        <f t="shared" si="0"/>
        <v>1736076</v>
      </c>
    </row>
    <row r="6" spans="1:15" s="19" customFormat="1" ht="15" customHeight="1" x14ac:dyDescent="0.25">
      <c r="A6" s="87"/>
      <c r="B6" s="425">
        <v>3</v>
      </c>
      <c r="C6" s="88" t="s">
        <v>150</v>
      </c>
      <c r="D6" s="440">
        <v>983620</v>
      </c>
      <c r="E6" s="444">
        <f>49841+táj4!M6</f>
        <v>44483</v>
      </c>
      <c r="F6" s="89">
        <f>696731+táj4!D6</f>
        <v>701135</v>
      </c>
      <c r="G6" s="89">
        <f>103387+táj4!E6</f>
        <v>103959</v>
      </c>
      <c r="H6" s="89">
        <f>224576+táj4!F6</f>
        <v>214242</v>
      </c>
      <c r="I6" s="89">
        <f>0+táj4!G6</f>
        <v>0</v>
      </c>
      <c r="J6" s="89">
        <f>200+táj4!H6</f>
        <v>200</v>
      </c>
      <c r="K6" s="89">
        <f>4553+táj4!I6</f>
        <v>4553</v>
      </c>
      <c r="L6" s="89">
        <f>4014+táj4!J6</f>
        <v>4014</v>
      </c>
      <c r="M6" s="89">
        <f>0+táj4!K6</f>
        <v>0</v>
      </c>
      <c r="N6" s="89">
        <f>0+táj4!L6</f>
        <v>0</v>
      </c>
      <c r="O6" s="89">
        <f t="shared" si="0"/>
        <v>1028103</v>
      </c>
    </row>
    <row r="7" spans="1:15" s="19" customFormat="1" ht="23.25" customHeight="1" x14ac:dyDescent="0.25">
      <c r="A7" s="87"/>
      <c r="B7" s="425">
        <v>4</v>
      </c>
      <c r="C7" s="81" t="s">
        <v>176</v>
      </c>
      <c r="D7" s="441">
        <v>563450</v>
      </c>
      <c r="E7" s="444">
        <f>86738+táj4!M7</f>
        <v>86738</v>
      </c>
      <c r="F7" s="89">
        <f>372260+táj4!D7</f>
        <v>372260</v>
      </c>
      <c r="G7" s="89">
        <f>54825+táj4!E7</f>
        <v>54825</v>
      </c>
      <c r="H7" s="89">
        <f>220708+táj4!F7</f>
        <v>220708</v>
      </c>
      <c r="I7" s="89">
        <f>0+táj4!G7</f>
        <v>0</v>
      </c>
      <c r="J7" s="89">
        <f>0+táj4!H7</f>
        <v>0</v>
      </c>
      <c r="K7" s="89">
        <f>2395+táj4!I7</f>
        <v>2395</v>
      </c>
      <c r="L7" s="89">
        <f>0+táj4!J7</f>
        <v>0</v>
      </c>
      <c r="M7" s="89">
        <f>0+táj4!K7</f>
        <v>0</v>
      </c>
      <c r="N7" s="89">
        <f>0+táj4!L7</f>
        <v>0</v>
      </c>
      <c r="O7" s="89">
        <f t="shared" si="0"/>
        <v>650188</v>
      </c>
    </row>
    <row r="8" spans="1:15" s="19" customFormat="1" ht="26.25" customHeight="1" x14ac:dyDescent="0.25">
      <c r="A8" s="87"/>
      <c r="B8" s="425">
        <v>5</v>
      </c>
      <c r="C8" s="81" t="s">
        <v>177</v>
      </c>
      <c r="D8" s="441">
        <v>315370</v>
      </c>
      <c r="E8" s="444">
        <f>95102+táj4!M8</f>
        <v>104713</v>
      </c>
      <c r="F8" s="89">
        <f>310960+táj4!D8</f>
        <v>322146</v>
      </c>
      <c r="G8" s="89">
        <f>47387+táj4!E8</f>
        <v>48841</v>
      </c>
      <c r="H8" s="89">
        <f>37349+táj4!F8</f>
        <v>32820</v>
      </c>
      <c r="I8" s="89">
        <f>10936+táj4!G8</f>
        <v>10936</v>
      </c>
      <c r="J8" s="89">
        <f>240+táj4!H8</f>
        <v>240</v>
      </c>
      <c r="K8" s="89">
        <f>3000+táj4!I8</f>
        <v>3500</v>
      </c>
      <c r="L8" s="89">
        <f>600+táj4!J8</f>
        <v>1600</v>
      </c>
      <c r="M8" s="89">
        <f>0+táj4!K8</f>
        <v>0</v>
      </c>
      <c r="N8" s="89">
        <f>0+táj4!L8</f>
        <v>0</v>
      </c>
      <c r="O8" s="89">
        <f t="shared" si="0"/>
        <v>420083</v>
      </c>
    </row>
    <row r="9" spans="1:15" s="19" customFormat="1" ht="15" customHeight="1" x14ac:dyDescent="0.25">
      <c r="A9" s="87"/>
      <c r="B9" s="425">
        <v>6</v>
      </c>
      <c r="C9" s="82" t="s">
        <v>151</v>
      </c>
      <c r="D9" s="442">
        <v>517654</v>
      </c>
      <c r="E9" s="444">
        <f>18563+táj4!M9</f>
        <v>19178</v>
      </c>
      <c r="F9" s="89">
        <f>351009+táj4!D9</f>
        <v>352812</v>
      </c>
      <c r="G9" s="89">
        <f>53584+táj4!E9</f>
        <v>53818</v>
      </c>
      <c r="H9" s="89">
        <f>128224+táj4!F9</f>
        <v>125752</v>
      </c>
      <c r="I9" s="89">
        <f>0+táj4!G9</f>
        <v>0</v>
      </c>
      <c r="J9" s="89">
        <f>150+táj4!H9</f>
        <v>150</v>
      </c>
      <c r="K9" s="89">
        <f>1500+táj4!I9</f>
        <v>2550</v>
      </c>
      <c r="L9" s="89">
        <f>1750+táj4!J9</f>
        <v>1750</v>
      </c>
      <c r="M9" s="89">
        <f>0+táj4!K9</f>
        <v>0</v>
      </c>
      <c r="N9" s="89">
        <f>0+táj4!L9</f>
        <v>0</v>
      </c>
      <c r="O9" s="89">
        <f t="shared" si="0"/>
        <v>536832</v>
      </c>
    </row>
    <row r="10" spans="1:15" s="19" customFormat="1" ht="15" customHeight="1" x14ac:dyDescent="0.25">
      <c r="A10" s="87"/>
      <c r="B10" s="425">
        <v>7</v>
      </c>
      <c r="C10" s="82" t="s">
        <v>152</v>
      </c>
      <c r="D10" s="442">
        <v>454055</v>
      </c>
      <c r="E10" s="444">
        <f>7352+táj4!M10</f>
        <v>5385</v>
      </c>
      <c r="F10" s="89">
        <f>269316+táj4!D10</f>
        <v>270876</v>
      </c>
      <c r="G10" s="89">
        <f>41164+táj4!E10</f>
        <v>41367</v>
      </c>
      <c r="H10" s="89">
        <f>147216+táj4!F10</f>
        <v>142597</v>
      </c>
      <c r="I10" s="89">
        <f>0+táj4!G10</f>
        <v>0</v>
      </c>
      <c r="J10" s="89">
        <f>0+táj4!H10</f>
        <v>0</v>
      </c>
      <c r="K10" s="89">
        <f>1900+táj4!I10</f>
        <v>1675</v>
      </c>
      <c r="L10" s="89">
        <f>1811+táj4!J10</f>
        <v>2925</v>
      </c>
      <c r="M10" s="89">
        <f>0+táj4!K10</f>
        <v>0</v>
      </c>
      <c r="N10" s="89">
        <f>0+táj4!L10</f>
        <v>0</v>
      </c>
      <c r="O10" s="89">
        <f t="shared" si="0"/>
        <v>459440</v>
      </c>
    </row>
    <row r="11" spans="1:15" s="20" customFormat="1" ht="15" customHeight="1" x14ac:dyDescent="0.25">
      <c r="A11" s="87"/>
      <c r="B11" s="425">
        <v>8</v>
      </c>
      <c r="C11" s="82" t="s">
        <v>153</v>
      </c>
      <c r="D11" s="442">
        <v>468522</v>
      </c>
      <c r="E11" s="444">
        <f>12631+táj4!M11</f>
        <v>11811</v>
      </c>
      <c r="F11" s="5">
        <f>287508+táj4!D11</f>
        <v>289209</v>
      </c>
      <c r="G11" s="5">
        <f>43848+táj4!E11</f>
        <v>44069</v>
      </c>
      <c r="H11" s="5">
        <f>146297+táj4!F11</f>
        <v>142555</v>
      </c>
      <c r="I11" s="5">
        <f>0+táj4!G11</f>
        <v>0</v>
      </c>
      <c r="J11" s="5">
        <f>0+táj4!H11</f>
        <v>0</v>
      </c>
      <c r="K11" s="5">
        <f>3500+táj4!I11</f>
        <v>4500</v>
      </c>
      <c r="L11" s="5">
        <f>0+táj4!J11</f>
        <v>0</v>
      </c>
      <c r="M11" s="5">
        <f>0+táj4!K11</f>
        <v>0</v>
      </c>
      <c r="N11" s="5">
        <f>0+táj4!L11</f>
        <v>0</v>
      </c>
      <c r="O11" s="89">
        <f t="shared" si="0"/>
        <v>480333</v>
      </c>
    </row>
    <row r="12" spans="1:15" s="20" customFormat="1" ht="17.25" customHeight="1" x14ac:dyDescent="0.25">
      <c r="A12" s="87"/>
      <c r="B12" s="425">
        <v>9</v>
      </c>
      <c r="C12" s="82" t="s">
        <v>154</v>
      </c>
      <c r="D12" s="442">
        <v>451641</v>
      </c>
      <c r="E12" s="444">
        <f>4310+táj4!M12</f>
        <v>-1582</v>
      </c>
      <c r="F12" s="5">
        <f>298853+táj4!D12</f>
        <v>300733</v>
      </c>
      <c r="G12" s="5">
        <f>45681+táj4!E12</f>
        <v>45926</v>
      </c>
      <c r="H12" s="5">
        <f>105891+táj4!F12</f>
        <v>97874</v>
      </c>
      <c r="I12" s="5">
        <f>0+táj4!G12</f>
        <v>0</v>
      </c>
      <c r="J12" s="5">
        <f>782+táj4!H12</f>
        <v>782</v>
      </c>
      <c r="K12" s="5">
        <f>1500+táj4!I12</f>
        <v>1500</v>
      </c>
      <c r="L12" s="5">
        <f>3244+táj4!J12</f>
        <v>3244</v>
      </c>
      <c r="M12" s="5">
        <f>0+táj4!K12</f>
        <v>0</v>
      </c>
      <c r="N12" s="5">
        <f>0+táj4!L12</f>
        <v>0</v>
      </c>
      <c r="O12" s="89">
        <f t="shared" si="0"/>
        <v>450059</v>
      </c>
    </row>
    <row r="13" spans="1:15" s="20" customFormat="1" ht="18.75" customHeight="1" x14ac:dyDescent="0.25">
      <c r="A13" s="87"/>
      <c r="B13" s="425">
        <v>10</v>
      </c>
      <c r="C13" s="82" t="s">
        <v>178</v>
      </c>
      <c r="D13" s="442">
        <v>70290</v>
      </c>
      <c r="E13" s="444">
        <f>5587+táj4!M13</f>
        <v>5587</v>
      </c>
      <c r="F13" s="5">
        <f>64034+táj4!D13</f>
        <v>64034</v>
      </c>
      <c r="G13" s="5">
        <f>8692+táj4!E13</f>
        <v>8492</v>
      </c>
      <c r="H13" s="5">
        <f>2877+táj4!F13</f>
        <v>3077</v>
      </c>
      <c r="I13" s="5">
        <f>0+táj4!G13</f>
        <v>0</v>
      </c>
      <c r="J13" s="5">
        <f>0+táj4!H13</f>
        <v>0</v>
      </c>
      <c r="K13" s="5">
        <f>274+táj4!I13</f>
        <v>274</v>
      </c>
      <c r="L13" s="5">
        <f>0+táj4!J13</f>
        <v>0</v>
      </c>
      <c r="M13" s="5">
        <f>0+táj4!K13</f>
        <v>0</v>
      </c>
      <c r="N13" s="5">
        <f>0+táj4!L13</f>
        <v>0</v>
      </c>
      <c r="O13" s="89">
        <f t="shared" si="0"/>
        <v>75877</v>
      </c>
    </row>
    <row r="14" spans="1:15" s="20" customFormat="1" ht="14.1" customHeight="1" x14ac:dyDescent="0.25">
      <c r="A14" s="87"/>
      <c r="B14" s="425">
        <v>11</v>
      </c>
      <c r="C14" s="83" t="s">
        <v>148</v>
      </c>
      <c r="D14" s="443">
        <v>460425</v>
      </c>
      <c r="E14" s="444">
        <f>73459+táj4!M14</f>
        <v>127954</v>
      </c>
      <c r="F14" s="5">
        <f>248952+táj4!D14</f>
        <v>254776</v>
      </c>
      <c r="G14" s="5">
        <f>32460+táj4!E14</f>
        <v>32568</v>
      </c>
      <c r="H14" s="5">
        <f>241512+táj4!F14</f>
        <v>278575</v>
      </c>
      <c r="I14" s="5">
        <f>0+táj4!G14</f>
        <v>0</v>
      </c>
      <c r="J14" s="5">
        <f>1481+táj4!H14</f>
        <v>11481</v>
      </c>
      <c r="K14" s="5">
        <f>7040+táj4!I14</f>
        <v>8540</v>
      </c>
      <c r="L14" s="5">
        <f>2439+táj4!J14</f>
        <v>2439</v>
      </c>
      <c r="M14" s="5">
        <f>0+táj4!K14</f>
        <v>0</v>
      </c>
      <c r="N14" s="5">
        <f>0+táj4!L14</f>
        <v>0</v>
      </c>
      <c r="O14" s="89">
        <f t="shared" si="0"/>
        <v>588379</v>
      </c>
    </row>
    <row r="15" spans="1:15" s="20" customFormat="1" ht="24.75" customHeight="1" x14ac:dyDescent="0.25">
      <c r="A15" s="87"/>
      <c r="B15" s="425">
        <v>12</v>
      </c>
      <c r="C15" s="81" t="s">
        <v>155</v>
      </c>
      <c r="D15" s="441">
        <v>27153</v>
      </c>
      <c r="E15" s="444">
        <f>5284+táj4!M15</f>
        <v>6022</v>
      </c>
      <c r="F15" s="5">
        <f>21553+táj4!D15</f>
        <v>22051</v>
      </c>
      <c r="G15" s="5">
        <f>2867+táj4!E15</f>
        <v>2867</v>
      </c>
      <c r="H15" s="5">
        <f>7757+táj4!F15</f>
        <v>7797</v>
      </c>
      <c r="I15" s="5">
        <f>0+táj4!G15</f>
        <v>0</v>
      </c>
      <c r="J15" s="5">
        <f>0+táj4!H15</f>
        <v>0</v>
      </c>
      <c r="K15" s="5">
        <f>260+táj4!I15</f>
        <v>460</v>
      </c>
      <c r="L15" s="5">
        <f>0+táj4!J15</f>
        <v>0</v>
      </c>
      <c r="M15" s="5">
        <f>0+táj4!K15</f>
        <v>0</v>
      </c>
      <c r="N15" s="5">
        <f>0+táj4!L15</f>
        <v>0</v>
      </c>
      <c r="O15" s="89">
        <f t="shared" si="0"/>
        <v>33175</v>
      </c>
    </row>
    <row r="16" spans="1:15" s="20" customFormat="1" ht="14.1" customHeight="1" x14ac:dyDescent="0.25">
      <c r="A16" s="87"/>
      <c r="B16" s="425">
        <v>13</v>
      </c>
      <c r="C16" s="82" t="s">
        <v>149</v>
      </c>
      <c r="D16" s="442">
        <v>508408</v>
      </c>
      <c r="E16" s="444">
        <f>31082+táj4!M16</f>
        <v>21529</v>
      </c>
      <c r="F16" s="5">
        <f>251106+táj4!D16</f>
        <v>251106</v>
      </c>
      <c r="G16" s="5">
        <f>33026+táj4!E16</f>
        <v>33026</v>
      </c>
      <c r="H16" s="5">
        <f>189430+táj4!F16</f>
        <v>179877</v>
      </c>
      <c r="I16" s="5">
        <f>0+táj4!G16</f>
        <v>0</v>
      </c>
      <c r="J16" s="5">
        <f>18667+táj4!H16</f>
        <v>18667</v>
      </c>
      <c r="K16" s="5">
        <f>47261+táj4!I16</f>
        <v>47261</v>
      </c>
      <c r="L16" s="5">
        <f>0+táj4!J16</f>
        <v>0</v>
      </c>
      <c r="M16" s="5">
        <f>0+táj4!K16</f>
        <v>0</v>
      </c>
      <c r="N16" s="5">
        <f>0+táj4!L16</f>
        <v>0</v>
      </c>
      <c r="O16" s="89">
        <f t="shared" si="0"/>
        <v>529937</v>
      </c>
    </row>
    <row r="17" spans="1:15" s="20" customFormat="1" ht="14.1" customHeight="1" x14ac:dyDescent="0.25">
      <c r="A17" s="87"/>
      <c r="B17" s="425">
        <v>14</v>
      </c>
      <c r="C17" s="82" t="s">
        <v>1107</v>
      </c>
      <c r="D17" s="442">
        <v>1064860</v>
      </c>
      <c r="E17" s="444">
        <f>54953+táj4!M17</f>
        <v>51049</v>
      </c>
      <c r="F17" s="5">
        <f>331983+táj4!D17</f>
        <v>335166</v>
      </c>
      <c r="G17" s="5">
        <f>47714+táj4!E17</f>
        <v>48126</v>
      </c>
      <c r="H17" s="5">
        <f>485584+táj4!F17</f>
        <v>474661</v>
      </c>
      <c r="I17" s="5">
        <f>0+táj4!G17</f>
        <v>0</v>
      </c>
      <c r="J17" s="5">
        <f>109281+táj4!H17</f>
        <v>109281</v>
      </c>
      <c r="K17" s="5">
        <f>30251+táj4!I17</f>
        <v>30092</v>
      </c>
      <c r="L17" s="5">
        <f>2000+táj4!J17</f>
        <v>5583</v>
      </c>
      <c r="M17" s="5">
        <f>113000+táj4!K17</f>
        <v>113000</v>
      </c>
      <c r="N17" s="5">
        <f>0+táj4!L17</f>
        <v>0</v>
      </c>
      <c r="O17" s="89">
        <f t="shared" si="0"/>
        <v>1115909</v>
      </c>
    </row>
    <row r="18" spans="1:15" s="20" customFormat="1" ht="12.9" customHeight="1" x14ac:dyDescent="0.25">
      <c r="A18" s="87"/>
      <c r="B18" s="425">
        <v>15</v>
      </c>
      <c r="C18" s="82" t="s">
        <v>156</v>
      </c>
      <c r="D18" s="442">
        <v>930885</v>
      </c>
      <c r="E18" s="444">
        <f>272035+táj4!M18</f>
        <v>241888</v>
      </c>
      <c r="F18" s="5">
        <f>598937+táj4!D18</f>
        <v>616937</v>
      </c>
      <c r="G18" s="5">
        <f>84711+táj4!E18</f>
        <v>70711</v>
      </c>
      <c r="H18" s="5">
        <f>287656+táj4!F18</f>
        <v>254256</v>
      </c>
      <c r="I18" s="5">
        <f>0+táj4!G18</f>
        <v>0</v>
      </c>
      <c r="J18" s="5">
        <f>4616+táj4!H18</f>
        <v>4616</v>
      </c>
      <c r="K18" s="5">
        <f>57000+táj4!I18</f>
        <v>56253</v>
      </c>
      <c r="L18" s="5">
        <f>0+táj4!J18</f>
        <v>0</v>
      </c>
      <c r="M18" s="5">
        <f>0+táj4!K18</f>
        <v>0</v>
      </c>
      <c r="N18" s="5">
        <f>170000+táj4!L18</f>
        <v>170000</v>
      </c>
      <c r="O18" s="89">
        <f t="shared" si="0"/>
        <v>1172773</v>
      </c>
    </row>
    <row r="19" spans="1:15" s="20" customFormat="1" ht="12.9" customHeight="1" x14ac:dyDescent="0.25">
      <c r="A19" s="87"/>
      <c r="B19" s="425">
        <v>16</v>
      </c>
      <c r="C19" s="82" t="s">
        <v>157</v>
      </c>
      <c r="D19" s="442">
        <v>182580</v>
      </c>
      <c r="E19" s="444">
        <f>64287+táj4!M19</f>
        <v>72287</v>
      </c>
      <c r="F19" s="5">
        <f>89617+táj4!D19</f>
        <v>97276</v>
      </c>
      <c r="G19" s="5">
        <f>11409+táj4!E19</f>
        <v>10000</v>
      </c>
      <c r="H19" s="5">
        <f>92584+táj4!F19</f>
        <v>92834</v>
      </c>
      <c r="I19" s="5">
        <f>0+táj4!G19</f>
        <v>0</v>
      </c>
      <c r="J19" s="5">
        <f>1757+táj4!H19</f>
        <v>1757</v>
      </c>
      <c r="K19" s="5">
        <f>16500+táj4!I19</f>
        <v>18000</v>
      </c>
      <c r="L19" s="5">
        <f>0+táj4!J19</f>
        <v>0</v>
      </c>
      <c r="M19" s="5">
        <f>0+táj4!K19</f>
        <v>0</v>
      </c>
      <c r="N19" s="5">
        <f>35000+táj4!L19</f>
        <v>35000</v>
      </c>
      <c r="O19" s="89">
        <f t="shared" si="0"/>
        <v>254867</v>
      </c>
    </row>
    <row r="20" spans="1:15" s="20" customFormat="1" ht="15.75" customHeight="1" x14ac:dyDescent="0.25">
      <c r="A20" s="87"/>
      <c r="B20" s="425">
        <v>17</v>
      </c>
      <c r="C20" s="82" t="s">
        <v>179</v>
      </c>
      <c r="D20" s="442">
        <v>316953</v>
      </c>
      <c r="E20" s="444">
        <f>7476+táj4!M20</f>
        <v>-91449</v>
      </c>
      <c r="F20" s="5">
        <f>94569+táj4!D20</f>
        <v>94069</v>
      </c>
      <c r="G20" s="5">
        <f>12866+táj4!E20</f>
        <v>13366</v>
      </c>
      <c r="H20" s="5">
        <f>215432+táj4!F20</f>
        <v>116507</v>
      </c>
      <c r="I20" s="5">
        <f>0+táj4!G20</f>
        <v>0</v>
      </c>
      <c r="J20" s="5">
        <f>0+táj4!H20</f>
        <v>0</v>
      </c>
      <c r="K20" s="5">
        <f>1562+táj4!I20</f>
        <v>1562</v>
      </c>
      <c r="L20" s="5">
        <f>0+táj4!J20</f>
        <v>0</v>
      </c>
      <c r="M20" s="5">
        <f>0+táj4!K20</f>
        <v>0</v>
      </c>
      <c r="N20" s="5">
        <f>0+táj4!L20</f>
        <v>0</v>
      </c>
      <c r="O20" s="89">
        <f t="shared" si="0"/>
        <v>225504</v>
      </c>
    </row>
    <row r="21" spans="1:15" s="1" customFormat="1" ht="12" x14ac:dyDescent="0.25">
      <c r="A21" s="87"/>
      <c r="B21" s="425">
        <v>18</v>
      </c>
      <c r="C21" s="82" t="s">
        <v>182</v>
      </c>
      <c r="D21" s="442">
        <v>177395</v>
      </c>
      <c r="E21" s="444">
        <f>-4804+táj4!M21</f>
        <v>-3804</v>
      </c>
      <c r="F21" s="9">
        <f>77524+táj4!D21</f>
        <v>78250</v>
      </c>
      <c r="G21" s="9">
        <f>10083+táj4!E21</f>
        <v>10357</v>
      </c>
      <c r="H21" s="9">
        <f>80894+táj4!F21</f>
        <v>80894</v>
      </c>
      <c r="I21" s="9">
        <f>0+táj4!G21</f>
        <v>0</v>
      </c>
      <c r="J21" s="9">
        <f>0+táj4!H21</f>
        <v>0</v>
      </c>
      <c r="K21" s="9">
        <f>4090+táj4!I21</f>
        <v>4090</v>
      </c>
      <c r="L21" s="9">
        <f>0+táj4!J21</f>
        <v>0</v>
      </c>
      <c r="M21" s="9">
        <f>0+táj4!K21</f>
        <v>0</v>
      </c>
      <c r="N21" s="9">
        <f>0+táj4!L21</f>
        <v>0</v>
      </c>
      <c r="O21" s="89">
        <f t="shared" si="0"/>
        <v>173591</v>
      </c>
    </row>
    <row r="22" spans="1:15" s="1" customFormat="1" ht="24" x14ac:dyDescent="0.25">
      <c r="A22" s="775"/>
      <c r="B22" s="775">
        <v>19</v>
      </c>
      <c r="C22" s="777" t="s">
        <v>1133</v>
      </c>
      <c r="D22" s="778"/>
      <c r="E22" s="444">
        <f>10037+táj4!M22</f>
        <v>10537</v>
      </c>
      <c r="F22" s="9">
        <f>3289+táj4!D22</f>
        <v>3289</v>
      </c>
      <c r="G22" s="9">
        <f>579+táj4!E22</f>
        <v>579</v>
      </c>
      <c r="H22" s="9">
        <f>4368+táj4!F22</f>
        <v>4868</v>
      </c>
      <c r="I22" s="9">
        <f>0+táj4!G22</f>
        <v>0</v>
      </c>
      <c r="J22" s="9">
        <f>0+táj4!H22</f>
        <v>0</v>
      </c>
      <c r="K22" s="9">
        <f>1801+táj4!I22</f>
        <v>1801</v>
      </c>
      <c r="L22" s="9">
        <f>0+táj4!J22</f>
        <v>0</v>
      </c>
      <c r="M22" s="9">
        <f>0+táj4!K22</f>
        <v>0</v>
      </c>
      <c r="N22" s="9">
        <f>0+táj4!L22</f>
        <v>0</v>
      </c>
      <c r="O22" s="89">
        <f t="shared" si="0"/>
        <v>10537</v>
      </c>
    </row>
    <row r="23" spans="1:15" s="1" customFormat="1" ht="12" x14ac:dyDescent="0.25">
      <c r="A23" s="90"/>
      <c r="B23" s="431"/>
      <c r="C23" s="91" t="s">
        <v>11</v>
      </c>
      <c r="D23" s="58">
        <f>SUM(D4:D22)</f>
        <v>11062210</v>
      </c>
      <c r="E23" s="58">
        <f t="shared" ref="E23:O23" si="1">SUM(E4:E22)</f>
        <v>803813</v>
      </c>
      <c r="F23" s="58">
        <f t="shared" si="1"/>
        <v>6017087</v>
      </c>
      <c r="G23" s="58">
        <f t="shared" si="1"/>
        <v>858890</v>
      </c>
      <c r="H23" s="58">
        <f t="shared" si="1"/>
        <v>4214053</v>
      </c>
      <c r="I23" s="58">
        <f t="shared" si="1"/>
        <v>10936</v>
      </c>
      <c r="J23" s="58">
        <f t="shared" si="1"/>
        <v>171109</v>
      </c>
      <c r="K23" s="58">
        <f t="shared" si="1"/>
        <v>246135</v>
      </c>
      <c r="L23" s="58">
        <f t="shared" si="1"/>
        <v>29813</v>
      </c>
      <c r="M23" s="58">
        <f t="shared" si="1"/>
        <v>113000</v>
      </c>
      <c r="N23" s="58">
        <f t="shared" si="1"/>
        <v>205000</v>
      </c>
      <c r="O23" s="58">
        <f t="shared" si="1"/>
        <v>11866023</v>
      </c>
    </row>
    <row r="24" spans="1:15" s="1" customFormat="1" x14ac:dyDescent="0.25"/>
    <row r="25" spans="1:15" s="1" customFormat="1" x14ac:dyDescent="0.25"/>
    <row r="26" spans="1:15" s="1" customFormat="1" x14ac:dyDescent="0.25"/>
    <row r="27" spans="1:15" s="1" customFormat="1" x14ac:dyDescent="0.25"/>
    <row r="28" spans="1:15" s="1" customFormat="1" x14ac:dyDescent="0.25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2023.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01"/>
  <sheetViews>
    <sheetView topLeftCell="C1" zoomScaleNormal="100" workbookViewId="0">
      <pane ySplit="2" topLeftCell="A158" activePane="bottomLeft" state="frozen"/>
      <selection activeCell="A30" sqref="A30"/>
      <selection pane="bottomLeft" activeCell="C94" sqref="A94:XFD94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21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839" t="s">
        <v>87</v>
      </c>
      <c r="B1" s="839" t="s">
        <v>88</v>
      </c>
      <c r="C1" s="837" t="s">
        <v>124</v>
      </c>
      <c r="D1" s="839" t="s">
        <v>205</v>
      </c>
      <c r="E1" s="841" t="s">
        <v>131</v>
      </c>
      <c r="F1" s="841"/>
      <c r="G1" s="841"/>
      <c r="H1" s="841"/>
      <c r="I1" s="841"/>
      <c r="J1" s="841"/>
      <c r="K1" s="841"/>
      <c r="L1" s="838" t="s">
        <v>188</v>
      </c>
      <c r="M1" s="838"/>
      <c r="N1" s="838"/>
      <c r="O1" s="837" t="s">
        <v>11</v>
      </c>
    </row>
    <row r="2" spans="1:15" s="98" customFormat="1" ht="69" customHeight="1" x14ac:dyDescent="0.25">
      <c r="A2" s="839"/>
      <c r="B2" s="839"/>
      <c r="C2" s="837"/>
      <c r="D2" s="840"/>
      <c r="E2" s="96" t="s">
        <v>12</v>
      </c>
      <c r="F2" s="96" t="s">
        <v>13</v>
      </c>
      <c r="G2" s="342" t="s">
        <v>14</v>
      </c>
      <c r="H2" s="97" t="s">
        <v>184</v>
      </c>
      <c r="I2" s="342" t="s">
        <v>185</v>
      </c>
      <c r="J2" s="342" t="s">
        <v>186</v>
      </c>
      <c r="K2" s="342" t="s">
        <v>187</v>
      </c>
      <c r="L2" s="342" t="s">
        <v>132</v>
      </c>
      <c r="M2" s="342" t="s">
        <v>133</v>
      </c>
      <c r="N2" s="342" t="s">
        <v>135</v>
      </c>
      <c r="O2" s="837"/>
    </row>
    <row r="3" spans="1:15" s="98" customFormat="1" ht="12.9" customHeight="1" x14ac:dyDescent="0.25">
      <c r="A3" s="99">
        <v>1</v>
      </c>
      <c r="B3" s="99"/>
      <c r="C3" s="222" t="s">
        <v>173</v>
      </c>
      <c r="D3" s="223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</row>
    <row r="4" spans="1:15" s="98" customFormat="1" ht="12.9" customHeight="1" x14ac:dyDescent="0.25">
      <c r="A4" s="100">
        <v>1</v>
      </c>
      <c r="B4" s="100">
        <v>1</v>
      </c>
      <c r="C4" s="225" t="s">
        <v>3</v>
      </c>
      <c r="D4" s="101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</row>
    <row r="5" spans="1:15" s="103" customFormat="1" ht="13.5" customHeight="1" x14ac:dyDescent="0.25">
      <c r="A5" s="102">
        <v>1</v>
      </c>
      <c r="B5" s="102">
        <v>12</v>
      </c>
      <c r="C5" s="227" t="s">
        <v>99</v>
      </c>
      <c r="D5" s="228"/>
      <c r="E5" s="229"/>
      <c r="F5" s="229"/>
      <c r="G5" s="230"/>
      <c r="H5" s="230"/>
      <c r="I5" s="230"/>
      <c r="J5" s="230"/>
      <c r="K5" s="230"/>
      <c r="L5" s="230"/>
      <c r="M5" s="230"/>
      <c r="N5" s="230"/>
      <c r="O5" s="230"/>
    </row>
    <row r="6" spans="1:15" s="103" customFormat="1" ht="24.9" hidden="1" customHeight="1" x14ac:dyDescent="0.25">
      <c r="A6" s="102"/>
      <c r="B6" s="102"/>
      <c r="C6" s="231" t="s">
        <v>206</v>
      </c>
      <c r="D6" s="232"/>
      <c r="E6" s="229"/>
      <c r="F6" s="229"/>
      <c r="G6" s="230"/>
      <c r="H6" s="230"/>
      <c r="I6" s="230"/>
      <c r="J6" s="230"/>
      <c r="K6" s="230"/>
      <c r="L6" s="230"/>
      <c r="M6" s="230"/>
      <c r="N6" s="230"/>
      <c r="O6" s="230"/>
    </row>
    <row r="7" spans="1:15" s="103" customFormat="1" ht="17.100000000000001" hidden="1" customHeight="1" x14ac:dyDescent="0.25">
      <c r="A7" s="100"/>
      <c r="B7" s="100"/>
      <c r="C7" s="233" t="s">
        <v>207</v>
      </c>
      <c r="D7" s="234" t="s">
        <v>208</v>
      </c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>
        <f>SUM(H7:N7)</f>
        <v>0</v>
      </c>
    </row>
    <row r="8" spans="1:15" s="103" customFormat="1" ht="13.5" customHeight="1" x14ac:dyDescent="0.25">
      <c r="A8" s="104"/>
      <c r="B8" s="104"/>
      <c r="C8" s="235" t="s">
        <v>209</v>
      </c>
      <c r="D8" s="236"/>
      <c r="E8" s="236">
        <f t="shared" ref="E8:K8" si="0">SUM(E5:E7)</f>
        <v>0</v>
      </c>
      <c r="F8" s="236">
        <f t="shared" si="0"/>
        <v>0</v>
      </c>
      <c r="G8" s="236">
        <f t="shared" si="0"/>
        <v>0</v>
      </c>
      <c r="H8" s="236">
        <f t="shared" si="0"/>
        <v>0</v>
      </c>
      <c r="I8" s="236">
        <f t="shared" si="0"/>
        <v>0</v>
      </c>
      <c r="J8" s="236">
        <f t="shared" si="0"/>
        <v>0</v>
      </c>
      <c r="K8" s="236">
        <f t="shared" si="0"/>
        <v>0</v>
      </c>
      <c r="L8" s="236"/>
      <c r="M8" s="236"/>
      <c r="N8" s="236">
        <f>SUM(N7:N7)</f>
        <v>0</v>
      </c>
      <c r="O8" s="236">
        <f>SUM(O7:O7)</f>
        <v>0</v>
      </c>
    </row>
    <row r="9" spans="1:15" s="103" customFormat="1" ht="13.5" customHeight="1" x14ac:dyDescent="0.25">
      <c r="A9" s="101">
        <v>1</v>
      </c>
      <c r="B9" s="101">
        <v>13</v>
      </c>
      <c r="C9" s="227" t="s">
        <v>100</v>
      </c>
      <c r="D9" s="234"/>
      <c r="E9" s="105"/>
      <c r="F9" s="237"/>
      <c r="G9" s="237"/>
      <c r="H9" s="237"/>
      <c r="I9" s="237"/>
      <c r="J9" s="237"/>
      <c r="K9" s="237"/>
      <c r="L9" s="237"/>
      <c r="M9" s="237"/>
      <c r="N9" s="237"/>
      <c r="O9" s="237"/>
    </row>
    <row r="10" spans="1:15" s="103" customFormat="1" ht="13.5" hidden="1" customHeight="1" x14ac:dyDescent="0.25">
      <c r="A10" s="101"/>
      <c r="B10" s="101"/>
      <c r="C10" s="231" t="s">
        <v>210</v>
      </c>
      <c r="D10" s="234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</row>
    <row r="11" spans="1:15" s="103" customFormat="1" ht="24.9" hidden="1" customHeight="1" x14ac:dyDescent="0.25">
      <c r="A11" s="101"/>
      <c r="B11" s="101"/>
      <c r="C11" s="231" t="s">
        <v>211</v>
      </c>
      <c r="D11" s="238">
        <v>131705</v>
      </c>
      <c r="E11" s="230"/>
      <c r="F11" s="343"/>
      <c r="G11" s="343"/>
      <c r="H11" s="343"/>
      <c r="I11" s="230"/>
      <c r="J11" s="230"/>
      <c r="K11" s="230"/>
      <c r="L11" s="230"/>
      <c r="M11" s="230"/>
      <c r="N11" s="230"/>
      <c r="O11" s="230">
        <f>SUM(E11:N11)</f>
        <v>0</v>
      </c>
    </row>
    <row r="12" spans="1:15" s="103" customFormat="1" ht="19.2" customHeight="1" x14ac:dyDescent="0.25">
      <c r="A12" s="725"/>
      <c r="B12" s="725"/>
      <c r="C12" s="528" t="s">
        <v>384</v>
      </c>
      <c r="D12" s="663"/>
      <c r="E12" s="508"/>
      <c r="F12" s="522"/>
      <c r="G12" s="522"/>
      <c r="H12" s="522"/>
      <c r="I12" s="508"/>
      <c r="J12" s="508"/>
      <c r="K12" s="508"/>
      <c r="L12" s="508"/>
      <c r="M12" s="508"/>
      <c r="N12" s="508"/>
      <c r="O12" s="230"/>
    </row>
    <row r="13" spans="1:15" s="103" customFormat="1" ht="24.9" customHeight="1" x14ac:dyDescent="0.25">
      <c r="A13" s="725"/>
      <c r="B13" s="725"/>
      <c r="C13" s="527" t="s">
        <v>1073</v>
      </c>
      <c r="D13" s="663">
        <v>131718</v>
      </c>
      <c r="E13" s="508">
        <v>150</v>
      </c>
      <c r="F13" s="522"/>
      <c r="G13" s="522"/>
      <c r="H13" s="522"/>
      <c r="I13" s="508"/>
      <c r="J13" s="508"/>
      <c r="K13" s="508"/>
      <c r="L13" s="508"/>
      <c r="M13" s="508"/>
      <c r="N13" s="508"/>
      <c r="O13" s="230">
        <f t="shared" ref="O13" si="1">SUM(E13:N13)</f>
        <v>150</v>
      </c>
    </row>
    <row r="14" spans="1:15" s="103" customFormat="1" ht="24.9" hidden="1" customHeight="1" x14ac:dyDescent="0.25">
      <c r="A14" s="101"/>
      <c r="B14" s="101"/>
      <c r="C14" s="240" t="s">
        <v>212</v>
      </c>
      <c r="D14" s="234" t="s">
        <v>86</v>
      </c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41"/>
    </row>
    <row r="15" spans="1:15" s="103" customFormat="1" ht="24.9" hidden="1" customHeight="1" x14ac:dyDescent="0.25">
      <c r="A15" s="101"/>
      <c r="B15" s="101"/>
      <c r="C15" s="240" t="s">
        <v>213</v>
      </c>
      <c r="D15" s="238">
        <v>131703</v>
      </c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>
        <f>SUM(E15:N15)</f>
        <v>0</v>
      </c>
    </row>
    <row r="16" spans="1:15" s="103" customFormat="1" ht="24.9" hidden="1" customHeight="1" x14ac:dyDescent="0.25">
      <c r="A16" s="725"/>
      <c r="B16" s="725"/>
      <c r="C16" s="612" t="s">
        <v>1091</v>
      </c>
      <c r="D16" s="663">
        <v>121319</v>
      </c>
      <c r="E16" s="508"/>
      <c r="F16" s="508"/>
      <c r="G16" s="508"/>
      <c r="H16" s="508"/>
      <c r="I16" s="508"/>
      <c r="J16" s="508"/>
      <c r="K16" s="508"/>
      <c r="L16" s="508"/>
      <c r="M16" s="508"/>
      <c r="N16" s="508"/>
      <c r="O16" s="230">
        <f>SUM(E16:N16)</f>
        <v>0</v>
      </c>
    </row>
    <row r="17" spans="1:15" s="103" customFormat="1" ht="24.9" hidden="1" customHeight="1" x14ac:dyDescent="0.25">
      <c r="A17" s="465"/>
      <c r="B17" s="465"/>
      <c r="C17" s="488" t="s">
        <v>215</v>
      </c>
      <c r="D17" s="505"/>
      <c r="E17" s="461"/>
      <c r="F17" s="461"/>
      <c r="G17" s="461"/>
      <c r="H17" s="461"/>
      <c r="I17" s="461"/>
      <c r="J17" s="461"/>
      <c r="K17" s="461"/>
      <c r="L17" s="461"/>
      <c r="M17" s="461"/>
      <c r="N17" s="461"/>
      <c r="O17" s="230"/>
    </row>
    <row r="18" spans="1:15" s="103" customFormat="1" ht="24.9" hidden="1" customHeight="1" x14ac:dyDescent="0.25">
      <c r="A18" s="465"/>
      <c r="B18" s="465"/>
      <c r="C18" s="467" t="s">
        <v>948</v>
      </c>
      <c r="D18" s="489">
        <v>132937</v>
      </c>
      <c r="E18" s="461"/>
      <c r="F18" s="461"/>
      <c r="G18" s="461"/>
      <c r="H18" s="461"/>
      <c r="I18" s="461"/>
      <c r="J18" s="461"/>
      <c r="K18" s="461"/>
      <c r="L18" s="461"/>
      <c r="M18" s="461"/>
      <c r="N18" s="461"/>
      <c r="O18" s="230">
        <f t="shared" ref="O18" si="2">SUM(E18:N18)</f>
        <v>0</v>
      </c>
    </row>
    <row r="19" spans="1:15" s="103" customFormat="1" ht="25.5" hidden="1" customHeight="1" x14ac:dyDescent="0.25">
      <c r="A19" s="101"/>
      <c r="B19" s="101"/>
      <c r="C19" s="231" t="s">
        <v>740</v>
      </c>
      <c r="D19" s="238"/>
      <c r="E19" s="343"/>
      <c r="F19" s="343"/>
      <c r="G19" s="343"/>
      <c r="H19" s="343"/>
      <c r="I19" s="230"/>
      <c r="J19" s="230"/>
      <c r="K19" s="230"/>
      <c r="L19" s="230"/>
      <c r="M19" s="230"/>
      <c r="N19" s="230"/>
      <c r="O19" s="230"/>
    </row>
    <row r="20" spans="1:15" s="103" customFormat="1" ht="24.9" hidden="1" customHeight="1" x14ac:dyDescent="0.25">
      <c r="A20" s="101"/>
      <c r="B20" s="101"/>
      <c r="C20" s="242" t="s">
        <v>741</v>
      </c>
      <c r="D20" s="238">
        <v>131508</v>
      </c>
      <c r="E20" s="230"/>
      <c r="F20" s="343"/>
      <c r="G20" s="343"/>
      <c r="H20" s="343"/>
      <c r="I20" s="230"/>
      <c r="J20" s="230"/>
      <c r="K20" s="230"/>
      <c r="L20" s="230"/>
      <c r="M20" s="230"/>
      <c r="N20" s="230"/>
      <c r="O20" s="230">
        <f t="shared" ref="O20:O29" si="3">SUM(E20:N20)</f>
        <v>0</v>
      </c>
    </row>
    <row r="21" spans="1:15" s="103" customFormat="1" ht="24.75" hidden="1" customHeight="1" x14ac:dyDescent="0.25">
      <c r="A21" s="101"/>
      <c r="B21" s="101"/>
      <c r="C21" s="242" t="s">
        <v>742</v>
      </c>
      <c r="D21" s="238">
        <v>131509</v>
      </c>
      <c r="E21" s="230"/>
      <c r="F21" s="343"/>
      <c r="G21" s="343"/>
      <c r="H21" s="343"/>
      <c r="I21" s="230"/>
      <c r="J21" s="230"/>
      <c r="K21" s="230"/>
      <c r="L21" s="230"/>
      <c r="M21" s="230"/>
      <c r="N21" s="230"/>
      <c r="O21" s="230">
        <f t="shared" si="3"/>
        <v>0</v>
      </c>
    </row>
    <row r="22" spans="1:15" s="103" customFormat="1" ht="24.75" customHeight="1" x14ac:dyDescent="0.25">
      <c r="A22" s="465"/>
      <c r="B22" s="465"/>
      <c r="C22" s="468" t="s">
        <v>426</v>
      </c>
      <c r="D22" s="489"/>
      <c r="E22" s="461"/>
      <c r="F22" s="462"/>
      <c r="G22" s="462"/>
      <c r="H22" s="462"/>
      <c r="I22" s="461"/>
      <c r="J22" s="461"/>
      <c r="K22" s="461"/>
      <c r="L22" s="461"/>
      <c r="M22" s="461"/>
      <c r="N22" s="461"/>
      <c r="O22" s="230"/>
    </row>
    <row r="23" spans="1:15" s="103" customFormat="1" ht="24.75" hidden="1" customHeight="1" x14ac:dyDescent="0.25">
      <c r="A23" s="674"/>
      <c r="B23" s="674"/>
      <c r="C23" s="143" t="s">
        <v>427</v>
      </c>
      <c r="D23" s="675">
        <v>131827</v>
      </c>
      <c r="E23" s="676"/>
      <c r="F23" s="677"/>
      <c r="G23" s="677"/>
      <c r="H23" s="677"/>
      <c r="I23" s="676"/>
      <c r="J23" s="676"/>
      <c r="K23" s="676"/>
      <c r="L23" s="676"/>
      <c r="M23" s="676"/>
      <c r="N23" s="676"/>
      <c r="O23" s="230">
        <f t="shared" si="3"/>
        <v>0</v>
      </c>
    </row>
    <row r="24" spans="1:15" s="103" customFormat="1" ht="24.75" hidden="1" customHeight="1" x14ac:dyDescent="0.25">
      <c r="A24" s="465"/>
      <c r="B24" s="465"/>
      <c r="C24" s="471" t="s">
        <v>949</v>
      </c>
      <c r="D24" s="489">
        <v>191801</v>
      </c>
      <c r="E24" s="461"/>
      <c r="F24" s="462"/>
      <c r="G24" s="462"/>
      <c r="H24" s="462"/>
      <c r="I24" s="461"/>
      <c r="J24" s="461"/>
      <c r="K24" s="461"/>
      <c r="L24" s="461"/>
      <c r="M24" s="461"/>
      <c r="N24" s="461"/>
      <c r="O24" s="230">
        <f t="shared" si="3"/>
        <v>0</v>
      </c>
    </row>
    <row r="25" spans="1:15" s="103" customFormat="1" ht="24.75" customHeight="1" x14ac:dyDescent="0.25">
      <c r="A25" s="782"/>
      <c r="B25" s="782"/>
      <c r="C25" s="818" t="s">
        <v>869</v>
      </c>
      <c r="D25" s="784">
        <v>221966</v>
      </c>
      <c r="E25" s="785"/>
      <c r="F25" s="786"/>
      <c r="G25" s="786"/>
      <c r="H25" s="786"/>
      <c r="I25" s="785"/>
      <c r="J25" s="785">
        <v>9221</v>
      </c>
      <c r="K25" s="785"/>
      <c r="L25" s="785"/>
      <c r="M25" s="785"/>
      <c r="N25" s="785"/>
      <c r="O25" s="230">
        <f t="shared" si="3"/>
        <v>9221</v>
      </c>
    </row>
    <row r="26" spans="1:15" s="103" customFormat="1" ht="24.75" customHeight="1" x14ac:dyDescent="0.25">
      <c r="A26" s="674"/>
      <c r="B26" s="674"/>
      <c r="C26" s="664" t="s">
        <v>359</v>
      </c>
      <c r="D26" s="675"/>
      <c r="E26" s="676"/>
      <c r="F26" s="677"/>
      <c r="G26" s="677"/>
      <c r="H26" s="677"/>
      <c r="I26" s="676"/>
      <c r="J26" s="676"/>
      <c r="K26" s="676"/>
      <c r="L26" s="676"/>
      <c r="M26" s="676"/>
      <c r="N26" s="676"/>
      <c r="O26" s="230"/>
    </row>
    <row r="27" spans="1:15" s="103" customFormat="1" ht="24.75" hidden="1" customHeight="1" x14ac:dyDescent="0.25">
      <c r="A27" s="674"/>
      <c r="B27" s="674"/>
      <c r="C27" s="712" t="s">
        <v>1055</v>
      </c>
      <c r="D27" s="675">
        <v>131313</v>
      </c>
      <c r="E27" s="676"/>
      <c r="F27" s="677"/>
      <c r="G27" s="677"/>
      <c r="H27" s="677"/>
      <c r="I27" s="676"/>
      <c r="J27" s="676"/>
      <c r="K27" s="676"/>
      <c r="L27" s="676"/>
      <c r="M27" s="676"/>
      <c r="N27" s="676"/>
      <c r="O27" s="230">
        <f t="shared" si="3"/>
        <v>0</v>
      </c>
    </row>
    <row r="28" spans="1:15" s="103" customFormat="1" ht="24.75" hidden="1" customHeight="1" x14ac:dyDescent="0.25">
      <c r="A28" s="782"/>
      <c r="B28" s="782"/>
      <c r="C28" s="783" t="s">
        <v>1134</v>
      </c>
      <c r="D28" s="784">
        <v>132944</v>
      </c>
      <c r="E28" s="785"/>
      <c r="F28" s="786"/>
      <c r="G28" s="786"/>
      <c r="H28" s="786"/>
      <c r="I28" s="785"/>
      <c r="J28" s="785"/>
      <c r="K28" s="785"/>
      <c r="L28" s="785"/>
      <c r="M28" s="785"/>
      <c r="N28" s="785"/>
      <c r="O28" s="230">
        <f t="shared" si="3"/>
        <v>0</v>
      </c>
    </row>
    <row r="29" spans="1:15" s="103" customFormat="1" ht="19.95" customHeight="1" x14ac:dyDescent="0.25">
      <c r="A29" s="725"/>
      <c r="B29" s="725"/>
      <c r="C29" s="546" t="s">
        <v>1092</v>
      </c>
      <c r="D29" s="751">
        <v>131329</v>
      </c>
      <c r="E29" s="508"/>
      <c r="F29" s="522"/>
      <c r="G29" s="522"/>
      <c r="H29" s="508">
        <v>700</v>
      </c>
      <c r="I29" s="508"/>
      <c r="J29" s="508">
        <v>3200</v>
      </c>
      <c r="K29" s="508"/>
      <c r="L29" s="508"/>
      <c r="M29" s="508"/>
      <c r="N29" s="508"/>
      <c r="O29" s="230">
        <f t="shared" si="3"/>
        <v>3900</v>
      </c>
    </row>
    <row r="30" spans="1:15" s="103" customFormat="1" ht="13.5" customHeight="1" x14ac:dyDescent="0.25">
      <c r="A30" s="104"/>
      <c r="B30" s="104"/>
      <c r="C30" s="235" t="s">
        <v>214</v>
      </c>
      <c r="D30" s="243"/>
      <c r="E30" s="236">
        <f>SUM(E11:E29)</f>
        <v>150</v>
      </c>
      <c r="F30" s="236">
        <f t="shared" ref="F30:O30" si="4">SUM(F11:F29)</f>
        <v>0</v>
      </c>
      <c r="G30" s="236">
        <f t="shared" si="4"/>
        <v>0</v>
      </c>
      <c r="H30" s="236">
        <f t="shared" si="4"/>
        <v>700</v>
      </c>
      <c r="I30" s="236">
        <f t="shared" si="4"/>
        <v>0</v>
      </c>
      <c r="J30" s="236">
        <f t="shared" si="4"/>
        <v>12421</v>
      </c>
      <c r="K30" s="236">
        <f t="shared" si="4"/>
        <v>0</v>
      </c>
      <c r="L30" s="236">
        <f t="shared" si="4"/>
        <v>0</v>
      </c>
      <c r="M30" s="236">
        <f t="shared" si="4"/>
        <v>0</v>
      </c>
      <c r="N30" s="236">
        <f t="shared" si="4"/>
        <v>0</v>
      </c>
      <c r="O30" s="236">
        <f t="shared" si="4"/>
        <v>13271</v>
      </c>
    </row>
    <row r="31" spans="1:15" s="103" customFormat="1" ht="13.5" customHeight="1" x14ac:dyDescent="0.25">
      <c r="A31" s="244">
        <v>1</v>
      </c>
      <c r="B31" s="244">
        <v>14</v>
      </c>
      <c r="C31" s="245" t="s">
        <v>175</v>
      </c>
      <c r="D31" s="244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</row>
    <row r="32" spans="1:15" s="103" customFormat="1" ht="24" hidden="1" customHeight="1" x14ac:dyDescent="0.25">
      <c r="A32" s="101"/>
      <c r="B32" s="101"/>
      <c r="C32" s="239" t="s">
        <v>215</v>
      </c>
      <c r="D32" s="244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</row>
    <row r="33" spans="1:16" s="103" customFormat="1" ht="19.5" hidden="1" customHeight="1" x14ac:dyDescent="0.25">
      <c r="A33" s="101"/>
      <c r="B33" s="101"/>
      <c r="C33" s="246" t="s">
        <v>216</v>
      </c>
      <c r="D33" s="102">
        <v>171967</v>
      </c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>
        <f>SUM(E33:N33)</f>
        <v>0</v>
      </c>
    </row>
    <row r="34" spans="1:16" s="103" customFormat="1" ht="15.75" hidden="1" customHeight="1" x14ac:dyDescent="0.25">
      <c r="A34" s="101"/>
      <c r="B34" s="101"/>
      <c r="C34" s="247" t="s">
        <v>743</v>
      </c>
      <c r="D34" s="248">
        <v>164903</v>
      </c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>
        <f>SUM(E34:N34)</f>
        <v>0</v>
      </c>
      <c r="P34" s="402"/>
    </row>
    <row r="35" spans="1:16" s="103" customFormat="1" ht="13.5" customHeight="1" x14ac:dyDescent="0.25">
      <c r="A35" s="112"/>
      <c r="B35" s="112"/>
      <c r="C35" s="235" t="s">
        <v>217</v>
      </c>
      <c r="D35" s="344"/>
      <c r="E35" s="256"/>
      <c r="F35" s="256"/>
      <c r="G35" s="256"/>
      <c r="H35" s="256">
        <f>SUM(H33:H34)</f>
        <v>0</v>
      </c>
      <c r="I35" s="256">
        <f t="shared" ref="I35:O35" si="5">SUM(I33:I34)</f>
        <v>0</v>
      </c>
      <c r="J35" s="256">
        <f t="shared" si="5"/>
        <v>0</v>
      </c>
      <c r="K35" s="256">
        <f t="shared" si="5"/>
        <v>0</v>
      </c>
      <c r="L35" s="256">
        <f t="shared" si="5"/>
        <v>0</v>
      </c>
      <c r="M35" s="256">
        <f t="shared" si="5"/>
        <v>0</v>
      </c>
      <c r="N35" s="256">
        <f t="shared" si="5"/>
        <v>0</v>
      </c>
      <c r="O35" s="256">
        <f t="shared" si="5"/>
        <v>0</v>
      </c>
    </row>
    <row r="36" spans="1:16" s="98" customFormat="1" ht="13.5" customHeight="1" x14ac:dyDescent="0.25">
      <c r="A36" s="106">
        <v>1</v>
      </c>
      <c r="B36" s="106">
        <v>15</v>
      </c>
      <c r="C36" s="225" t="s">
        <v>127</v>
      </c>
      <c r="D36" s="113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</row>
    <row r="37" spans="1:16" s="98" customFormat="1" ht="24.9" customHeight="1" x14ac:dyDescent="0.25">
      <c r="A37" s="106"/>
      <c r="B37" s="106"/>
      <c r="C37" s="242" t="s">
        <v>218</v>
      </c>
      <c r="D37" s="258"/>
      <c r="E37" s="114"/>
      <c r="F37" s="217"/>
      <c r="G37" s="217"/>
      <c r="H37" s="217"/>
      <c r="I37" s="217"/>
      <c r="J37" s="217"/>
      <c r="K37" s="217"/>
      <c r="L37" s="217"/>
      <c r="M37" s="217"/>
      <c r="N37" s="217"/>
      <c r="O37" s="217"/>
    </row>
    <row r="38" spans="1:16" s="98" customFormat="1" ht="21" customHeight="1" x14ac:dyDescent="0.25">
      <c r="A38" s="106"/>
      <c r="B38" s="106"/>
      <c r="C38" s="246" t="s">
        <v>219</v>
      </c>
      <c r="D38" s="258">
        <v>151906</v>
      </c>
      <c r="E38" s="217"/>
      <c r="F38" s="217"/>
      <c r="G38" s="217"/>
      <c r="H38" s="217">
        <v>11035</v>
      </c>
      <c r="I38" s="345"/>
      <c r="J38" s="345"/>
      <c r="K38" s="345"/>
      <c r="L38" s="345"/>
      <c r="M38" s="345"/>
      <c r="N38" s="217"/>
      <c r="O38" s="217">
        <f>SUM(E38:N38)</f>
        <v>11035</v>
      </c>
    </row>
    <row r="39" spans="1:16" s="98" customFormat="1" ht="15" customHeight="1" x14ac:dyDescent="0.25">
      <c r="A39" s="106"/>
      <c r="B39" s="106"/>
      <c r="C39" s="233" t="s">
        <v>220</v>
      </c>
      <c r="D39" s="346" t="s">
        <v>221</v>
      </c>
      <c r="E39" s="217"/>
      <c r="F39" s="217"/>
      <c r="G39" s="217"/>
      <c r="H39" s="217">
        <v>43143</v>
      </c>
      <c r="I39" s="345"/>
      <c r="J39" s="345"/>
      <c r="K39" s="345"/>
      <c r="L39" s="345"/>
      <c r="M39" s="345"/>
      <c r="N39" s="217"/>
      <c r="O39" s="217">
        <f>SUM(E39:N39)</f>
        <v>43143</v>
      </c>
    </row>
    <row r="40" spans="1:16" s="98" customFormat="1" ht="15" hidden="1" customHeight="1" x14ac:dyDescent="0.25">
      <c r="A40" s="106"/>
      <c r="B40" s="106"/>
      <c r="C40" s="233" t="s">
        <v>222</v>
      </c>
      <c r="D40" s="346" t="s">
        <v>223</v>
      </c>
      <c r="E40" s="217"/>
      <c r="F40" s="217"/>
      <c r="G40" s="217"/>
      <c r="H40" s="217"/>
      <c r="I40" s="345"/>
      <c r="J40" s="345"/>
      <c r="K40" s="345"/>
      <c r="L40" s="345"/>
      <c r="M40" s="345"/>
      <c r="N40" s="217"/>
      <c r="O40" s="217">
        <f>SUM(E40:N40)</f>
        <v>0</v>
      </c>
    </row>
    <row r="41" spans="1:16" s="98" customFormat="1" ht="20.25" hidden="1" customHeight="1" x14ac:dyDescent="0.25">
      <c r="A41" s="509"/>
      <c r="B41" s="509"/>
      <c r="C41" s="660" t="s">
        <v>1035</v>
      </c>
      <c r="D41" s="661" t="s">
        <v>1036</v>
      </c>
      <c r="E41" s="508"/>
      <c r="F41" s="508"/>
      <c r="G41" s="508"/>
      <c r="H41" s="508"/>
      <c r="I41" s="522"/>
      <c r="J41" s="522"/>
      <c r="K41" s="522"/>
      <c r="L41" s="522"/>
      <c r="M41" s="522"/>
      <c r="N41" s="508"/>
      <c r="O41" s="217">
        <f>SUM(E41:N41)</f>
        <v>0</v>
      </c>
    </row>
    <row r="42" spans="1:16" s="98" customFormat="1" ht="15" hidden="1" customHeight="1" x14ac:dyDescent="0.25">
      <c r="A42" s="106"/>
      <c r="B42" s="106"/>
      <c r="C42" s="249" t="s">
        <v>224</v>
      </c>
      <c r="D42" s="347"/>
      <c r="E42" s="217"/>
      <c r="F42" s="217"/>
      <c r="G42" s="217"/>
      <c r="H42" s="217"/>
      <c r="I42" s="345"/>
      <c r="J42" s="345"/>
      <c r="K42" s="345"/>
      <c r="L42" s="345"/>
      <c r="M42" s="345"/>
      <c r="N42" s="217"/>
      <c r="O42" s="217"/>
    </row>
    <row r="43" spans="1:16" s="98" customFormat="1" ht="15" hidden="1" customHeight="1" x14ac:dyDescent="0.25">
      <c r="A43" s="106"/>
      <c r="B43" s="106"/>
      <c r="C43" s="233" t="s">
        <v>225</v>
      </c>
      <c r="D43" s="346" t="s">
        <v>226</v>
      </c>
      <c r="E43" s="217"/>
      <c r="F43" s="217"/>
      <c r="G43" s="217"/>
      <c r="H43" s="217"/>
      <c r="I43" s="345"/>
      <c r="J43" s="345"/>
      <c r="K43" s="345"/>
      <c r="L43" s="345"/>
      <c r="M43" s="345"/>
      <c r="N43" s="217"/>
      <c r="O43" s="217">
        <f>SUM(E43:N43)</f>
        <v>0</v>
      </c>
    </row>
    <row r="44" spans="1:16" s="98" customFormat="1" ht="15" hidden="1" customHeight="1" x14ac:dyDescent="0.25">
      <c r="A44" s="106"/>
      <c r="B44" s="106"/>
      <c r="C44" s="348" t="s">
        <v>227</v>
      </c>
      <c r="D44" s="346" t="s">
        <v>228</v>
      </c>
      <c r="E44" s="217"/>
      <c r="F44" s="217"/>
      <c r="G44" s="217"/>
      <c r="H44" s="217"/>
      <c r="I44" s="345"/>
      <c r="J44" s="345"/>
      <c r="K44" s="345"/>
      <c r="L44" s="345"/>
      <c r="M44" s="345"/>
      <c r="N44" s="217"/>
      <c r="O44" s="217">
        <f>SUM(E44:N44)</f>
        <v>0</v>
      </c>
    </row>
    <row r="45" spans="1:16" s="98" customFormat="1" ht="18" hidden="1" customHeight="1" x14ac:dyDescent="0.25">
      <c r="A45" s="106"/>
      <c r="B45" s="106"/>
      <c r="C45" s="393" t="s">
        <v>490</v>
      </c>
      <c r="D45" s="349" t="s">
        <v>744</v>
      </c>
      <c r="E45" s="217"/>
      <c r="F45" s="217"/>
      <c r="G45" s="217"/>
      <c r="H45" s="345"/>
      <c r="I45" s="345"/>
      <c r="J45" s="345"/>
      <c r="K45" s="345"/>
      <c r="L45" s="345"/>
      <c r="M45" s="217"/>
      <c r="N45" s="217"/>
      <c r="O45" s="217">
        <f t="shared" ref="O45:O47" si="6">SUM(E45:N45)</f>
        <v>0</v>
      </c>
    </row>
    <row r="46" spans="1:16" s="98" customFormat="1" ht="18" hidden="1" customHeight="1" x14ac:dyDescent="0.25">
      <c r="A46" s="509"/>
      <c r="B46" s="509"/>
      <c r="C46" s="142" t="s">
        <v>229</v>
      </c>
      <c r="D46" s="753"/>
      <c r="E46" s="508"/>
      <c r="F46" s="508"/>
      <c r="G46" s="508"/>
      <c r="H46" s="522"/>
      <c r="I46" s="522"/>
      <c r="J46" s="522"/>
      <c r="K46" s="522"/>
      <c r="L46" s="522"/>
      <c r="M46" s="508"/>
      <c r="N46" s="508"/>
      <c r="O46" s="508"/>
    </row>
    <row r="47" spans="1:16" s="98" customFormat="1" ht="18" hidden="1" customHeight="1" x14ac:dyDescent="0.25">
      <c r="A47" s="509"/>
      <c r="B47" s="509"/>
      <c r="C47" s="752" t="s">
        <v>1093</v>
      </c>
      <c r="D47" s="753" t="s">
        <v>1094</v>
      </c>
      <c r="E47" s="508"/>
      <c r="F47" s="508"/>
      <c r="G47" s="508"/>
      <c r="H47" s="508"/>
      <c r="I47" s="522"/>
      <c r="J47" s="522"/>
      <c r="K47" s="522"/>
      <c r="L47" s="522"/>
      <c r="M47" s="508"/>
      <c r="N47" s="508"/>
      <c r="O47" s="217">
        <f t="shared" si="6"/>
        <v>0</v>
      </c>
    </row>
    <row r="48" spans="1:16" s="98" customFormat="1" ht="22.5" customHeight="1" x14ac:dyDescent="0.25">
      <c r="A48" s="106"/>
      <c r="B48" s="106"/>
      <c r="C48" s="246" t="s">
        <v>230</v>
      </c>
      <c r="D48" s="349"/>
      <c r="E48" s="217"/>
      <c r="F48" s="217"/>
      <c r="G48" s="217"/>
      <c r="H48" s="217"/>
      <c r="I48" s="345"/>
      <c r="J48" s="345"/>
      <c r="K48" s="345"/>
      <c r="L48" s="345"/>
      <c r="M48" s="345"/>
      <c r="N48" s="217"/>
      <c r="O48" s="217"/>
    </row>
    <row r="49" spans="1:15" s="98" customFormat="1" ht="24.9" customHeight="1" x14ac:dyDescent="0.25">
      <c r="A49" s="106"/>
      <c r="B49" s="106"/>
      <c r="C49" s="477" t="s">
        <v>231</v>
      </c>
      <c r="D49" s="478" t="s">
        <v>232</v>
      </c>
      <c r="E49" s="217"/>
      <c r="F49" s="217"/>
      <c r="G49" s="217"/>
      <c r="H49" s="217">
        <v>98122</v>
      </c>
      <c r="I49" s="345"/>
      <c r="J49" s="345"/>
      <c r="K49" s="345"/>
      <c r="L49" s="345"/>
      <c r="M49" s="345"/>
      <c r="N49" s="217"/>
      <c r="O49" s="217">
        <f>SUM(E49:N49)</f>
        <v>98122</v>
      </c>
    </row>
    <row r="50" spans="1:15" s="98" customFormat="1" ht="22.95" hidden="1" customHeight="1" x14ac:dyDescent="0.25">
      <c r="A50" s="713"/>
      <c r="B50" s="713"/>
      <c r="C50" s="714" t="s">
        <v>931</v>
      </c>
      <c r="D50" s="715"/>
      <c r="E50" s="676"/>
      <c r="F50" s="676"/>
      <c r="G50" s="676"/>
      <c r="H50" s="676"/>
      <c r="I50" s="677"/>
      <c r="J50" s="677"/>
      <c r="K50" s="677"/>
      <c r="L50" s="677"/>
      <c r="M50" s="677"/>
      <c r="N50" s="676"/>
      <c r="O50" s="217"/>
    </row>
    <row r="51" spans="1:15" s="98" customFormat="1" ht="19.5" hidden="1" customHeight="1" x14ac:dyDescent="0.25">
      <c r="A51" s="713"/>
      <c r="B51" s="713"/>
      <c r="C51" s="662" t="s">
        <v>1056</v>
      </c>
      <c r="D51" s="715" t="s">
        <v>1057</v>
      </c>
      <c r="E51" s="676"/>
      <c r="F51" s="676"/>
      <c r="G51" s="676"/>
      <c r="H51" s="676"/>
      <c r="I51" s="677"/>
      <c r="J51" s="677"/>
      <c r="K51" s="676"/>
      <c r="L51" s="677"/>
      <c r="M51" s="677"/>
      <c r="N51" s="676"/>
      <c r="O51" s="217">
        <f t="shared" ref="O51:O57" si="7">SUM(E51:N51)</f>
        <v>0</v>
      </c>
    </row>
    <row r="52" spans="1:15" s="98" customFormat="1" ht="35.25" customHeight="1" x14ac:dyDescent="0.25">
      <c r="A52" s="787"/>
      <c r="B52" s="787"/>
      <c r="C52" s="739" t="s">
        <v>1142</v>
      </c>
      <c r="D52" s="819"/>
      <c r="E52" s="785"/>
      <c r="F52" s="785"/>
      <c r="G52" s="785"/>
      <c r="H52" s="785"/>
      <c r="I52" s="786"/>
      <c r="J52" s="786"/>
      <c r="K52" s="785"/>
      <c r="L52" s="786"/>
      <c r="M52" s="786"/>
      <c r="N52" s="785"/>
      <c r="O52" s="217"/>
    </row>
    <row r="53" spans="1:15" s="98" customFormat="1" ht="19.5" customHeight="1" x14ac:dyDescent="0.25">
      <c r="A53" s="787"/>
      <c r="B53" s="787"/>
      <c r="C53" s="739" t="s">
        <v>1143</v>
      </c>
      <c r="D53" s="819" t="s">
        <v>1144</v>
      </c>
      <c r="E53" s="785"/>
      <c r="F53" s="785"/>
      <c r="G53" s="785"/>
      <c r="H53" s="785">
        <v>2031</v>
      </c>
      <c r="I53" s="786"/>
      <c r="J53" s="786"/>
      <c r="K53" s="785"/>
      <c r="L53" s="786"/>
      <c r="M53" s="786"/>
      <c r="N53" s="785"/>
      <c r="O53" s="217">
        <f t="shared" si="7"/>
        <v>2031</v>
      </c>
    </row>
    <row r="54" spans="1:15" s="98" customFormat="1" ht="19.5" customHeight="1" x14ac:dyDescent="0.25">
      <c r="A54" s="787"/>
      <c r="B54" s="787"/>
      <c r="C54" s="820" t="s">
        <v>507</v>
      </c>
      <c r="D54" s="819"/>
      <c r="E54" s="785"/>
      <c r="F54" s="785"/>
      <c r="G54" s="785"/>
      <c r="H54" s="785"/>
      <c r="I54" s="786"/>
      <c r="J54" s="786"/>
      <c r="K54" s="785"/>
      <c r="L54" s="786"/>
      <c r="M54" s="786"/>
      <c r="N54" s="785"/>
      <c r="O54" s="217"/>
    </row>
    <row r="55" spans="1:15" s="98" customFormat="1" ht="19.5" customHeight="1" x14ac:dyDescent="0.25">
      <c r="A55" s="787"/>
      <c r="B55" s="787"/>
      <c r="C55" s="820" t="s">
        <v>508</v>
      </c>
      <c r="D55" s="819" t="s">
        <v>1145</v>
      </c>
      <c r="E55" s="785"/>
      <c r="F55" s="785"/>
      <c r="G55" s="785"/>
      <c r="H55" s="785">
        <v>8890</v>
      </c>
      <c r="I55" s="786"/>
      <c r="J55" s="786"/>
      <c r="K55" s="785"/>
      <c r="L55" s="786"/>
      <c r="M55" s="786"/>
      <c r="N55" s="785"/>
      <c r="O55" s="217">
        <f t="shared" si="7"/>
        <v>8890</v>
      </c>
    </row>
    <row r="56" spans="1:15" s="98" customFormat="1" ht="19.5" customHeight="1" x14ac:dyDescent="0.25">
      <c r="A56" s="787"/>
      <c r="B56" s="787"/>
      <c r="C56" s="820" t="s">
        <v>512</v>
      </c>
      <c r="D56" s="819"/>
      <c r="E56" s="785"/>
      <c r="F56" s="785"/>
      <c r="G56" s="785"/>
      <c r="H56" s="785"/>
      <c r="I56" s="786"/>
      <c r="J56" s="786"/>
      <c r="K56" s="785"/>
      <c r="L56" s="786"/>
      <c r="M56" s="786"/>
      <c r="N56" s="785"/>
      <c r="O56" s="217"/>
    </row>
    <row r="57" spans="1:15" s="98" customFormat="1" ht="19.5" customHeight="1" x14ac:dyDescent="0.25">
      <c r="A57" s="787"/>
      <c r="B57" s="787"/>
      <c r="C57" s="739" t="s">
        <v>1146</v>
      </c>
      <c r="D57" s="819" t="s">
        <v>1147</v>
      </c>
      <c r="E57" s="785"/>
      <c r="F57" s="785"/>
      <c r="G57" s="785"/>
      <c r="H57" s="785">
        <v>2752</v>
      </c>
      <c r="I57" s="786"/>
      <c r="J57" s="786"/>
      <c r="K57" s="785"/>
      <c r="L57" s="786"/>
      <c r="M57" s="786"/>
      <c r="N57" s="785"/>
      <c r="O57" s="217">
        <f t="shared" si="7"/>
        <v>2752</v>
      </c>
    </row>
    <row r="58" spans="1:15" s="98" customFormat="1" ht="12.9" customHeight="1" x14ac:dyDescent="0.25">
      <c r="A58" s="112"/>
      <c r="B58" s="112"/>
      <c r="C58" s="394" t="s">
        <v>233</v>
      </c>
      <c r="D58" s="112"/>
      <c r="E58" s="256">
        <f>SUM(E37:E57)</f>
        <v>0</v>
      </c>
      <c r="F58" s="256">
        <f t="shared" ref="F58:O58" si="8">SUM(F37:F57)</f>
        <v>0</v>
      </c>
      <c r="G58" s="256">
        <f t="shared" si="8"/>
        <v>0</v>
      </c>
      <c r="H58" s="256">
        <f t="shared" si="8"/>
        <v>165973</v>
      </c>
      <c r="I58" s="256">
        <f t="shared" si="8"/>
        <v>0</v>
      </c>
      <c r="J58" s="256">
        <f t="shared" si="8"/>
        <v>0</v>
      </c>
      <c r="K58" s="256">
        <f t="shared" si="8"/>
        <v>0</v>
      </c>
      <c r="L58" s="256">
        <f t="shared" si="8"/>
        <v>0</v>
      </c>
      <c r="M58" s="256">
        <f t="shared" si="8"/>
        <v>0</v>
      </c>
      <c r="N58" s="256">
        <f t="shared" si="8"/>
        <v>0</v>
      </c>
      <c r="O58" s="256">
        <f t="shared" si="8"/>
        <v>165973</v>
      </c>
    </row>
    <row r="59" spans="1:15" s="98" customFormat="1" ht="12.9" customHeight="1" x14ac:dyDescent="0.25">
      <c r="A59" s="106">
        <v>1</v>
      </c>
      <c r="B59" s="106" t="s">
        <v>84</v>
      </c>
      <c r="C59" s="225" t="s">
        <v>116</v>
      </c>
      <c r="D59" s="113"/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7"/>
    </row>
    <row r="60" spans="1:15" s="98" customFormat="1" ht="21" hidden="1" customHeight="1" x14ac:dyDescent="0.25">
      <c r="A60" s="106"/>
      <c r="B60" s="106"/>
      <c r="C60" s="246" t="s">
        <v>234</v>
      </c>
      <c r="D60" s="258"/>
      <c r="E60" s="350"/>
      <c r="F60" s="217"/>
      <c r="G60" s="217"/>
      <c r="H60" s="217"/>
      <c r="I60" s="217"/>
      <c r="J60" s="217"/>
      <c r="K60" s="217"/>
      <c r="L60" s="217"/>
      <c r="M60" s="217"/>
      <c r="N60" s="217"/>
      <c r="O60" s="217"/>
    </row>
    <row r="61" spans="1:15" s="98" customFormat="1" ht="26.25" hidden="1" customHeight="1" x14ac:dyDescent="0.25">
      <c r="A61" s="106"/>
      <c r="B61" s="106"/>
      <c r="C61" s="231" t="s">
        <v>745</v>
      </c>
      <c r="D61" s="269">
        <v>161909</v>
      </c>
      <c r="E61" s="252"/>
      <c r="F61" s="252"/>
      <c r="G61" s="252"/>
      <c r="H61" s="252"/>
      <c r="I61" s="252"/>
      <c r="J61" s="252"/>
      <c r="K61" s="252"/>
      <c r="L61" s="252"/>
      <c r="M61" s="252"/>
      <c r="N61" s="252"/>
      <c r="O61" s="217">
        <f>SUM(E61:N61)</f>
        <v>0</v>
      </c>
    </row>
    <row r="62" spans="1:15" s="98" customFormat="1" ht="19.2" hidden="1" customHeight="1" x14ac:dyDescent="0.25">
      <c r="A62" s="106"/>
      <c r="B62" s="106"/>
      <c r="C62" s="231" t="s">
        <v>732</v>
      </c>
      <c r="D62" s="269">
        <v>164106</v>
      </c>
      <c r="E62" s="252"/>
      <c r="F62" s="252"/>
      <c r="G62" s="252"/>
      <c r="H62" s="252"/>
      <c r="I62" s="252"/>
      <c r="J62" s="252"/>
      <c r="K62" s="252"/>
      <c r="L62" s="252"/>
      <c r="M62" s="252"/>
      <c r="N62" s="252"/>
      <c r="O62" s="217">
        <f>SUM(E62:N62)</f>
        <v>0</v>
      </c>
    </row>
    <row r="63" spans="1:15" s="98" customFormat="1" ht="24" hidden="1" customHeight="1" x14ac:dyDescent="0.25">
      <c r="A63" s="106"/>
      <c r="B63" s="106"/>
      <c r="C63" s="231" t="s">
        <v>733</v>
      </c>
      <c r="D63" s="269">
        <v>164204</v>
      </c>
      <c r="E63" s="252"/>
      <c r="F63" s="252"/>
      <c r="G63" s="252"/>
      <c r="H63" s="252"/>
      <c r="I63" s="252"/>
      <c r="J63" s="252"/>
      <c r="K63" s="252"/>
      <c r="L63" s="252"/>
      <c r="M63" s="252"/>
      <c r="N63" s="252"/>
      <c r="O63" s="217">
        <f>SUM(E63:N63)</f>
        <v>0</v>
      </c>
    </row>
    <row r="64" spans="1:15" s="98" customFormat="1" ht="35.4" hidden="1" customHeight="1" x14ac:dyDescent="0.25">
      <c r="A64" s="106"/>
      <c r="B64" s="106"/>
      <c r="C64" s="250" t="s">
        <v>235</v>
      </c>
      <c r="D64" s="269">
        <v>164205</v>
      </c>
      <c r="E64" s="252"/>
      <c r="F64" s="252"/>
      <c r="G64" s="252"/>
      <c r="H64" s="252"/>
      <c r="I64" s="252"/>
      <c r="J64" s="252"/>
      <c r="K64" s="252"/>
      <c r="L64" s="252"/>
      <c r="M64" s="252"/>
      <c r="O64" s="217">
        <f>SUM(E64:N64)</f>
        <v>0</v>
      </c>
    </row>
    <row r="65" spans="1:15" s="98" customFormat="1" ht="38.25" hidden="1" customHeight="1" x14ac:dyDescent="0.25">
      <c r="A65" s="106"/>
      <c r="B65" s="106"/>
      <c r="C65" s="250" t="s">
        <v>236</v>
      </c>
      <c r="D65" s="269">
        <v>164206</v>
      </c>
      <c r="E65" s="252"/>
      <c r="F65" s="252"/>
      <c r="G65" s="252"/>
      <c r="H65" s="252"/>
      <c r="I65" s="252"/>
      <c r="J65" s="252"/>
      <c r="K65" s="252"/>
      <c r="L65" s="252"/>
      <c r="M65" s="252"/>
      <c r="N65" s="252"/>
      <c r="O65" s="217">
        <f t="shared" ref="O65:O67" si="9">SUM(E65:N65)</f>
        <v>0</v>
      </c>
    </row>
    <row r="66" spans="1:15" s="98" customFormat="1" ht="24.75" hidden="1" customHeight="1" x14ac:dyDescent="0.25">
      <c r="A66" s="378"/>
      <c r="B66" s="378"/>
      <c r="C66" s="395" t="s">
        <v>881</v>
      </c>
      <c r="D66" s="380">
        <v>164109</v>
      </c>
      <c r="E66" s="381"/>
      <c r="F66" s="381"/>
      <c r="G66" s="381"/>
      <c r="H66" s="381"/>
      <c r="I66" s="381"/>
      <c r="J66" s="381"/>
      <c r="K66" s="381"/>
      <c r="L66" s="381"/>
      <c r="M66" s="381"/>
      <c r="N66" s="381"/>
      <c r="O66" s="217">
        <f t="shared" si="9"/>
        <v>0</v>
      </c>
    </row>
    <row r="67" spans="1:15" s="98" customFormat="1" ht="39.75" hidden="1" customHeight="1" x14ac:dyDescent="0.25">
      <c r="A67" s="378"/>
      <c r="B67" s="378"/>
      <c r="C67" s="395" t="s">
        <v>914</v>
      </c>
      <c r="D67" s="380">
        <v>164207</v>
      </c>
      <c r="E67" s="381"/>
      <c r="F67" s="381"/>
      <c r="G67" s="381"/>
      <c r="H67" s="381"/>
      <c r="I67" s="381"/>
      <c r="J67" s="381"/>
      <c r="K67" s="381"/>
      <c r="L67" s="381"/>
      <c r="M67" s="381"/>
      <c r="N67" s="381"/>
      <c r="O67" s="217">
        <f t="shared" si="9"/>
        <v>0</v>
      </c>
    </row>
    <row r="68" spans="1:15" s="98" customFormat="1" ht="26.25" customHeight="1" x14ac:dyDescent="0.25">
      <c r="A68" s="106"/>
      <c r="B68" s="106"/>
      <c r="C68" s="246" t="s">
        <v>237</v>
      </c>
      <c r="D68" s="351"/>
      <c r="E68" s="252"/>
      <c r="F68" s="252"/>
      <c r="G68" s="252"/>
      <c r="H68" s="252"/>
      <c r="I68" s="252"/>
      <c r="J68" s="252"/>
      <c r="K68" s="252"/>
      <c r="L68" s="252"/>
      <c r="M68" s="252"/>
      <c r="N68" s="252"/>
      <c r="O68" s="217"/>
    </row>
    <row r="69" spans="1:15" s="98" customFormat="1" ht="19.5" hidden="1" customHeight="1" x14ac:dyDescent="0.25">
      <c r="A69" s="106"/>
      <c r="B69" s="106"/>
      <c r="C69" s="391" t="s">
        <v>238</v>
      </c>
      <c r="D69" s="251">
        <v>162607</v>
      </c>
      <c r="E69" s="252"/>
      <c r="F69" s="252"/>
      <c r="G69" s="252"/>
      <c r="H69" s="252"/>
      <c r="I69" s="252"/>
      <c r="J69" s="252"/>
      <c r="K69" s="252"/>
      <c r="L69" s="252"/>
      <c r="M69" s="252"/>
      <c r="N69" s="252"/>
      <c r="O69" s="217">
        <f t="shared" ref="O69:O111" si="10">SUM(E69:N69)</f>
        <v>0</v>
      </c>
    </row>
    <row r="70" spans="1:15" s="98" customFormat="1" ht="25.5" customHeight="1" x14ac:dyDescent="0.25">
      <c r="A70" s="106"/>
      <c r="B70" s="106"/>
      <c r="C70" s="107" t="s">
        <v>239</v>
      </c>
      <c r="D70" s="251">
        <v>162640</v>
      </c>
      <c r="E70" s="252"/>
      <c r="F70" s="252"/>
      <c r="G70" s="252"/>
      <c r="H70" s="252">
        <v>1194</v>
      </c>
      <c r="I70" s="252"/>
      <c r="J70" s="252"/>
      <c r="K70" s="252"/>
      <c r="L70" s="252"/>
      <c r="M70" s="252"/>
      <c r="N70" s="252"/>
      <c r="O70" s="217">
        <f t="shared" si="10"/>
        <v>1194</v>
      </c>
    </row>
    <row r="71" spans="1:15" s="98" customFormat="1" ht="72" customHeight="1" x14ac:dyDescent="0.25">
      <c r="A71" s="106"/>
      <c r="B71" s="106"/>
      <c r="C71" s="386" t="s">
        <v>240</v>
      </c>
      <c r="D71" s="248">
        <v>163607</v>
      </c>
      <c r="E71" s="252"/>
      <c r="F71" s="252">
        <v>260808</v>
      </c>
      <c r="G71" s="252"/>
      <c r="H71" s="252"/>
      <c r="I71" s="252"/>
      <c r="J71" s="252"/>
      <c r="K71" s="252"/>
      <c r="L71" s="252"/>
      <c r="M71" s="252"/>
      <c r="N71" s="252"/>
      <c r="O71" s="217">
        <f t="shared" si="10"/>
        <v>260808</v>
      </c>
    </row>
    <row r="72" spans="1:15" s="98" customFormat="1" ht="37.5" hidden="1" customHeight="1" x14ac:dyDescent="0.25">
      <c r="A72" s="106"/>
      <c r="B72" s="106"/>
      <c r="C72" s="386" t="s">
        <v>241</v>
      </c>
      <c r="D72" s="248">
        <v>163608</v>
      </c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17">
        <f t="shared" si="10"/>
        <v>0</v>
      </c>
    </row>
    <row r="73" spans="1:15" s="98" customFormat="1" ht="37.5" hidden="1" customHeight="1" x14ac:dyDescent="0.25">
      <c r="A73" s="106"/>
      <c r="B73" s="106"/>
      <c r="C73" s="386" t="s">
        <v>242</v>
      </c>
      <c r="D73" s="248">
        <v>163609</v>
      </c>
      <c r="E73" s="252"/>
      <c r="F73" s="252"/>
      <c r="G73" s="252"/>
      <c r="H73" s="252"/>
      <c r="I73" s="252"/>
      <c r="J73" s="252"/>
      <c r="K73" s="252"/>
      <c r="L73" s="252"/>
      <c r="M73" s="252"/>
      <c r="N73" s="252"/>
      <c r="O73" s="217">
        <f t="shared" si="10"/>
        <v>0</v>
      </c>
    </row>
    <row r="74" spans="1:15" s="98" customFormat="1" ht="42" hidden="1" customHeight="1" x14ac:dyDescent="0.25">
      <c r="A74" s="106"/>
      <c r="B74" s="106"/>
      <c r="C74" s="387" t="s">
        <v>243</v>
      </c>
      <c r="D74" s="248">
        <v>163611</v>
      </c>
      <c r="E74" s="252"/>
      <c r="F74" s="252"/>
      <c r="G74" s="252"/>
      <c r="H74" s="252"/>
      <c r="I74" s="252"/>
      <c r="J74" s="252"/>
      <c r="K74" s="252"/>
      <c r="L74" s="252"/>
      <c r="M74" s="252"/>
      <c r="N74" s="252"/>
      <c r="O74" s="217">
        <f t="shared" si="10"/>
        <v>0</v>
      </c>
    </row>
    <row r="75" spans="1:15" s="98" customFormat="1" ht="50.25" hidden="1" customHeight="1" x14ac:dyDescent="0.25">
      <c r="A75" s="509"/>
      <c r="B75" s="509"/>
      <c r="C75" s="510" t="s">
        <v>830</v>
      </c>
      <c r="D75" s="511">
        <v>163652</v>
      </c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217">
        <f t="shared" si="10"/>
        <v>0</v>
      </c>
    </row>
    <row r="76" spans="1:15" s="98" customFormat="1" ht="40.950000000000003" customHeight="1" x14ac:dyDescent="0.25">
      <c r="A76" s="106"/>
      <c r="B76" s="106"/>
      <c r="C76" s="388" t="s">
        <v>244</v>
      </c>
      <c r="D76" s="248">
        <v>163612</v>
      </c>
      <c r="E76" s="252"/>
      <c r="F76" s="252">
        <v>-83675</v>
      </c>
      <c r="G76" s="252"/>
      <c r="H76" s="252"/>
      <c r="I76" s="252"/>
      <c r="J76" s="252"/>
      <c r="K76" s="252"/>
      <c r="L76" s="252"/>
      <c r="M76" s="252"/>
      <c r="N76" s="252"/>
      <c r="O76" s="217">
        <f t="shared" si="10"/>
        <v>-83675</v>
      </c>
    </row>
    <row r="77" spans="1:15" s="98" customFormat="1" ht="37.5" customHeight="1" x14ac:dyDescent="0.25">
      <c r="A77" s="106"/>
      <c r="B77" s="106"/>
      <c r="C77" s="388" t="s">
        <v>746</v>
      </c>
      <c r="D77" s="248">
        <v>163613</v>
      </c>
      <c r="E77" s="252"/>
      <c r="F77" s="252"/>
      <c r="G77" s="252"/>
      <c r="H77" s="252">
        <v>293</v>
      </c>
      <c r="I77" s="252"/>
      <c r="J77" s="252"/>
      <c r="K77" s="252"/>
      <c r="L77" s="252"/>
      <c r="M77" s="252"/>
      <c r="N77" s="252"/>
      <c r="O77" s="217">
        <f t="shared" si="10"/>
        <v>293</v>
      </c>
    </row>
    <row r="78" spans="1:15" s="98" customFormat="1" ht="37.5" hidden="1" customHeight="1" x14ac:dyDescent="0.25">
      <c r="A78" s="509"/>
      <c r="B78" s="509"/>
      <c r="C78" s="512" t="s">
        <v>950</v>
      </c>
      <c r="D78" s="506">
        <v>163615</v>
      </c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217">
        <f t="shared" si="10"/>
        <v>0</v>
      </c>
    </row>
    <row r="79" spans="1:15" s="98" customFormat="1" ht="37.5" hidden="1" customHeight="1" x14ac:dyDescent="0.25">
      <c r="A79" s="106"/>
      <c r="B79" s="106"/>
      <c r="C79" s="388" t="s">
        <v>245</v>
      </c>
      <c r="D79" s="248">
        <v>163616</v>
      </c>
      <c r="E79" s="252"/>
      <c r="F79" s="252"/>
      <c r="G79" s="252"/>
      <c r="H79" s="252"/>
      <c r="I79" s="252"/>
      <c r="J79" s="252"/>
      <c r="K79" s="252"/>
      <c r="L79" s="252"/>
      <c r="M79" s="252"/>
      <c r="N79" s="252"/>
      <c r="O79" s="217">
        <f t="shared" si="10"/>
        <v>0</v>
      </c>
    </row>
    <row r="80" spans="1:15" s="98" customFormat="1" ht="27" hidden="1" customHeight="1" x14ac:dyDescent="0.25">
      <c r="A80" s="106"/>
      <c r="B80" s="106"/>
      <c r="C80" s="389" t="s">
        <v>829</v>
      </c>
      <c r="D80" s="251">
        <v>163625</v>
      </c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17">
        <f t="shared" si="10"/>
        <v>0</v>
      </c>
    </row>
    <row r="81" spans="1:15" s="98" customFormat="1" ht="38.25" hidden="1" customHeight="1" x14ac:dyDescent="0.25">
      <c r="A81" s="106"/>
      <c r="B81" s="106"/>
      <c r="C81" s="107" t="s">
        <v>246</v>
      </c>
      <c r="D81" s="251">
        <v>163626</v>
      </c>
      <c r="E81" s="252"/>
      <c r="F81" s="252"/>
      <c r="G81" s="252"/>
      <c r="H81" s="252"/>
      <c r="I81" s="252"/>
      <c r="J81" s="252"/>
      <c r="K81" s="252"/>
      <c r="L81" s="252"/>
      <c r="M81" s="252"/>
      <c r="N81" s="252"/>
      <c r="O81" s="217">
        <f t="shared" si="10"/>
        <v>0</v>
      </c>
    </row>
    <row r="82" spans="1:15" s="98" customFormat="1" ht="30.75" hidden="1" customHeight="1" x14ac:dyDescent="0.25">
      <c r="A82" s="106"/>
      <c r="B82" s="106"/>
      <c r="C82" s="390" t="s">
        <v>247</v>
      </c>
      <c r="D82" s="251">
        <v>163629</v>
      </c>
      <c r="E82" s="252"/>
      <c r="F82" s="252"/>
      <c r="G82" s="252"/>
      <c r="H82" s="252"/>
      <c r="I82" s="252"/>
      <c r="J82" s="252"/>
      <c r="K82" s="252"/>
      <c r="L82" s="252"/>
      <c r="M82" s="252"/>
      <c r="N82" s="252"/>
      <c r="O82" s="217">
        <f t="shared" si="10"/>
        <v>0</v>
      </c>
    </row>
    <row r="83" spans="1:15" s="98" customFormat="1" ht="41.25" hidden="1" customHeight="1" x14ac:dyDescent="0.25">
      <c r="A83" s="106"/>
      <c r="B83" s="106"/>
      <c r="C83" s="109" t="s">
        <v>248</v>
      </c>
      <c r="D83" s="251">
        <v>163633</v>
      </c>
      <c r="E83" s="252"/>
      <c r="F83" s="252"/>
      <c r="G83" s="252"/>
      <c r="H83" s="252"/>
      <c r="I83" s="252"/>
      <c r="J83" s="252"/>
      <c r="K83" s="252"/>
      <c r="L83" s="252"/>
      <c r="M83" s="252"/>
      <c r="N83" s="252"/>
      <c r="O83" s="217">
        <f t="shared" si="10"/>
        <v>0</v>
      </c>
    </row>
    <row r="84" spans="1:15" s="98" customFormat="1" ht="49.5" customHeight="1" x14ac:dyDescent="0.25">
      <c r="A84" s="106"/>
      <c r="B84" s="106"/>
      <c r="C84" s="107" t="s">
        <v>1148</v>
      </c>
      <c r="D84" s="251">
        <v>163637</v>
      </c>
      <c r="E84" s="252"/>
      <c r="F84" s="252"/>
      <c r="G84" s="252"/>
      <c r="H84" s="252">
        <v>1123</v>
      </c>
      <c r="I84" s="252"/>
      <c r="J84" s="252"/>
      <c r="K84" s="252"/>
      <c r="L84" s="252"/>
      <c r="M84" s="252"/>
      <c r="N84" s="252"/>
      <c r="O84" s="217">
        <f t="shared" si="10"/>
        <v>1123</v>
      </c>
    </row>
    <row r="85" spans="1:15" s="98" customFormat="1" ht="30" hidden="1" customHeight="1" x14ac:dyDescent="0.25">
      <c r="A85" s="106"/>
      <c r="B85" s="106"/>
      <c r="C85" s="109" t="s">
        <v>250</v>
      </c>
      <c r="D85" s="251">
        <v>163638</v>
      </c>
      <c r="E85" s="252"/>
      <c r="F85" s="252"/>
      <c r="G85" s="252"/>
      <c r="H85" s="252"/>
      <c r="I85" s="252"/>
      <c r="J85" s="252"/>
      <c r="K85" s="252"/>
      <c r="L85" s="252"/>
      <c r="M85" s="252"/>
      <c r="N85" s="252"/>
      <c r="O85" s="217">
        <f t="shared" si="10"/>
        <v>0</v>
      </c>
    </row>
    <row r="86" spans="1:15" s="98" customFormat="1" ht="28.5" hidden="1" customHeight="1" x14ac:dyDescent="0.25">
      <c r="A86" s="106"/>
      <c r="B86" s="106"/>
      <c r="C86" s="109" t="s">
        <v>251</v>
      </c>
      <c r="D86" s="251">
        <v>163639</v>
      </c>
      <c r="E86" s="252"/>
      <c r="F86" s="252"/>
      <c r="G86" s="252"/>
      <c r="H86" s="252"/>
      <c r="I86" s="252"/>
      <c r="J86" s="252"/>
      <c r="K86" s="252"/>
      <c r="L86" s="252"/>
      <c r="M86" s="252"/>
      <c r="N86" s="252"/>
      <c r="O86" s="217">
        <f t="shared" si="10"/>
        <v>0</v>
      </c>
    </row>
    <row r="87" spans="1:15" s="98" customFormat="1" ht="28.5" hidden="1" customHeight="1" x14ac:dyDescent="0.25">
      <c r="A87" s="106"/>
      <c r="B87" s="106"/>
      <c r="C87" s="109" t="s">
        <v>252</v>
      </c>
      <c r="D87" s="251">
        <v>163640</v>
      </c>
      <c r="E87" s="252"/>
      <c r="F87" s="252"/>
      <c r="G87" s="252"/>
      <c r="H87" s="252"/>
      <c r="I87" s="252"/>
      <c r="J87" s="252"/>
      <c r="K87" s="252"/>
      <c r="L87" s="252"/>
      <c r="M87" s="252"/>
      <c r="N87" s="252"/>
      <c r="O87" s="217">
        <f t="shared" si="10"/>
        <v>0</v>
      </c>
    </row>
    <row r="88" spans="1:15" s="98" customFormat="1" ht="28.5" hidden="1" customHeight="1" x14ac:dyDescent="0.25">
      <c r="A88" s="106"/>
      <c r="B88" s="106"/>
      <c r="C88" s="111" t="s">
        <v>747</v>
      </c>
      <c r="D88" s="253">
        <v>163648</v>
      </c>
      <c r="E88" s="252"/>
      <c r="F88" s="252"/>
      <c r="G88" s="252"/>
      <c r="H88" s="252"/>
      <c r="I88" s="252"/>
      <c r="J88" s="252"/>
      <c r="K88" s="252"/>
      <c r="L88" s="252"/>
      <c r="M88" s="252"/>
      <c r="N88" s="252"/>
      <c r="O88" s="217">
        <f t="shared" si="10"/>
        <v>0</v>
      </c>
    </row>
    <row r="89" spans="1:15" s="98" customFormat="1" ht="29.4" hidden="1" customHeight="1" x14ac:dyDescent="0.25">
      <c r="A89" s="106"/>
      <c r="B89" s="106"/>
      <c r="C89" s="513" t="s">
        <v>951</v>
      </c>
      <c r="D89" s="514">
        <v>163657</v>
      </c>
      <c r="E89" s="252"/>
      <c r="F89" s="252"/>
      <c r="G89" s="252"/>
      <c r="H89" s="252"/>
      <c r="I89" s="252"/>
      <c r="J89" s="252"/>
      <c r="K89" s="252"/>
      <c r="L89" s="252"/>
      <c r="M89" s="252"/>
      <c r="N89" s="252"/>
      <c r="O89" s="217">
        <f t="shared" si="10"/>
        <v>0</v>
      </c>
    </row>
    <row r="90" spans="1:15" s="98" customFormat="1" ht="18" hidden="1" customHeight="1" x14ac:dyDescent="0.25">
      <c r="A90" s="106"/>
      <c r="B90" s="106"/>
      <c r="C90" s="515" t="s">
        <v>952</v>
      </c>
      <c r="D90" s="516">
        <v>163658</v>
      </c>
      <c r="E90" s="252"/>
      <c r="F90" s="252"/>
      <c r="G90" s="252"/>
      <c r="H90" s="252"/>
      <c r="I90" s="252"/>
      <c r="J90" s="252"/>
      <c r="K90" s="252"/>
      <c r="L90" s="252"/>
      <c r="M90" s="252"/>
      <c r="N90" s="252"/>
      <c r="O90" s="217">
        <f t="shared" si="10"/>
        <v>0</v>
      </c>
    </row>
    <row r="91" spans="1:15" s="98" customFormat="1" ht="24" hidden="1" customHeight="1" x14ac:dyDescent="0.25">
      <c r="A91" s="509"/>
      <c r="B91" s="509"/>
      <c r="C91" s="515" t="s">
        <v>953</v>
      </c>
      <c r="D91" s="516">
        <v>163662</v>
      </c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217">
        <f t="shared" si="10"/>
        <v>0</v>
      </c>
    </row>
    <row r="92" spans="1:15" s="98" customFormat="1" ht="36" hidden="1" customHeight="1" x14ac:dyDescent="0.25">
      <c r="A92" s="106"/>
      <c r="B92" s="106"/>
      <c r="C92" s="391" t="s">
        <v>253</v>
      </c>
      <c r="D92" s="251">
        <v>163621</v>
      </c>
      <c r="E92" s="252"/>
      <c r="F92" s="252"/>
      <c r="G92" s="252"/>
      <c r="H92" s="252"/>
      <c r="I92" s="252"/>
      <c r="J92" s="252"/>
      <c r="K92" s="252"/>
      <c r="L92" s="252"/>
      <c r="M92" s="252"/>
      <c r="N92" s="252"/>
      <c r="O92" s="217">
        <f t="shared" si="10"/>
        <v>0</v>
      </c>
    </row>
    <row r="93" spans="1:15" s="98" customFormat="1" ht="29.25" customHeight="1" x14ac:dyDescent="0.25">
      <c r="A93" s="106"/>
      <c r="B93" s="106"/>
      <c r="C93" s="107" t="s">
        <v>254</v>
      </c>
      <c r="D93" s="251">
        <v>163702</v>
      </c>
      <c r="E93" s="252"/>
      <c r="F93" s="252"/>
      <c r="G93" s="252"/>
      <c r="H93" s="252">
        <v>18769</v>
      </c>
      <c r="I93" s="252"/>
      <c r="J93" s="252"/>
      <c r="K93" s="252"/>
      <c r="L93" s="252"/>
      <c r="M93" s="252"/>
      <c r="N93" s="252"/>
      <c r="O93" s="217">
        <f t="shared" si="10"/>
        <v>18769</v>
      </c>
    </row>
    <row r="94" spans="1:15" s="98" customFormat="1" ht="29.25" hidden="1" customHeight="1" x14ac:dyDescent="0.25">
      <c r="A94" s="106"/>
      <c r="B94" s="106"/>
      <c r="C94" s="107" t="s">
        <v>255</v>
      </c>
      <c r="D94" s="251">
        <v>163641</v>
      </c>
      <c r="E94" s="252"/>
      <c r="F94" s="252"/>
      <c r="G94" s="252"/>
      <c r="H94" s="252"/>
      <c r="I94" s="252"/>
      <c r="J94" s="252"/>
      <c r="K94" s="252"/>
      <c r="L94" s="252"/>
      <c r="M94" s="252"/>
      <c r="N94" s="252"/>
      <c r="O94" s="217">
        <f t="shared" si="10"/>
        <v>0</v>
      </c>
    </row>
    <row r="95" spans="1:15" s="98" customFormat="1" ht="29.25" customHeight="1" x14ac:dyDescent="0.25">
      <c r="A95" s="106"/>
      <c r="B95" s="106"/>
      <c r="C95" s="392" t="s">
        <v>256</v>
      </c>
      <c r="D95" s="251">
        <v>163644</v>
      </c>
      <c r="E95" s="252"/>
      <c r="F95" s="252"/>
      <c r="G95" s="252"/>
      <c r="H95" s="252">
        <v>8582</v>
      </c>
      <c r="I95" s="252"/>
      <c r="J95" s="252"/>
      <c r="K95" s="252"/>
      <c r="L95" s="252"/>
      <c r="M95" s="252"/>
      <c r="N95" s="252"/>
      <c r="O95" s="217">
        <f t="shared" si="10"/>
        <v>8582</v>
      </c>
    </row>
    <row r="96" spans="1:15" s="98" customFormat="1" ht="36.75" customHeight="1" x14ac:dyDescent="0.25">
      <c r="A96" s="106"/>
      <c r="B96" s="106"/>
      <c r="C96" s="109" t="s">
        <v>879</v>
      </c>
      <c r="D96" s="254">
        <v>163650</v>
      </c>
      <c r="E96" s="252"/>
      <c r="F96" s="252"/>
      <c r="G96" s="252"/>
      <c r="H96" s="252">
        <v>155785</v>
      </c>
      <c r="I96" s="252"/>
      <c r="J96" s="252"/>
      <c r="K96" s="252"/>
      <c r="L96" s="252"/>
      <c r="M96" s="252"/>
      <c r="N96" s="252"/>
      <c r="O96" s="217">
        <f t="shared" si="10"/>
        <v>155785</v>
      </c>
    </row>
    <row r="97" spans="1:15" s="98" customFormat="1" ht="48" hidden="1" customHeight="1" x14ac:dyDescent="0.25">
      <c r="A97" s="106"/>
      <c r="B97" s="106"/>
      <c r="C97" s="107" t="s">
        <v>257</v>
      </c>
      <c r="D97" s="251">
        <v>163645</v>
      </c>
      <c r="E97" s="252"/>
      <c r="F97" s="252"/>
      <c r="G97" s="252"/>
      <c r="H97" s="252"/>
      <c r="I97" s="252"/>
      <c r="J97" s="252"/>
      <c r="K97" s="252"/>
      <c r="L97" s="252"/>
      <c r="M97" s="252"/>
      <c r="N97" s="252"/>
      <c r="O97" s="217">
        <f t="shared" si="10"/>
        <v>0</v>
      </c>
    </row>
    <row r="98" spans="1:15" s="98" customFormat="1" ht="36.75" hidden="1" customHeight="1" x14ac:dyDescent="0.25">
      <c r="A98" s="106"/>
      <c r="B98" s="106"/>
      <c r="C98" s="473" t="s">
        <v>954</v>
      </c>
      <c r="D98" s="519">
        <v>163654</v>
      </c>
      <c r="E98" s="252"/>
      <c r="F98" s="252"/>
      <c r="G98" s="252"/>
      <c r="H98" s="252"/>
      <c r="I98" s="252"/>
      <c r="J98" s="252"/>
      <c r="K98" s="252"/>
      <c r="L98" s="252"/>
      <c r="M98" s="252"/>
      <c r="N98" s="252"/>
      <c r="O98" s="217">
        <f t="shared" si="10"/>
        <v>0</v>
      </c>
    </row>
    <row r="99" spans="1:15" s="98" customFormat="1" ht="36" hidden="1" customHeight="1" x14ac:dyDescent="0.25">
      <c r="A99" s="106"/>
      <c r="B99" s="106"/>
      <c r="C99" s="473" t="s">
        <v>955</v>
      </c>
      <c r="D99" s="518">
        <v>163659</v>
      </c>
      <c r="E99" s="252"/>
      <c r="F99" s="252"/>
      <c r="G99" s="252"/>
      <c r="H99" s="252"/>
      <c r="I99" s="252"/>
      <c r="J99" s="252"/>
      <c r="K99" s="252"/>
      <c r="L99" s="252"/>
      <c r="M99" s="252"/>
      <c r="N99" s="252"/>
      <c r="O99" s="217">
        <f t="shared" si="10"/>
        <v>0</v>
      </c>
    </row>
    <row r="100" spans="1:15" s="98" customFormat="1" ht="36" hidden="1" customHeight="1" x14ac:dyDescent="0.25">
      <c r="A100" s="509"/>
      <c r="B100" s="509"/>
      <c r="C100" s="473" t="s">
        <v>956</v>
      </c>
      <c r="D100" s="518">
        <v>163661</v>
      </c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217">
        <f t="shared" si="10"/>
        <v>0</v>
      </c>
    </row>
    <row r="101" spans="1:15" s="98" customFormat="1" ht="19.95" hidden="1" customHeight="1" x14ac:dyDescent="0.25">
      <c r="A101" s="509"/>
      <c r="B101" s="509"/>
      <c r="C101" s="473" t="s">
        <v>957</v>
      </c>
      <c r="D101" s="518">
        <v>163655</v>
      </c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217">
        <f t="shared" si="10"/>
        <v>0</v>
      </c>
    </row>
    <row r="102" spans="1:15" s="98" customFormat="1" ht="19.95" hidden="1" customHeight="1" x14ac:dyDescent="0.25">
      <c r="A102" s="106"/>
      <c r="B102" s="106"/>
      <c r="C102" s="111" t="s">
        <v>748</v>
      </c>
      <c r="D102" s="254">
        <v>163651</v>
      </c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O102" s="217">
        <f t="shared" si="10"/>
        <v>0</v>
      </c>
    </row>
    <row r="103" spans="1:15" s="98" customFormat="1" ht="28.95" hidden="1" customHeight="1" x14ac:dyDescent="0.25">
      <c r="A103" s="106"/>
      <c r="B103" s="106"/>
      <c r="C103" s="662" t="s">
        <v>948</v>
      </c>
      <c r="D103" s="663">
        <v>132937</v>
      </c>
      <c r="E103" s="252"/>
      <c r="F103" s="252"/>
      <c r="G103" s="252"/>
      <c r="H103" s="252"/>
      <c r="I103" s="252"/>
      <c r="J103" s="252"/>
      <c r="K103" s="252"/>
      <c r="L103" s="252"/>
      <c r="M103" s="252"/>
      <c r="N103" s="252"/>
      <c r="O103" s="217">
        <f t="shared" si="10"/>
        <v>0</v>
      </c>
    </row>
    <row r="104" spans="1:15" s="98" customFormat="1" ht="17.399999999999999" hidden="1" customHeight="1" x14ac:dyDescent="0.25">
      <c r="A104" s="713"/>
      <c r="B104" s="713"/>
      <c r="C104" s="662" t="s">
        <v>1058</v>
      </c>
      <c r="D104" s="675">
        <v>163663</v>
      </c>
      <c r="E104" s="716"/>
      <c r="F104" s="716"/>
      <c r="G104" s="716"/>
      <c r="H104" s="716"/>
      <c r="I104" s="716"/>
      <c r="J104" s="716"/>
      <c r="K104" s="716"/>
      <c r="L104" s="716"/>
      <c r="M104" s="716"/>
      <c r="N104" s="716"/>
      <c r="O104" s="217">
        <f t="shared" si="10"/>
        <v>0</v>
      </c>
    </row>
    <row r="105" spans="1:15" s="98" customFormat="1" ht="23.25" customHeight="1" x14ac:dyDescent="0.25">
      <c r="A105" s="787"/>
      <c r="B105" s="787"/>
      <c r="C105" s="825" t="s">
        <v>1165</v>
      </c>
      <c r="D105" s="784">
        <v>163664</v>
      </c>
      <c r="E105" s="788">
        <v>19335</v>
      </c>
      <c r="F105" s="788">
        <v>380665</v>
      </c>
      <c r="G105" s="788"/>
      <c r="H105" s="788">
        <v>28262</v>
      </c>
      <c r="I105" s="788"/>
      <c r="J105" s="788"/>
      <c r="K105" s="788"/>
      <c r="L105" s="788"/>
      <c r="M105" s="788"/>
      <c r="N105" s="788"/>
      <c r="O105" s="217">
        <f t="shared" si="10"/>
        <v>428262</v>
      </c>
    </row>
    <row r="106" spans="1:15" s="98" customFormat="1" ht="21.75" hidden="1" customHeight="1" x14ac:dyDescent="0.25">
      <c r="A106" s="509"/>
      <c r="B106" s="509"/>
      <c r="C106" s="568" t="s">
        <v>1110</v>
      </c>
      <c r="D106" s="663">
        <v>162979</v>
      </c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217">
        <f t="shared" si="10"/>
        <v>0</v>
      </c>
    </row>
    <row r="107" spans="1:15" s="98" customFormat="1" ht="27" customHeight="1" x14ac:dyDescent="0.25">
      <c r="A107" s="509"/>
      <c r="B107" s="509"/>
      <c r="C107" s="545" t="s">
        <v>1111</v>
      </c>
      <c r="D107" s="663">
        <v>162903</v>
      </c>
      <c r="E107" s="507"/>
      <c r="F107" s="507"/>
      <c r="G107" s="507"/>
      <c r="H107" s="507">
        <v>11518</v>
      </c>
      <c r="I107" s="507"/>
      <c r="J107" s="507"/>
      <c r="K107" s="507"/>
      <c r="L107" s="507"/>
      <c r="M107" s="507"/>
      <c r="N107" s="507"/>
      <c r="O107" s="217">
        <f t="shared" si="10"/>
        <v>11518</v>
      </c>
    </row>
    <row r="108" spans="1:15" s="98" customFormat="1" ht="17.399999999999999" hidden="1" customHeight="1" x14ac:dyDescent="0.25">
      <c r="A108" s="509"/>
      <c r="B108" s="509"/>
      <c r="C108" s="628" t="s">
        <v>1112</v>
      </c>
      <c r="D108" s="663">
        <v>161904</v>
      </c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217">
        <f t="shared" si="10"/>
        <v>0</v>
      </c>
    </row>
    <row r="109" spans="1:15" s="98" customFormat="1" ht="17.399999999999999" hidden="1" customHeight="1" x14ac:dyDescent="0.25">
      <c r="A109" s="509"/>
      <c r="B109" s="509"/>
      <c r="C109" s="528" t="s">
        <v>574</v>
      </c>
      <c r="D109" s="663">
        <v>161908</v>
      </c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217">
        <f t="shared" si="10"/>
        <v>0</v>
      </c>
    </row>
    <row r="110" spans="1:15" s="98" customFormat="1" ht="17.399999999999999" customHeight="1" x14ac:dyDescent="0.25">
      <c r="A110" s="787"/>
      <c r="B110" s="787"/>
      <c r="C110" s="736" t="s">
        <v>1150</v>
      </c>
      <c r="D110" s="784">
        <v>161940</v>
      </c>
      <c r="E110" s="788"/>
      <c r="F110" s="788"/>
      <c r="G110" s="788"/>
      <c r="H110" s="788">
        <v>5100</v>
      </c>
      <c r="I110" s="788"/>
      <c r="J110" s="788"/>
      <c r="K110" s="788"/>
      <c r="L110" s="788"/>
      <c r="M110" s="788"/>
      <c r="N110" s="788"/>
      <c r="O110" s="217">
        <f t="shared" si="10"/>
        <v>5100</v>
      </c>
    </row>
    <row r="111" spans="1:15" s="98" customFormat="1" ht="17.399999999999999" customHeight="1" x14ac:dyDescent="0.25">
      <c r="A111" s="787"/>
      <c r="B111" s="787"/>
      <c r="C111" s="732" t="s">
        <v>1149</v>
      </c>
      <c r="D111" s="784">
        <v>164945</v>
      </c>
      <c r="E111" s="788"/>
      <c r="F111" s="788"/>
      <c r="G111" s="788"/>
      <c r="H111" s="788">
        <v>7560</v>
      </c>
      <c r="I111" s="788"/>
      <c r="J111" s="788"/>
      <c r="K111" s="788"/>
      <c r="L111" s="788"/>
      <c r="M111" s="788"/>
      <c r="N111" s="788"/>
      <c r="O111" s="217">
        <f t="shared" si="10"/>
        <v>7560</v>
      </c>
    </row>
    <row r="112" spans="1:15" s="98" customFormat="1" ht="12.9" customHeight="1" x14ac:dyDescent="0.25">
      <c r="A112" s="112"/>
      <c r="B112" s="112"/>
      <c r="C112" s="255" t="s">
        <v>258</v>
      </c>
      <c r="D112" s="112"/>
      <c r="E112" s="256">
        <f>SUM(E60:E111)</f>
        <v>19335</v>
      </c>
      <c r="F112" s="256">
        <f t="shared" ref="F112:O112" si="11">SUM(F60:F111)</f>
        <v>557798</v>
      </c>
      <c r="G112" s="256">
        <f t="shared" si="11"/>
        <v>0</v>
      </c>
      <c r="H112" s="256">
        <f t="shared" si="11"/>
        <v>238186</v>
      </c>
      <c r="I112" s="256">
        <f t="shared" si="11"/>
        <v>0</v>
      </c>
      <c r="J112" s="256">
        <f t="shared" si="11"/>
        <v>0</v>
      </c>
      <c r="K112" s="256">
        <f t="shared" si="11"/>
        <v>0</v>
      </c>
      <c r="L112" s="256">
        <f t="shared" si="11"/>
        <v>0</v>
      </c>
      <c r="M112" s="256">
        <f t="shared" si="11"/>
        <v>0</v>
      </c>
      <c r="N112" s="256">
        <f t="shared" si="11"/>
        <v>0</v>
      </c>
      <c r="O112" s="256">
        <f t="shared" si="11"/>
        <v>815319</v>
      </c>
    </row>
    <row r="113" spans="1:15" s="98" customFormat="1" ht="12.9" customHeight="1" x14ac:dyDescent="0.25">
      <c r="A113" s="106">
        <v>1</v>
      </c>
      <c r="B113" s="106">
        <v>17</v>
      </c>
      <c r="C113" s="257" t="s">
        <v>128</v>
      </c>
      <c r="D113" s="113"/>
      <c r="E113" s="217"/>
      <c r="F113" s="217"/>
      <c r="G113" s="217"/>
      <c r="H113" s="217"/>
      <c r="I113" s="217"/>
      <c r="J113" s="217"/>
      <c r="K113" s="217"/>
      <c r="L113" s="217"/>
      <c r="M113" s="217"/>
      <c r="N113" s="217"/>
      <c r="O113" s="217"/>
    </row>
    <row r="114" spans="1:15" s="98" customFormat="1" ht="24" hidden="1" customHeight="1" x14ac:dyDescent="0.25">
      <c r="A114" s="106"/>
      <c r="B114" s="106"/>
      <c r="C114" s="111" t="s">
        <v>237</v>
      </c>
      <c r="D114" s="258"/>
      <c r="E114" s="114"/>
      <c r="F114" s="217"/>
      <c r="G114" s="217"/>
      <c r="H114" s="217"/>
      <c r="I114" s="217"/>
      <c r="J114" s="217"/>
      <c r="K114" s="217"/>
      <c r="L114" s="217"/>
      <c r="M114" s="217"/>
      <c r="N114" s="217"/>
      <c r="O114" s="217"/>
    </row>
    <row r="115" spans="1:15" s="98" customFormat="1" ht="14.1" hidden="1" customHeight="1" x14ac:dyDescent="0.25">
      <c r="A115" s="106"/>
      <c r="B115" s="106"/>
      <c r="C115" s="115" t="s">
        <v>259</v>
      </c>
      <c r="D115" s="259">
        <v>171907</v>
      </c>
      <c r="E115" s="217"/>
      <c r="F115" s="217"/>
      <c r="G115" s="217"/>
      <c r="H115" s="217"/>
      <c r="I115" s="217"/>
      <c r="J115" s="217"/>
      <c r="K115" s="217"/>
      <c r="L115" s="217"/>
      <c r="M115" s="217"/>
      <c r="N115" s="217"/>
      <c r="O115" s="217">
        <f>SUM(E115:N115)</f>
        <v>0</v>
      </c>
    </row>
    <row r="116" spans="1:15" s="98" customFormat="1" ht="19.2" hidden="1" customHeight="1" x14ac:dyDescent="0.25">
      <c r="A116" s="106"/>
      <c r="B116" s="106"/>
      <c r="C116" s="260" t="s">
        <v>913</v>
      </c>
      <c r="D116" s="259">
        <v>171923</v>
      </c>
      <c r="E116" s="217"/>
      <c r="F116" s="217"/>
      <c r="G116" s="217"/>
      <c r="H116" s="217"/>
      <c r="I116" s="217"/>
      <c r="J116" s="217"/>
      <c r="K116" s="217"/>
      <c r="L116" s="217"/>
      <c r="M116" s="217"/>
      <c r="N116" s="217"/>
      <c r="O116" s="217">
        <f>SUM(E116:N116)</f>
        <v>0</v>
      </c>
    </row>
    <row r="117" spans="1:15" s="98" customFormat="1" ht="25.2" hidden="1" customHeight="1" x14ac:dyDescent="0.25">
      <c r="A117" s="399"/>
      <c r="B117" s="399"/>
      <c r="C117" s="406" t="s">
        <v>958</v>
      </c>
      <c r="D117" s="414">
        <v>171983</v>
      </c>
      <c r="E117" s="400"/>
      <c r="F117" s="400"/>
      <c r="G117" s="400"/>
      <c r="H117" s="400"/>
      <c r="I117" s="400"/>
      <c r="J117" s="400"/>
      <c r="K117" s="400"/>
      <c r="L117" s="400"/>
      <c r="M117" s="400"/>
      <c r="N117" s="400"/>
      <c r="O117" s="217">
        <f>SUM(E117:N117)</f>
        <v>0</v>
      </c>
    </row>
    <row r="118" spans="1:15" s="98" customFormat="1" ht="21.6" hidden="1" customHeight="1" x14ac:dyDescent="0.25">
      <c r="A118" s="106"/>
      <c r="B118" s="106"/>
      <c r="C118" s="260" t="s">
        <v>260</v>
      </c>
      <c r="D118" s="261"/>
      <c r="E118" s="217"/>
      <c r="F118" s="217"/>
      <c r="G118" s="217"/>
      <c r="H118" s="217"/>
      <c r="I118" s="217"/>
      <c r="J118" s="217"/>
      <c r="K118" s="217"/>
      <c r="L118" s="217"/>
      <c r="M118" s="217"/>
      <c r="N118" s="217"/>
      <c r="O118" s="217"/>
    </row>
    <row r="119" spans="1:15" s="98" customFormat="1" ht="14.1" hidden="1" customHeight="1" x14ac:dyDescent="0.25">
      <c r="A119" s="106"/>
      <c r="B119" s="106"/>
      <c r="C119" s="262" t="s">
        <v>261</v>
      </c>
      <c r="D119" s="263">
        <v>171980</v>
      </c>
      <c r="E119" s="217"/>
      <c r="F119" s="217"/>
      <c r="G119" s="217"/>
      <c r="H119" s="217"/>
      <c r="I119" s="345"/>
      <c r="J119" s="345"/>
      <c r="K119" s="345"/>
      <c r="L119" s="345"/>
      <c r="M119" s="345"/>
      <c r="N119" s="345"/>
      <c r="O119" s="217">
        <f>SUM(E119:N119)</f>
        <v>0</v>
      </c>
    </row>
    <row r="120" spans="1:15" s="98" customFormat="1" ht="26.25" customHeight="1" x14ac:dyDescent="0.25">
      <c r="A120" s="116"/>
      <c r="B120" s="116"/>
      <c r="C120" s="111" t="s">
        <v>237</v>
      </c>
      <c r="D120" s="258"/>
      <c r="E120" s="217"/>
      <c r="F120" s="217"/>
      <c r="G120" s="217"/>
      <c r="H120" s="217"/>
      <c r="I120" s="345"/>
      <c r="J120" s="345"/>
      <c r="K120" s="345"/>
      <c r="L120" s="345"/>
      <c r="M120" s="345"/>
      <c r="N120" s="345"/>
      <c r="O120" s="217"/>
    </row>
    <row r="121" spans="1:15" s="98" customFormat="1" ht="29.25" customHeight="1" x14ac:dyDescent="0.25">
      <c r="A121" s="106"/>
      <c r="B121" s="106"/>
      <c r="C121" s="264" t="s">
        <v>262</v>
      </c>
      <c r="D121" s="259">
        <v>171905</v>
      </c>
      <c r="E121" s="217"/>
      <c r="F121" s="217"/>
      <c r="G121" s="217"/>
      <c r="H121" s="217">
        <v>19450</v>
      </c>
      <c r="I121" s="345"/>
      <c r="J121" s="345"/>
      <c r="K121" s="345"/>
      <c r="L121" s="345"/>
      <c r="M121" s="345"/>
      <c r="N121" s="345"/>
      <c r="O121" s="217">
        <f t="shared" ref="O121:O133" si="12">SUM(E121:N121)</f>
        <v>19450</v>
      </c>
    </row>
    <row r="122" spans="1:15" s="98" customFormat="1" ht="18" hidden="1" customHeight="1" x14ac:dyDescent="0.25">
      <c r="A122" s="717"/>
      <c r="B122" s="717"/>
      <c r="C122" s="546" t="s">
        <v>640</v>
      </c>
      <c r="D122" s="721">
        <v>171956</v>
      </c>
      <c r="E122" s="676"/>
      <c r="F122" s="676"/>
      <c r="G122" s="676"/>
      <c r="H122" s="676"/>
      <c r="I122" s="677"/>
      <c r="J122" s="677"/>
      <c r="K122" s="677"/>
      <c r="L122" s="677"/>
      <c r="M122" s="677"/>
      <c r="N122" s="677"/>
      <c r="O122" s="217">
        <f t="shared" si="12"/>
        <v>0</v>
      </c>
    </row>
    <row r="123" spans="1:15" s="98" customFormat="1" ht="15" hidden="1" customHeight="1" x14ac:dyDescent="0.25">
      <c r="A123" s="717"/>
      <c r="B123" s="717"/>
      <c r="C123" s="754" t="s">
        <v>1095</v>
      </c>
      <c r="D123" s="721">
        <v>172901</v>
      </c>
      <c r="E123" s="508"/>
      <c r="F123" s="508"/>
      <c r="G123" s="508"/>
      <c r="H123" s="508"/>
      <c r="I123" s="508"/>
      <c r="J123" s="522"/>
      <c r="K123" s="522"/>
      <c r="L123" s="522"/>
      <c r="M123" s="522"/>
      <c r="N123" s="522"/>
      <c r="O123" s="217">
        <f t="shared" si="12"/>
        <v>0</v>
      </c>
    </row>
    <row r="124" spans="1:15" s="98" customFormat="1" ht="14.1" hidden="1" customHeight="1" x14ac:dyDescent="0.25">
      <c r="A124" s="99"/>
      <c r="B124" s="99"/>
      <c r="C124" s="265" t="s">
        <v>263</v>
      </c>
      <c r="D124" s="259">
        <v>171909</v>
      </c>
      <c r="E124" s="217"/>
      <c r="F124" s="217"/>
      <c r="G124" s="217"/>
      <c r="H124" s="217"/>
      <c r="I124" s="345"/>
      <c r="J124" s="345"/>
      <c r="K124" s="345"/>
      <c r="L124" s="345"/>
      <c r="M124" s="345"/>
      <c r="N124" s="345"/>
      <c r="O124" s="217">
        <f t="shared" si="12"/>
        <v>0</v>
      </c>
    </row>
    <row r="125" spans="1:15" s="98" customFormat="1" ht="14.1" hidden="1" customHeight="1" x14ac:dyDescent="0.25">
      <c r="A125" s="99"/>
      <c r="B125" s="99"/>
      <c r="C125" s="265" t="s">
        <v>264</v>
      </c>
      <c r="D125" s="259">
        <v>171904</v>
      </c>
      <c r="E125" s="217"/>
      <c r="F125" s="217"/>
      <c r="G125" s="217"/>
      <c r="H125" s="217"/>
      <c r="I125" s="345"/>
      <c r="J125" s="345"/>
      <c r="K125" s="345"/>
      <c r="L125" s="345"/>
      <c r="M125" s="345"/>
      <c r="N125" s="345"/>
      <c r="O125" s="217">
        <f t="shared" si="12"/>
        <v>0</v>
      </c>
    </row>
    <row r="126" spans="1:15" s="98" customFormat="1" ht="14.1" hidden="1" customHeight="1" x14ac:dyDescent="0.25">
      <c r="A126" s="99"/>
      <c r="B126" s="99"/>
      <c r="C126" s="265" t="s">
        <v>265</v>
      </c>
      <c r="D126" s="259">
        <v>172909</v>
      </c>
      <c r="E126" s="217"/>
      <c r="F126" s="217"/>
      <c r="G126" s="217"/>
      <c r="H126" s="217"/>
      <c r="I126" s="345"/>
      <c r="J126" s="345"/>
      <c r="K126" s="345"/>
      <c r="L126" s="345"/>
      <c r="M126" s="345"/>
      <c r="N126" s="345"/>
      <c r="O126" s="217">
        <f t="shared" si="12"/>
        <v>0</v>
      </c>
    </row>
    <row r="127" spans="1:15" s="98" customFormat="1" ht="14.1" hidden="1" customHeight="1" x14ac:dyDescent="0.25">
      <c r="A127" s="99"/>
      <c r="B127" s="99"/>
      <c r="C127" s="265" t="s">
        <v>266</v>
      </c>
      <c r="D127" s="259">
        <v>131857</v>
      </c>
      <c r="E127" s="217"/>
      <c r="F127" s="217"/>
      <c r="G127" s="217"/>
      <c r="H127" s="217"/>
      <c r="I127" s="345"/>
      <c r="J127" s="345"/>
      <c r="K127" s="345"/>
      <c r="L127" s="345"/>
      <c r="M127" s="345"/>
      <c r="N127" s="345"/>
      <c r="O127" s="217">
        <f t="shared" si="12"/>
        <v>0</v>
      </c>
    </row>
    <row r="128" spans="1:15" s="98" customFormat="1" ht="14.1" hidden="1" customHeight="1" x14ac:dyDescent="0.25">
      <c r="A128" s="99"/>
      <c r="B128" s="99"/>
      <c r="C128" s="265" t="s">
        <v>267</v>
      </c>
      <c r="D128" s="259">
        <v>172920</v>
      </c>
      <c r="E128" s="217"/>
      <c r="F128" s="217"/>
      <c r="G128" s="217"/>
      <c r="H128" s="217"/>
      <c r="I128" s="345"/>
      <c r="J128" s="345"/>
      <c r="K128" s="345"/>
      <c r="L128" s="345"/>
      <c r="M128" s="345"/>
      <c r="N128" s="345"/>
      <c r="O128" s="217">
        <f t="shared" si="12"/>
        <v>0</v>
      </c>
    </row>
    <row r="129" spans="1:15" s="98" customFormat="1" ht="14.1" hidden="1" customHeight="1" x14ac:dyDescent="0.25">
      <c r="A129" s="99"/>
      <c r="B129" s="99"/>
      <c r="C129" s="265" t="s">
        <v>268</v>
      </c>
      <c r="D129" s="259">
        <v>172922</v>
      </c>
      <c r="E129" s="217"/>
      <c r="F129" s="217"/>
      <c r="G129" s="217"/>
      <c r="H129" s="217"/>
      <c r="I129" s="345"/>
      <c r="J129" s="345"/>
      <c r="K129" s="345"/>
      <c r="L129" s="345"/>
      <c r="M129" s="345"/>
      <c r="N129" s="345"/>
      <c r="O129" s="217">
        <f t="shared" si="12"/>
        <v>0</v>
      </c>
    </row>
    <row r="130" spans="1:15" s="98" customFormat="1" ht="14.1" hidden="1" customHeight="1" x14ac:dyDescent="0.25">
      <c r="A130" s="99"/>
      <c r="B130" s="99"/>
      <c r="C130" s="265" t="s">
        <v>880</v>
      </c>
      <c r="D130" s="259">
        <v>171977</v>
      </c>
      <c r="E130" s="217"/>
      <c r="F130" s="217"/>
      <c r="G130" s="217"/>
      <c r="H130" s="217"/>
      <c r="I130" s="345"/>
      <c r="J130" s="345"/>
      <c r="K130" s="345"/>
      <c r="L130" s="345"/>
      <c r="M130" s="345"/>
      <c r="N130" s="345"/>
      <c r="O130" s="217">
        <f t="shared" si="12"/>
        <v>0</v>
      </c>
    </row>
    <row r="131" spans="1:15" s="98" customFormat="1" ht="14.1" hidden="1" customHeight="1" x14ac:dyDescent="0.25">
      <c r="A131" s="99"/>
      <c r="B131" s="99"/>
      <c r="C131" s="265" t="s">
        <v>840</v>
      </c>
      <c r="D131" s="259">
        <v>171978</v>
      </c>
      <c r="E131" s="217"/>
      <c r="F131" s="217"/>
      <c r="G131" s="217"/>
      <c r="H131" s="217"/>
      <c r="I131" s="345"/>
      <c r="J131" s="345"/>
      <c r="K131" s="345"/>
      <c r="L131" s="345"/>
      <c r="M131" s="345"/>
      <c r="N131" s="345"/>
      <c r="O131" s="217">
        <f t="shared" si="12"/>
        <v>0</v>
      </c>
    </row>
    <row r="132" spans="1:15" s="98" customFormat="1" ht="15.6" hidden="1" customHeight="1" x14ac:dyDescent="0.25">
      <c r="A132" s="99"/>
      <c r="B132" s="99"/>
      <c r="C132" s="266" t="s">
        <v>923</v>
      </c>
      <c r="D132" s="259">
        <v>171979</v>
      </c>
      <c r="E132" s="217"/>
      <c r="F132" s="217"/>
      <c r="G132" s="217"/>
      <c r="H132" s="217"/>
      <c r="I132" s="345"/>
      <c r="J132" s="345"/>
      <c r="K132" s="345"/>
      <c r="L132" s="345"/>
      <c r="M132" s="345"/>
      <c r="N132" s="345"/>
      <c r="O132" s="217">
        <f t="shared" si="12"/>
        <v>0</v>
      </c>
    </row>
    <row r="133" spans="1:15" s="98" customFormat="1" ht="14.1" hidden="1" customHeight="1" x14ac:dyDescent="0.25">
      <c r="A133" s="99"/>
      <c r="B133" s="99"/>
      <c r="C133" s="265" t="s">
        <v>841</v>
      </c>
      <c r="D133" s="259">
        <v>171982</v>
      </c>
      <c r="E133" s="217"/>
      <c r="F133" s="217"/>
      <c r="G133" s="217"/>
      <c r="H133" s="217"/>
      <c r="I133" s="345"/>
      <c r="J133" s="345"/>
      <c r="K133" s="345"/>
      <c r="L133" s="345"/>
      <c r="M133" s="345"/>
      <c r="N133" s="345"/>
      <c r="O133" s="217">
        <f t="shared" si="12"/>
        <v>0</v>
      </c>
    </row>
    <row r="134" spans="1:15" s="98" customFormat="1" ht="24.9" hidden="1" customHeight="1" x14ac:dyDescent="0.25">
      <c r="A134" s="99"/>
      <c r="B134" s="99"/>
      <c r="C134" s="266" t="s">
        <v>269</v>
      </c>
      <c r="D134" s="261"/>
      <c r="E134" s="217"/>
      <c r="F134" s="217"/>
      <c r="G134" s="217"/>
      <c r="H134" s="345"/>
      <c r="I134" s="345"/>
      <c r="J134" s="345"/>
      <c r="K134" s="345"/>
      <c r="L134" s="345"/>
      <c r="M134" s="345"/>
      <c r="N134" s="345"/>
      <c r="O134" s="217"/>
    </row>
    <row r="135" spans="1:15" s="98" customFormat="1" ht="15" hidden="1" customHeight="1" x14ac:dyDescent="0.25">
      <c r="A135" s="99"/>
      <c r="B135" s="99"/>
      <c r="C135" s="115" t="s">
        <v>270</v>
      </c>
      <c r="D135" s="259">
        <v>171901</v>
      </c>
      <c r="E135" s="217"/>
      <c r="F135" s="217"/>
      <c r="G135" s="217"/>
      <c r="H135" s="217"/>
      <c r="I135" s="345"/>
      <c r="J135" s="345"/>
      <c r="K135" s="345"/>
      <c r="L135" s="345"/>
      <c r="M135" s="345"/>
      <c r="N135" s="345"/>
      <c r="O135" s="217">
        <f>SUM(E135:N135)</f>
        <v>0</v>
      </c>
    </row>
    <row r="136" spans="1:15" s="98" customFormat="1" ht="24.9" hidden="1" customHeight="1" x14ac:dyDescent="0.25">
      <c r="A136" s="106"/>
      <c r="B136" s="106"/>
      <c r="C136" s="267" t="s">
        <v>271</v>
      </c>
      <c r="D136" s="268"/>
      <c r="E136" s="217"/>
      <c r="F136" s="217"/>
      <c r="G136" s="217"/>
      <c r="H136" s="217"/>
      <c r="I136" s="345"/>
      <c r="J136" s="345"/>
      <c r="K136" s="345"/>
      <c r="L136" s="345"/>
      <c r="M136" s="345"/>
      <c r="N136" s="345"/>
      <c r="O136" s="217"/>
    </row>
    <row r="137" spans="1:15" s="98" customFormat="1" ht="22.2" hidden="1" customHeight="1" x14ac:dyDescent="0.25">
      <c r="A137" s="106"/>
      <c r="B137" s="106"/>
      <c r="C137" s="266" t="s">
        <v>911</v>
      </c>
      <c r="D137" s="269">
        <v>171908</v>
      </c>
      <c r="E137" s="217"/>
      <c r="F137" s="217"/>
      <c r="G137" s="217"/>
      <c r="H137" s="217"/>
      <c r="I137" s="345"/>
      <c r="J137" s="345"/>
      <c r="K137" s="345"/>
      <c r="L137" s="345"/>
      <c r="M137" s="345"/>
      <c r="N137" s="345"/>
      <c r="O137" s="217">
        <f>SUM(E137:N137)</f>
        <v>0</v>
      </c>
    </row>
    <row r="138" spans="1:15" s="98" customFormat="1" ht="15.75" hidden="1" customHeight="1" x14ac:dyDescent="0.25">
      <c r="A138" s="106"/>
      <c r="B138" s="106"/>
      <c r="C138" s="385" t="s">
        <v>272</v>
      </c>
      <c r="D138" s="263"/>
      <c r="E138" s="217"/>
      <c r="F138" s="217"/>
      <c r="G138" s="217"/>
      <c r="H138" s="345"/>
      <c r="I138" s="345"/>
      <c r="J138" s="345"/>
      <c r="K138" s="345"/>
      <c r="L138" s="345"/>
      <c r="M138" s="345"/>
      <c r="N138" s="345"/>
      <c r="O138" s="217"/>
    </row>
    <row r="139" spans="1:15" s="98" customFormat="1" ht="15.75" hidden="1" customHeight="1" x14ac:dyDescent="0.25">
      <c r="A139" s="106"/>
      <c r="B139" s="106"/>
      <c r="C139" s="111" t="s">
        <v>273</v>
      </c>
      <c r="D139" s="258"/>
      <c r="E139" s="217"/>
      <c r="F139" s="217"/>
      <c r="G139" s="217"/>
      <c r="H139" s="345"/>
      <c r="I139" s="345"/>
      <c r="J139" s="345"/>
      <c r="K139" s="345"/>
      <c r="L139" s="345"/>
      <c r="M139" s="345"/>
      <c r="N139" s="345"/>
      <c r="O139" s="217"/>
    </row>
    <row r="140" spans="1:15" s="98" customFormat="1" ht="24.9" hidden="1" customHeight="1" x14ac:dyDescent="0.25">
      <c r="A140" s="106"/>
      <c r="B140" s="106"/>
      <c r="C140" s="260" t="s">
        <v>827</v>
      </c>
      <c r="D140" s="269">
        <v>121401</v>
      </c>
      <c r="E140" s="217"/>
      <c r="F140" s="217"/>
      <c r="G140" s="217"/>
      <c r="H140" s="345"/>
      <c r="I140" s="345"/>
      <c r="J140" s="345"/>
      <c r="K140" s="217"/>
      <c r="L140" s="345"/>
      <c r="M140" s="345"/>
      <c r="N140" s="345"/>
      <c r="O140" s="217">
        <f>SUM(E140:N140)</f>
        <v>0</v>
      </c>
    </row>
    <row r="141" spans="1:15" s="98" customFormat="1" ht="24.9" hidden="1" customHeight="1" x14ac:dyDescent="0.25">
      <c r="A141" s="509"/>
      <c r="B141" s="509"/>
      <c r="C141" s="520" t="s">
        <v>960</v>
      </c>
      <c r="D141" s="521">
        <v>171950</v>
      </c>
      <c r="E141" s="508"/>
      <c r="F141" s="508"/>
      <c r="G141" s="508"/>
      <c r="H141" s="522"/>
      <c r="I141" s="508"/>
      <c r="J141" s="522"/>
      <c r="K141" s="508"/>
      <c r="L141" s="522"/>
      <c r="M141" s="522"/>
      <c r="N141" s="522"/>
      <c r="O141" s="217">
        <f t="shared" ref="O141:O143" si="13">SUM(E141:N141)</f>
        <v>0</v>
      </c>
    </row>
    <row r="142" spans="1:15" s="98" customFormat="1" ht="24.9" hidden="1" customHeight="1" x14ac:dyDescent="0.25">
      <c r="A142" s="509"/>
      <c r="B142" s="509"/>
      <c r="C142" s="722" t="s">
        <v>305</v>
      </c>
      <c r="D142" s="521"/>
      <c r="E142" s="508"/>
      <c r="F142" s="508"/>
      <c r="G142" s="508"/>
      <c r="H142" s="522"/>
      <c r="I142" s="522"/>
      <c r="J142" s="522"/>
      <c r="K142" s="508"/>
      <c r="L142" s="522"/>
      <c r="M142" s="522"/>
      <c r="N142" s="522"/>
      <c r="O142" s="217"/>
    </row>
    <row r="143" spans="1:15" s="98" customFormat="1" ht="35.25" hidden="1" customHeight="1" x14ac:dyDescent="0.25">
      <c r="A143" s="509"/>
      <c r="B143" s="509"/>
      <c r="C143" s="602" t="s">
        <v>1059</v>
      </c>
      <c r="D143" s="521">
        <v>174902</v>
      </c>
      <c r="E143" s="508"/>
      <c r="F143" s="508"/>
      <c r="G143" s="508"/>
      <c r="H143" s="508"/>
      <c r="I143" s="522"/>
      <c r="J143" s="522"/>
      <c r="K143" s="508"/>
      <c r="L143" s="522"/>
      <c r="M143" s="522"/>
      <c r="N143" s="522"/>
      <c r="O143" s="217">
        <f t="shared" si="13"/>
        <v>0</v>
      </c>
    </row>
    <row r="144" spans="1:15" s="98" customFormat="1" ht="21" hidden="1" customHeight="1" x14ac:dyDescent="0.25">
      <c r="A144" s="106"/>
      <c r="B144" s="106"/>
      <c r="C144" s="260" t="s">
        <v>740</v>
      </c>
      <c r="D144" s="261"/>
      <c r="E144" s="217"/>
      <c r="F144" s="217"/>
      <c r="G144" s="217"/>
      <c r="H144" s="345"/>
      <c r="I144" s="345"/>
      <c r="J144" s="345"/>
      <c r="K144" s="345"/>
      <c r="L144" s="345"/>
      <c r="M144" s="345"/>
      <c r="N144" s="345"/>
      <c r="O144" s="217"/>
    </row>
    <row r="145" spans="1:15" s="98" customFormat="1" ht="16.5" hidden="1" customHeight="1" x14ac:dyDescent="0.25">
      <c r="A145" s="106"/>
      <c r="B145" s="106"/>
      <c r="C145" s="266" t="s">
        <v>274</v>
      </c>
      <c r="D145" s="269">
        <v>176902</v>
      </c>
      <c r="E145" s="217"/>
      <c r="F145" s="217"/>
      <c r="G145" s="217"/>
      <c r="H145" s="345"/>
      <c r="I145" s="345"/>
      <c r="J145" s="345"/>
      <c r="K145" s="345"/>
      <c r="L145" s="345"/>
      <c r="M145" s="217"/>
      <c r="N145" s="217"/>
      <c r="O145" s="217">
        <f>SUM(E145:N145)</f>
        <v>0</v>
      </c>
    </row>
    <row r="146" spans="1:15" s="98" customFormat="1" ht="12.6" customHeight="1" x14ac:dyDescent="0.25">
      <c r="A146" s="112"/>
      <c r="B146" s="112"/>
      <c r="C146" s="255" t="s">
        <v>275</v>
      </c>
      <c r="D146" s="112"/>
      <c r="E146" s="256">
        <f t="shared" ref="E146:O146" si="14">SUM(E113:E145)</f>
        <v>0</v>
      </c>
      <c r="F146" s="256">
        <f t="shared" si="14"/>
        <v>0</v>
      </c>
      <c r="G146" s="256">
        <f t="shared" si="14"/>
        <v>0</v>
      </c>
      <c r="H146" s="256">
        <f t="shared" si="14"/>
        <v>19450</v>
      </c>
      <c r="I146" s="256">
        <f t="shared" si="14"/>
        <v>0</v>
      </c>
      <c r="J146" s="256">
        <f t="shared" si="14"/>
        <v>0</v>
      </c>
      <c r="K146" s="256">
        <f t="shared" si="14"/>
        <v>0</v>
      </c>
      <c r="L146" s="256">
        <f t="shared" si="14"/>
        <v>0</v>
      </c>
      <c r="M146" s="256">
        <f t="shared" si="14"/>
        <v>0</v>
      </c>
      <c r="N146" s="256">
        <f t="shared" si="14"/>
        <v>0</v>
      </c>
      <c r="O146" s="256">
        <f t="shared" si="14"/>
        <v>19450</v>
      </c>
    </row>
    <row r="147" spans="1:15" s="98" customFormat="1" ht="12.6" customHeight="1" x14ac:dyDescent="0.25">
      <c r="A147" s="113">
        <v>1</v>
      </c>
      <c r="B147" s="113">
        <v>18</v>
      </c>
      <c r="C147" s="260" t="s">
        <v>276</v>
      </c>
      <c r="D147" s="261"/>
      <c r="E147" s="270"/>
      <c r="F147" s="270"/>
      <c r="G147" s="270"/>
      <c r="H147" s="270"/>
      <c r="I147" s="270"/>
      <c r="J147" s="270"/>
      <c r="K147" s="270"/>
      <c r="L147" s="270"/>
      <c r="M147" s="270"/>
      <c r="N147" s="270"/>
      <c r="O147" s="270"/>
    </row>
    <row r="148" spans="1:15" s="98" customFormat="1" ht="24.9" hidden="1" customHeight="1" x14ac:dyDescent="0.25">
      <c r="A148" s="106"/>
      <c r="B148" s="106"/>
      <c r="C148" s="111" t="s">
        <v>237</v>
      </c>
      <c r="D148" s="258"/>
      <c r="E148" s="252"/>
      <c r="F148" s="252"/>
      <c r="G148" s="252"/>
      <c r="H148" s="217"/>
      <c r="I148" s="217"/>
      <c r="J148" s="217"/>
      <c r="K148" s="217"/>
      <c r="L148" s="217"/>
      <c r="M148" s="217"/>
      <c r="N148" s="217"/>
      <c r="O148" s="217"/>
    </row>
    <row r="149" spans="1:15" s="98" customFormat="1" ht="24.9" hidden="1" customHeight="1" x14ac:dyDescent="0.25">
      <c r="A149" s="106"/>
      <c r="B149" s="106"/>
      <c r="C149" s="111" t="s">
        <v>277</v>
      </c>
      <c r="D149" s="258" t="s">
        <v>278</v>
      </c>
      <c r="E149" s="252"/>
      <c r="F149" s="252"/>
      <c r="G149" s="252"/>
      <c r="H149" s="252"/>
      <c r="I149" s="352"/>
      <c r="J149" s="252"/>
      <c r="K149" s="252"/>
      <c r="L149" s="252"/>
      <c r="M149" s="252"/>
      <c r="N149" s="252"/>
      <c r="O149" s="217">
        <f t="shared" ref="O149:O154" si="15">SUM(E149:N149)</f>
        <v>0</v>
      </c>
    </row>
    <row r="150" spans="1:15" s="98" customFormat="1" ht="12.6" hidden="1" customHeight="1" x14ac:dyDescent="0.25">
      <c r="A150" s="106"/>
      <c r="B150" s="106"/>
      <c r="C150" s="260" t="s">
        <v>279</v>
      </c>
      <c r="D150" s="269">
        <v>181905</v>
      </c>
      <c r="E150" s="252"/>
      <c r="F150" s="252"/>
      <c r="G150" s="252"/>
      <c r="H150" s="252"/>
      <c r="I150" s="352"/>
      <c r="J150" s="252"/>
      <c r="K150" s="252"/>
      <c r="L150" s="252"/>
      <c r="M150" s="252"/>
      <c r="N150" s="252"/>
      <c r="O150" s="217">
        <f t="shared" si="15"/>
        <v>0</v>
      </c>
    </row>
    <row r="151" spans="1:15" s="98" customFormat="1" ht="15" hidden="1" customHeight="1" x14ac:dyDescent="0.25">
      <c r="A151" s="106"/>
      <c r="B151" s="106"/>
      <c r="C151" s="111" t="s">
        <v>280</v>
      </c>
      <c r="D151" s="258">
        <v>181903</v>
      </c>
      <c r="E151" s="252"/>
      <c r="F151" s="252"/>
      <c r="G151" s="252"/>
      <c r="H151" s="252"/>
      <c r="I151" s="352"/>
      <c r="J151" s="252"/>
      <c r="K151" s="252"/>
      <c r="L151" s="252"/>
      <c r="M151" s="252"/>
      <c r="N151" s="252"/>
      <c r="O151" s="217">
        <f t="shared" si="15"/>
        <v>0</v>
      </c>
    </row>
    <row r="152" spans="1:15" s="98" customFormat="1" ht="18.600000000000001" hidden="1" customHeight="1" x14ac:dyDescent="0.25">
      <c r="A152" s="106"/>
      <c r="B152" s="106"/>
      <c r="C152" s="111" t="s">
        <v>281</v>
      </c>
      <c r="D152" s="258">
        <v>181904</v>
      </c>
      <c r="E152" s="252"/>
      <c r="F152" s="252"/>
      <c r="G152" s="252"/>
      <c r="H152" s="252"/>
      <c r="I152" s="352"/>
      <c r="J152" s="252"/>
      <c r="K152" s="252"/>
      <c r="L152" s="252"/>
      <c r="M152" s="252"/>
      <c r="N152" s="252"/>
      <c r="O152" s="217">
        <f t="shared" si="15"/>
        <v>0</v>
      </c>
    </row>
    <row r="153" spans="1:15" s="98" customFormat="1" ht="15" hidden="1" customHeight="1" x14ac:dyDescent="0.25">
      <c r="A153" s="106" t="s">
        <v>86</v>
      </c>
      <c r="B153" s="106"/>
      <c r="C153" s="260" t="s">
        <v>282</v>
      </c>
      <c r="D153" s="269">
        <v>181902</v>
      </c>
      <c r="E153" s="252"/>
      <c r="F153" s="252"/>
      <c r="G153" s="252"/>
      <c r="H153" s="252"/>
      <c r="I153" s="352"/>
      <c r="J153" s="252"/>
      <c r="K153" s="252"/>
      <c r="L153" s="252"/>
      <c r="M153" s="252"/>
      <c r="N153" s="252"/>
      <c r="O153" s="217">
        <f t="shared" si="15"/>
        <v>0</v>
      </c>
    </row>
    <row r="154" spans="1:15" s="98" customFormat="1" ht="27.75" hidden="1" customHeight="1" x14ac:dyDescent="0.25">
      <c r="A154" s="378"/>
      <c r="B154" s="378"/>
      <c r="C154" s="379" t="s">
        <v>878</v>
      </c>
      <c r="D154" s="380">
        <v>182912</v>
      </c>
      <c r="E154" s="381"/>
      <c r="F154" s="381"/>
      <c r="G154" s="381"/>
      <c r="H154" s="381"/>
      <c r="I154" s="382"/>
      <c r="J154" s="381"/>
      <c r="K154" s="381"/>
      <c r="L154" s="381"/>
      <c r="M154" s="381"/>
      <c r="N154" s="381"/>
      <c r="O154" s="217">
        <f t="shared" si="15"/>
        <v>0</v>
      </c>
    </row>
    <row r="155" spans="1:15" s="98" customFormat="1" ht="14.25" customHeight="1" x14ac:dyDescent="0.25">
      <c r="A155" s="112"/>
      <c r="B155" s="112"/>
      <c r="C155" s="255" t="s">
        <v>283</v>
      </c>
      <c r="D155" s="112"/>
      <c r="E155" s="271">
        <f>SUM(E149:E154)</f>
        <v>0</v>
      </c>
      <c r="F155" s="271">
        <f t="shared" ref="F155:O155" si="16">SUM(F149:F154)</f>
        <v>0</v>
      </c>
      <c r="G155" s="271">
        <f t="shared" si="16"/>
        <v>0</v>
      </c>
      <c r="H155" s="271">
        <f t="shared" si="16"/>
        <v>0</v>
      </c>
      <c r="I155" s="271">
        <f t="shared" si="16"/>
        <v>0</v>
      </c>
      <c r="J155" s="271">
        <f t="shared" si="16"/>
        <v>0</v>
      </c>
      <c r="K155" s="271">
        <f t="shared" si="16"/>
        <v>0</v>
      </c>
      <c r="L155" s="271">
        <f t="shared" si="16"/>
        <v>0</v>
      </c>
      <c r="M155" s="271">
        <f t="shared" si="16"/>
        <v>0</v>
      </c>
      <c r="N155" s="271">
        <f t="shared" si="16"/>
        <v>0</v>
      </c>
      <c r="O155" s="271">
        <f t="shared" si="16"/>
        <v>0</v>
      </c>
    </row>
    <row r="156" spans="1:15" s="98" customFormat="1" ht="12.6" customHeight="1" x14ac:dyDescent="0.25">
      <c r="A156" s="106">
        <v>1</v>
      </c>
      <c r="B156" s="106">
        <v>19</v>
      </c>
      <c r="C156" s="257" t="s">
        <v>85</v>
      </c>
      <c r="D156" s="113"/>
      <c r="E156" s="217"/>
      <c r="F156" s="217"/>
      <c r="G156" s="217"/>
      <c r="H156" s="217"/>
      <c r="I156" s="217"/>
      <c r="J156" s="217"/>
      <c r="K156" s="217"/>
      <c r="L156" s="217"/>
      <c r="M156" s="217"/>
      <c r="N156" s="217"/>
      <c r="O156" s="217"/>
    </row>
    <row r="157" spans="1:15" s="98" customFormat="1" ht="26.25" customHeight="1" x14ac:dyDescent="0.25">
      <c r="A157" s="106"/>
      <c r="B157" s="106"/>
      <c r="C157" s="384" t="s">
        <v>284</v>
      </c>
      <c r="D157" s="268"/>
      <c r="E157" s="217"/>
      <c r="F157" s="217"/>
      <c r="G157" s="217"/>
      <c r="H157" s="217"/>
      <c r="I157" s="217"/>
      <c r="J157" s="217"/>
      <c r="K157" s="217"/>
      <c r="L157" s="217"/>
      <c r="M157" s="217"/>
      <c r="N157" s="217"/>
      <c r="O157" s="217"/>
    </row>
    <row r="158" spans="1:15" s="98" customFormat="1" ht="18" customHeight="1" x14ac:dyDescent="0.25">
      <c r="A158" s="106"/>
      <c r="B158" s="106"/>
      <c r="C158" s="115" t="s">
        <v>287</v>
      </c>
      <c r="D158" s="259">
        <v>196919</v>
      </c>
      <c r="E158" s="252"/>
      <c r="F158" s="252"/>
      <c r="G158" s="252"/>
      <c r="H158" s="252">
        <v>8000</v>
      </c>
      <c r="I158" s="252"/>
      <c r="J158" s="252"/>
      <c r="K158" s="252"/>
      <c r="L158" s="252"/>
      <c r="M158" s="252"/>
      <c r="N158" s="252"/>
      <c r="O158" s="217">
        <f>SUM(H158:N158)</f>
        <v>8000</v>
      </c>
    </row>
    <row r="159" spans="1:15" s="98" customFormat="1" ht="24.9" customHeight="1" x14ac:dyDescent="0.25">
      <c r="A159" s="106"/>
      <c r="B159" s="106"/>
      <c r="C159" s="260" t="s">
        <v>206</v>
      </c>
      <c r="D159" s="261"/>
      <c r="E159" s="252"/>
      <c r="F159" s="252"/>
      <c r="G159" s="252"/>
      <c r="H159" s="252"/>
      <c r="I159" s="252"/>
      <c r="J159" s="252"/>
      <c r="K159" s="252"/>
      <c r="L159" s="252"/>
      <c r="M159" s="252"/>
      <c r="N159" s="252"/>
      <c r="O159" s="217"/>
    </row>
    <row r="160" spans="1:15" s="98" customFormat="1" ht="13.2" hidden="1" x14ac:dyDescent="0.25">
      <c r="A160" s="106" t="s">
        <v>86</v>
      </c>
      <c r="B160" s="106"/>
      <c r="C160" s="260" t="s">
        <v>285</v>
      </c>
      <c r="D160" s="259">
        <v>191102</v>
      </c>
      <c r="E160" s="252"/>
      <c r="F160" s="252"/>
      <c r="G160" s="252"/>
      <c r="H160" s="252"/>
      <c r="I160" s="252"/>
      <c r="J160" s="252"/>
      <c r="K160" s="252"/>
      <c r="L160" s="252"/>
      <c r="M160" s="252"/>
      <c r="N160" s="252"/>
      <c r="O160" s="217">
        <f t="shared" ref="O160:O163" si="17">SUM(E160:N160)</f>
        <v>0</v>
      </c>
    </row>
    <row r="161" spans="1:15" s="98" customFormat="1" ht="17.25" customHeight="1" x14ac:dyDescent="0.25">
      <c r="A161" s="106"/>
      <c r="B161" s="106"/>
      <c r="C161" s="115" t="s">
        <v>286</v>
      </c>
      <c r="D161" s="259">
        <v>191103</v>
      </c>
      <c r="E161" s="252"/>
      <c r="F161" s="252"/>
      <c r="G161" s="252"/>
      <c r="H161" s="252">
        <v>27797</v>
      </c>
      <c r="I161" s="252"/>
      <c r="J161" s="252"/>
      <c r="K161" s="252"/>
      <c r="L161" s="252"/>
      <c r="M161" s="252"/>
      <c r="N161" s="252"/>
      <c r="O161" s="217">
        <f t="shared" si="17"/>
        <v>27797</v>
      </c>
    </row>
    <row r="162" spans="1:15" s="98" customFormat="1" ht="22.5" hidden="1" customHeight="1" x14ac:dyDescent="0.25">
      <c r="A162" s="509"/>
      <c r="B162" s="509"/>
      <c r="C162" s="527" t="s">
        <v>1096</v>
      </c>
      <c r="D162" s="721">
        <v>192909</v>
      </c>
      <c r="E162" s="507"/>
      <c r="F162" s="507"/>
      <c r="G162" s="507"/>
      <c r="H162" s="507"/>
      <c r="I162" s="507"/>
      <c r="J162" s="507"/>
      <c r="K162" s="507"/>
      <c r="L162" s="507"/>
      <c r="M162" s="507"/>
      <c r="N162" s="507"/>
      <c r="O162" s="217">
        <f t="shared" si="17"/>
        <v>0</v>
      </c>
    </row>
    <row r="163" spans="1:15" s="98" customFormat="1" ht="26.4" hidden="1" x14ac:dyDescent="0.25">
      <c r="A163" s="106"/>
      <c r="B163" s="106"/>
      <c r="C163" s="260" t="s">
        <v>961</v>
      </c>
      <c r="D163" s="269">
        <v>191196</v>
      </c>
      <c r="E163" s="252"/>
      <c r="F163" s="252"/>
      <c r="G163" s="252"/>
      <c r="H163" s="252"/>
      <c r="I163" s="252"/>
      <c r="J163" s="252"/>
      <c r="K163" s="252"/>
      <c r="L163" s="252"/>
      <c r="M163" s="252"/>
      <c r="N163" s="252"/>
      <c r="O163" s="217">
        <f t="shared" si="17"/>
        <v>0</v>
      </c>
    </row>
    <row r="164" spans="1:15" s="98" customFormat="1" ht="24.9" customHeight="1" x14ac:dyDescent="0.25">
      <c r="A164" s="106"/>
      <c r="B164" s="106"/>
      <c r="C164" s="260" t="s">
        <v>288</v>
      </c>
      <c r="D164" s="261"/>
      <c r="E164" s="252"/>
      <c r="F164" s="252"/>
      <c r="G164" s="252"/>
      <c r="H164" s="252"/>
      <c r="I164" s="252"/>
      <c r="J164" s="252"/>
      <c r="K164" s="252"/>
      <c r="L164" s="252"/>
      <c r="M164" s="252"/>
      <c r="N164" s="252"/>
      <c r="O164" s="217"/>
    </row>
    <row r="165" spans="1:15" s="98" customFormat="1" ht="26.4" x14ac:dyDescent="0.25">
      <c r="A165" s="106"/>
      <c r="B165" s="106"/>
      <c r="C165" s="111" t="s">
        <v>749</v>
      </c>
      <c r="D165" s="258">
        <v>191901</v>
      </c>
      <c r="E165" s="252">
        <v>49837</v>
      </c>
      <c r="F165" s="352"/>
      <c r="G165" s="352"/>
      <c r="H165" s="352"/>
      <c r="I165" s="252"/>
      <c r="J165" s="252"/>
      <c r="K165" s="252"/>
      <c r="L165" s="252"/>
      <c r="M165" s="252"/>
      <c r="N165" s="252"/>
      <c r="O165" s="217">
        <f t="shared" ref="O165:O170" si="18">SUM(E165:N165)</f>
        <v>49837</v>
      </c>
    </row>
    <row r="166" spans="1:15" s="98" customFormat="1" ht="13.2" hidden="1" x14ac:dyDescent="0.25">
      <c r="A166" s="106"/>
      <c r="B166" s="106"/>
      <c r="C166" s="523" t="s">
        <v>962</v>
      </c>
      <c r="D166" s="524">
        <v>191901</v>
      </c>
      <c r="E166" s="252"/>
      <c r="F166" s="352"/>
      <c r="G166" s="352"/>
      <c r="H166" s="352"/>
      <c r="I166" s="252"/>
      <c r="J166" s="252"/>
      <c r="K166" s="252"/>
      <c r="L166" s="252"/>
      <c r="M166" s="252"/>
      <c r="N166" s="252"/>
      <c r="O166" s="217">
        <f t="shared" si="18"/>
        <v>0</v>
      </c>
    </row>
    <row r="167" spans="1:15" s="98" customFormat="1" ht="26.4" hidden="1" customHeight="1" x14ac:dyDescent="0.25">
      <c r="A167" s="106"/>
      <c r="B167" s="106"/>
      <c r="C167" s="526" t="s">
        <v>963</v>
      </c>
      <c r="D167" s="524">
        <v>191901</v>
      </c>
      <c r="E167" s="252"/>
      <c r="F167" s="352"/>
      <c r="G167" s="352"/>
      <c r="H167" s="352"/>
      <c r="I167" s="252"/>
      <c r="J167" s="252"/>
      <c r="K167" s="252"/>
      <c r="L167" s="252"/>
      <c r="M167" s="252"/>
      <c r="N167" s="252"/>
      <c r="O167" s="217">
        <f t="shared" si="18"/>
        <v>0</v>
      </c>
    </row>
    <row r="168" spans="1:15" s="98" customFormat="1" ht="24.6" hidden="1" customHeight="1" x14ac:dyDescent="0.25">
      <c r="A168" s="106"/>
      <c r="B168" s="106"/>
      <c r="C168" s="526" t="s">
        <v>964</v>
      </c>
      <c r="D168" s="524">
        <v>191901</v>
      </c>
      <c r="E168" s="252"/>
      <c r="F168" s="352"/>
      <c r="G168" s="352"/>
      <c r="H168" s="352"/>
      <c r="I168" s="252"/>
      <c r="J168" s="252"/>
      <c r="K168" s="252"/>
      <c r="L168" s="252"/>
      <c r="M168" s="252"/>
      <c r="N168" s="252"/>
      <c r="O168" s="217">
        <f t="shared" si="18"/>
        <v>0</v>
      </c>
    </row>
    <row r="169" spans="1:15" s="98" customFormat="1" ht="18" hidden="1" customHeight="1" x14ac:dyDescent="0.25">
      <c r="A169" s="509"/>
      <c r="B169" s="509"/>
      <c r="C169" s="523" t="s">
        <v>965</v>
      </c>
      <c r="D169" s="524">
        <v>191901</v>
      </c>
      <c r="E169" s="507"/>
      <c r="F169" s="525"/>
      <c r="G169" s="525"/>
      <c r="H169" s="525"/>
      <c r="I169" s="507"/>
      <c r="J169" s="507"/>
      <c r="K169" s="507"/>
      <c r="L169" s="507"/>
      <c r="M169" s="507"/>
      <c r="N169" s="507"/>
      <c r="O169" s="217">
        <f t="shared" si="18"/>
        <v>0</v>
      </c>
    </row>
    <row r="170" spans="1:15" s="98" customFormat="1" ht="18" hidden="1" customHeight="1" x14ac:dyDescent="0.25">
      <c r="A170" s="509"/>
      <c r="B170" s="509"/>
      <c r="C170" s="723" t="s">
        <v>1060</v>
      </c>
      <c r="D170" s="724">
        <v>191116</v>
      </c>
      <c r="E170" s="507"/>
      <c r="F170" s="525"/>
      <c r="G170" s="525"/>
      <c r="H170" s="525"/>
      <c r="I170" s="507"/>
      <c r="J170" s="507"/>
      <c r="K170" s="507"/>
      <c r="L170" s="507"/>
      <c r="M170" s="507"/>
      <c r="N170" s="507"/>
      <c r="O170" s="217">
        <f t="shared" si="18"/>
        <v>0</v>
      </c>
    </row>
    <row r="171" spans="1:15" s="98" customFormat="1" ht="28.5" customHeight="1" x14ac:dyDescent="0.25">
      <c r="A171" s="106"/>
      <c r="B171" s="106"/>
      <c r="C171" s="260" t="s">
        <v>289</v>
      </c>
      <c r="D171" s="261"/>
      <c r="E171" s="252"/>
      <c r="F171" s="352"/>
      <c r="G171" s="352"/>
      <c r="H171" s="352"/>
      <c r="I171" s="252"/>
      <c r="J171" s="252"/>
      <c r="K171" s="252"/>
      <c r="L171" s="252"/>
      <c r="M171" s="252"/>
      <c r="N171" s="252"/>
      <c r="O171" s="217"/>
    </row>
    <row r="172" spans="1:15" s="98" customFormat="1" ht="14.1" customHeight="1" x14ac:dyDescent="0.25">
      <c r="A172" s="106"/>
      <c r="B172" s="106"/>
      <c r="C172" s="115" t="s">
        <v>290</v>
      </c>
      <c r="D172" s="259">
        <v>191907</v>
      </c>
      <c r="E172" s="252"/>
      <c r="F172" s="252"/>
      <c r="G172" s="252">
        <v>45000</v>
      </c>
      <c r="H172" s="352"/>
      <c r="I172" s="252"/>
      <c r="J172" s="252"/>
      <c r="K172" s="252"/>
      <c r="L172" s="252"/>
      <c r="M172" s="252"/>
      <c r="N172" s="252"/>
      <c r="O172" s="217">
        <f t="shared" ref="O172:O176" si="19">SUM(E172:N172)</f>
        <v>45000</v>
      </c>
    </row>
    <row r="173" spans="1:15" s="98" customFormat="1" ht="14.1" hidden="1" customHeight="1" x14ac:dyDescent="0.25">
      <c r="A173" s="106"/>
      <c r="B173" s="106"/>
      <c r="C173" s="115" t="s">
        <v>291</v>
      </c>
      <c r="D173" s="259">
        <v>191907</v>
      </c>
      <c r="E173" s="252"/>
      <c r="F173" s="252"/>
      <c r="G173" s="252"/>
      <c r="H173" s="352"/>
      <c r="I173" s="252"/>
      <c r="J173" s="252"/>
      <c r="K173" s="252"/>
      <c r="L173" s="252"/>
      <c r="M173" s="252"/>
      <c r="N173" s="252"/>
      <c r="O173" s="217">
        <f t="shared" si="19"/>
        <v>0</v>
      </c>
    </row>
    <row r="174" spans="1:15" s="98" customFormat="1" ht="14.1" hidden="1" customHeight="1" x14ac:dyDescent="0.25">
      <c r="A174" s="106"/>
      <c r="B174" s="106"/>
      <c r="C174" s="115" t="s">
        <v>292</v>
      </c>
      <c r="D174" s="259">
        <v>191907</v>
      </c>
      <c r="E174" s="252"/>
      <c r="F174" s="252"/>
      <c r="G174" s="252"/>
      <c r="H174" s="352"/>
      <c r="I174" s="252"/>
      <c r="J174" s="252"/>
      <c r="K174" s="252"/>
      <c r="L174" s="252"/>
      <c r="M174" s="252"/>
      <c r="N174" s="252"/>
      <c r="O174" s="217">
        <f t="shared" si="19"/>
        <v>0</v>
      </c>
    </row>
    <row r="175" spans="1:15" s="98" customFormat="1" ht="14.1" hidden="1" customHeight="1" x14ac:dyDescent="0.25">
      <c r="A175" s="106"/>
      <c r="B175" s="106"/>
      <c r="C175" s="115" t="s">
        <v>293</v>
      </c>
      <c r="D175" s="259">
        <v>191907</v>
      </c>
      <c r="E175" s="252"/>
      <c r="F175" s="252"/>
      <c r="G175" s="252"/>
      <c r="H175" s="352"/>
      <c r="I175" s="252"/>
      <c r="J175" s="252"/>
      <c r="K175" s="252"/>
      <c r="L175" s="252"/>
      <c r="M175" s="252"/>
      <c r="N175" s="252"/>
      <c r="O175" s="217">
        <f t="shared" si="19"/>
        <v>0</v>
      </c>
    </row>
    <row r="176" spans="1:15" s="98" customFormat="1" ht="14.1" hidden="1" customHeight="1" x14ac:dyDescent="0.25">
      <c r="A176" s="106"/>
      <c r="B176" s="106"/>
      <c r="C176" s="115" t="s">
        <v>842</v>
      </c>
      <c r="D176" s="259">
        <v>191907</v>
      </c>
      <c r="E176" s="252"/>
      <c r="F176" s="252"/>
      <c r="G176" s="252"/>
      <c r="H176" s="352"/>
      <c r="I176" s="252"/>
      <c r="J176" s="252"/>
      <c r="K176" s="252"/>
      <c r="L176" s="252"/>
      <c r="M176" s="252"/>
      <c r="N176" s="252"/>
      <c r="O176" s="217">
        <f t="shared" si="19"/>
        <v>0</v>
      </c>
    </row>
    <row r="177" spans="1:15" s="98" customFormat="1" ht="24.75" hidden="1" customHeight="1" x14ac:dyDescent="0.25">
      <c r="A177" s="106"/>
      <c r="B177" s="106"/>
      <c r="C177" s="111" t="s">
        <v>294</v>
      </c>
      <c r="D177" s="258"/>
      <c r="E177" s="252"/>
      <c r="F177" s="252"/>
      <c r="G177" s="252"/>
      <c r="H177" s="352"/>
      <c r="I177" s="252"/>
      <c r="J177" s="252"/>
      <c r="K177" s="252"/>
      <c r="L177" s="252"/>
      <c r="M177" s="252"/>
      <c r="N177" s="252"/>
      <c r="O177" s="217"/>
    </row>
    <row r="178" spans="1:15" s="98" customFormat="1" ht="36.75" hidden="1" customHeight="1" x14ac:dyDescent="0.25">
      <c r="A178" s="106"/>
      <c r="B178" s="106"/>
      <c r="C178" s="109" t="s">
        <v>295</v>
      </c>
      <c r="D178" s="258">
        <v>191158</v>
      </c>
      <c r="E178" s="252"/>
      <c r="F178" s="252"/>
      <c r="G178" s="252"/>
      <c r="H178" s="352"/>
      <c r="I178" s="252"/>
      <c r="J178" s="252"/>
      <c r="K178" s="252"/>
      <c r="L178" s="252"/>
      <c r="M178" s="252"/>
      <c r="N178" s="252"/>
      <c r="O178" s="217">
        <f>SUM(E178:N178)</f>
        <v>0</v>
      </c>
    </row>
    <row r="179" spans="1:15" s="98" customFormat="1" ht="15" hidden="1" customHeight="1" x14ac:dyDescent="0.25">
      <c r="A179" s="106"/>
      <c r="B179" s="106"/>
      <c r="C179" s="109" t="s">
        <v>296</v>
      </c>
      <c r="D179" s="258"/>
      <c r="E179" s="252"/>
      <c r="F179" s="252"/>
      <c r="G179" s="252"/>
      <c r="H179" s="352"/>
      <c r="I179" s="252"/>
      <c r="J179" s="252"/>
      <c r="K179" s="252"/>
      <c r="L179" s="252"/>
      <c r="M179" s="252"/>
      <c r="N179" s="252"/>
      <c r="O179" s="217"/>
    </row>
    <row r="180" spans="1:15" s="98" customFormat="1" ht="24.9" hidden="1" customHeight="1" x14ac:dyDescent="0.25">
      <c r="A180" s="106"/>
      <c r="B180" s="106"/>
      <c r="C180" s="260" t="s">
        <v>297</v>
      </c>
      <c r="D180" s="269">
        <v>191906</v>
      </c>
      <c r="E180" s="252"/>
      <c r="F180" s="252"/>
      <c r="G180" s="252"/>
      <c r="H180" s="352"/>
      <c r="I180" s="252"/>
      <c r="J180" s="252"/>
      <c r="K180" s="252"/>
      <c r="L180" s="252"/>
      <c r="M180" s="252"/>
      <c r="N180" s="252"/>
      <c r="O180" s="217">
        <f>SUM(E180:N180)</f>
        <v>0</v>
      </c>
    </row>
    <row r="181" spans="1:15" s="98" customFormat="1" ht="19.2" hidden="1" customHeight="1" x14ac:dyDescent="0.25">
      <c r="A181" s="460"/>
      <c r="B181" s="460"/>
      <c r="C181" s="527" t="s">
        <v>273</v>
      </c>
      <c r="D181" s="521"/>
      <c r="E181" s="463"/>
      <c r="F181" s="463"/>
      <c r="G181" s="463"/>
      <c r="H181" s="464"/>
      <c r="I181" s="463"/>
      <c r="J181" s="463"/>
      <c r="K181" s="463"/>
      <c r="L181" s="463"/>
      <c r="M181" s="463"/>
      <c r="N181" s="463"/>
      <c r="O181" s="217"/>
    </row>
    <row r="182" spans="1:15" s="98" customFormat="1" ht="17.399999999999999" hidden="1" customHeight="1" x14ac:dyDescent="0.25">
      <c r="A182" s="460"/>
      <c r="B182" s="460"/>
      <c r="C182" s="528" t="s">
        <v>675</v>
      </c>
      <c r="D182" s="521">
        <v>196901</v>
      </c>
      <c r="E182" s="463"/>
      <c r="F182" s="463"/>
      <c r="G182" s="463"/>
      <c r="H182" s="464"/>
      <c r="I182" s="463"/>
      <c r="J182" s="463"/>
      <c r="K182" s="463"/>
      <c r="L182" s="463"/>
      <c r="M182" s="463"/>
      <c r="N182" s="463"/>
      <c r="O182" s="217">
        <f t="shared" ref="O182:O186" si="20">SUM(E182:N182)</f>
        <v>0</v>
      </c>
    </row>
    <row r="183" spans="1:15" s="98" customFormat="1" ht="17.399999999999999" customHeight="1" x14ac:dyDescent="0.25">
      <c r="A183" s="509"/>
      <c r="B183" s="509"/>
      <c r="C183" s="664" t="s">
        <v>215</v>
      </c>
      <c r="D183" s="521"/>
      <c r="E183" s="507"/>
      <c r="F183" s="507"/>
      <c r="G183" s="507"/>
      <c r="H183" s="525"/>
      <c r="I183" s="507"/>
      <c r="J183" s="507"/>
      <c r="K183" s="507"/>
      <c r="L183" s="507"/>
      <c r="M183" s="507"/>
      <c r="N183" s="507"/>
      <c r="O183" s="217"/>
    </row>
    <row r="184" spans="1:15" s="98" customFormat="1" ht="17.399999999999999" hidden="1" customHeight="1" x14ac:dyDescent="0.25">
      <c r="A184" s="787"/>
      <c r="B184" s="787"/>
      <c r="C184" s="790" t="s">
        <v>1135</v>
      </c>
      <c r="D184" s="791">
        <v>191193</v>
      </c>
      <c r="E184" s="788"/>
      <c r="F184" s="788"/>
      <c r="G184" s="788"/>
      <c r="H184" s="789"/>
      <c r="I184" s="788"/>
      <c r="J184" s="788"/>
      <c r="K184" s="788"/>
      <c r="L184" s="788"/>
      <c r="M184" s="788"/>
      <c r="N184" s="788"/>
      <c r="O184" s="217">
        <f t="shared" si="20"/>
        <v>0</v>
      </c>
    </row>
    <row r="185" spans="1:15" s="98" customFormat="1" ht="17.399999999999999" hidden="1" customHeight="1" x14ac:dyDescent="0.25">
      <c r="A185" s="509"/>
      <c r="B185" s="509"/>
      <c r="C185" s="664" t="s">
        <v>676</v>
      </c>
      <c r="D185" s="521">
        <v>191104</v>
      </c>
      <c r="E185" s="507"/>
      <c r="F185" s="507"/>
      <c r="G185" s="507"/>
      <c r="H185" s="507"/>
      <c r="I185" s="507"/>
      <c r="J185" s="507"/>
      <c r="K185" s="507"/>
      <c r="L185" s="507"/>
      <c r="M185" s="507"/>
      <c r="N185" s="507"/>
      <c r="O185" s="217">
        <f t="shared" si="20"/>
        <v>0</v>
      </c>
    </row>
    <row r="186" spans="1:15" s="98" customFormat="1" ht="17.399999999999999" customHeight="1" x14ac:dyDescent="0.25">
      <c r="A186" s="787"/>
      <c r="B186" s="787"/>
      <c r="C186" s="740" t="s">
        <v>1151</v>
      </c>
      <c r="D186" s="821">
        <v>192902</v>
      </c>
      <c r="E186" s="788"/>
      <c r="F186" s="788"/>
      <c r="G186" s="788"/>
      <c r="H186" s="788"/>
      <c r="I186" s="788"/>
      <c r="J186" s="788">
        <v>2000</v>
      </c>
      <c r="K186" s="788"/>
      <c r="L186" s="788"/>
      <c r="M186" s="788"/>
      <c r="N186" s="788"/>
      <c r="O186" s="217">
        <f t="shared" si="20"/>
        <v>2000</v>
      </c>
    </row>
    <row r="187" spans="1:15" s="98" customFormat="1" ht="15.75" customHeight="1" x14ac:dyDescent="0.25">
      <c r="A187" s="117"/>
      <c r="B187" s="112"/>
      <c r="C187" s="255" t="s">
        <v>298</v>
      </c>
      <c r="D187" s="112"/>
      <c r="E187" s="256">
        <f>SUM(E157:E186)</f>
        <v>49837</v>
      </c>
      <c r="F187" s="256">
        <f t="shared" ref="F187:O187" si="21">SUM(F157:F186)</f>
        <v>0</v>
      </c>
      <c r="G187" s="256">
        <f t="shared" si="21"/>
        <v>45000</v>
      </c>
      <c r="H187" s="256">
        <f t="shared" si="21"/>
        <v>35797</v>
      </c>
      <c r="I187" s="256">
        <f t="shared" si="21"/>
        <v>0</v>
      </c>
      <c r="J187" s="256">
        <f t="shared" si="21"/>
        <v>2000</v>
      </c>
      <c r="K187" s="256">
        <f t="shared" si="21"/>
        <v>0</v>
      </c>
      <c r="L187" s="256">
        <f t="shared" si="21"/>
        <v>0</v>
      </c>
      <c r="M187" s="256">
        <f t="shared" si="21"/>
        <v>0</v>
      </c>
      <c r="N187" s="256">
        <f t="shared" si="21"/>
        <v>0</v>
      </c>
      <c r="O187" s="256">
        <f t="shared" si="21"/>
        <v>132634</v>
      </c>
    </row>
    <row r="188" spans="1:15" s="98" customFormat="1" ht="17.100000000000001" customHeight="1" x14ac:dyDescent="0.25">
      <c r="A188" s="106">
        <v>1</v>
      </c>
      <c r="B188" s="113">
        <v>22</v>
      </c>
      <c r="C188" s="257" t="s">
        <v>7</v>
      </c>
      <c r="D188" s="113"/>
      <c r="E188" s="270"/>
      <c r="F188" s="270"/>
      <c r="G188" s="270"/>
      <c r="H188" s="270"/>
      <c r="I188" s="270"/>
      <c r="J188" s="270"/>
      <c r="K188" s="270"/>
      <c r="L188" s="270"/>
      <c r="M188" s="270"/>
      <c r="N188" s="270"/>
      <c r="O188" s="270"/>
    </row>
    <row r="189" spans="1:15" s="98" customFormat="1" ht="17.100000000000001" hidden="1" customHeight="1" x14ac:dyDescent="0.25">
      <c r="A189" s="509"/>
      <c r="B189" s="725"/>
      <c r="C189" s="323" t="s">
        <v>229</v>
      </c>
      <c r="D189" s="725"/>
      <c r="E189" s="726"/>
      <c r="F189" s="726"/>
      <c r="G189" s="726"/>
      <c r="H189" s="726"/>
      <c r="I189" s="726"/>
      <c r="J189" s="726"/>
      <c r="K189" s="726"/>
      <c r="L189" s="726"/>
      <c r="M189" s="726"/>
      <c r="N189" s="726"/>
      <c r="O189" s="726"/>
    </row>
    <row r="190" spans="1:15" s="98" customFormat="1" ht="17.100000000000001" hidden="1" customHeight="1" x14ac:dyDescent="0.25">
      <c r="A190" s="509"/>
      <c r="B190" s="725"/>
      <c r="C190" s="727" t="s">
        <v>704</v>
      </c>
      <c r="D190" s="509" t="s">
        <v>705</v>
      </c>
      <c r="E190" s="508"/>
      <c r="F190" s="508"/>
      <c r="G190" s="508"/>
      <c r="H190" s="508"/>
      <c r="I190" s="508"/>
      <c r="J190" s="508"/>
      <c r="K190" s="508"/>
      <c r="L190" s="508"/>
      <c r="M190" s="508"/>
      <c r="N190" s="508"/>
      <c r="O190" s="508">
        <f>SUM(E190:N190)</f>
        <v>0</v>
      </c>
    </row>
    <row r="191" spans="1:15" s="98" customFormat="1" ht="17.100000000000001" hidden="1" customHeight="1" x14ac:dyDescent="0.25">
      <c r="A191" s="509"/>
      <c r="B191" s="725"/>
      <c r="C191" s="727" t="s">
        <v>696</v>
      </c>
      <c r="D191" s="509">
        <v>221939</v>
      </c>
      <c r="E191" s="508"/>
      <c r="F191" s="508"/>
      <c r="G191" s="508"/>
      <c r="H191" s="508"/>
      <c r="I191" s="508"/>
      <c r="J191" s="508"/>
      <c r="K191" s="508"/>
      <c r="L191" s="508"/>
      <c r="M191" s="508"/>
      <c r="N191" s="508"/>
      <c r="O191" s="508">
        <f>SUM(E191:N191)</f>
        <v>0</v>
      </c>
    </row>
    <row r="192" spans="1:15" s="98" customFormat="1" ht="17.100000000000001" hidden="1" customHeight="1" x14ac:dyDescent="0.25">
      <c r="A192" s="509"/>
      <c r="B192" s="725"/>
      <c r="C192" s="546" t="s">
        <v>1097</v>
      </c>
      <c r="D192" s="755">
        <v>221925</v>
      </c>
      <c r="E192" s="508"/>
      <c r="F192" s="508"/>
      <c r="G192" s="508"/>
      <c r="H192" s="508"/>
      <c r="I192" s="508"/>
      <c r="J192" s="508"/>
      <c r="K192" s="508"/>
      <c r="L192" s="508"/>
      <c r="M192" s="508"/>
      <c r="N192" s="508"/>
      <c r="O192" s="508">
        <f>SUM(E192:N192)</f>
        <v>0</v>
      </c>
    </row>
    <row r="193" spans="1:15" s="98" customFormat="1" ht="21.75" hidden="1" customHeight="1" x14ac:dyDescent="0.25">
      <c r="A193" s="787"/>
      <c r="B193" s="782"/>
      <c r="C193" s="783" t="s">
        <v>1136</v>
      </c>
      <c r="D193" s="787">
        <v>221956</v>
      </c>
      <c r="E193" s="785"/>
      <c r="F193" s="785"/>
      <c r="G193" s="785"/>
      <c r="H193" s="785"/>
      <c r="I193" s="785"/>
      <c r="J193" s="785"/>
      <c r="K193" s="785"/>
      <c r="L193" s="785"/>
      <c r="M193" s="785"/>
      <c r="N193" s="785"/>
      <c r="O193" s="508">
        <f t="shared" ref="O193:O195" si="22">SUM(E193:N193)</f>
        <v>0</v>
      </c>
    </row>
    <row r="194" spans="1:15" s="98" customFormat="1" ht="17.100000000000001" hidden="1" customHeight="1" x14ac:dyDescent="0.25">
      <c r="A194" s="787"/>
      <c r="B194" s="782"/>
      <c r="C194" s="792" t="s">
        <v>206</v>
      </c>
      <c r="D194" s="787"/>
      <c r="E194" s="785"/>
      <c r="F194" s="785"/>
      <c r="G194" s="785"/>
      <c r="H194" s="785"/>
      <c r="I194" s="785"/>
      <c r="J194" s="785"/>
      <c r="K194" s="785"/>
      <c r="L194" s="785"/>
      <c r="M194" s="785"/>
      <c r="N194" s="785"/>
      <c r="O194" s="508"/>
    </row>
    <row r="195" spans="1:15" s="98" customFormat="1" ht="17.100000000000001" hidden="1" customHeight="1" x14ac:dyDescent="0.25">
      <c r="A195" s="787"/>
      <c r="B195" s="782"/>
      <c r="C195" s="740" t="s">
        <v>699</v>
      </c>
      <c r="D195" s="787">
        <v>191110</v>
      </c>
      <c r="E195" s="785"/>
      <c r="F195" s="785"/>
      <c r="G195" s="785"/>
      <c r="H195" s="785"/>
      <c r="I195" s="785"/>
      <c r="J195" s="785"/>
      <c r="K195" s="785"/>
      <c r="L195" s="785"/>
      <c r="M195" s="785"/>
      <c r="N195" s="785"/>
      <c r="O195" s="508">
        <f t="shared" si="22"/>
        <v>0</v>
      </c>
    </row>
    <row r="196" spans="1:15" s="98" customFormat="1" ht="17.100000000000001" hidden="1" customHeight="1" x14ac:dyDescent="0.25">
      <c r="A196" s="509"/>
      <c r="B196" s="725"/>
      <c r="C196" s="628" t="s">
        <v>215</v>
      </c>
      <c r="D196" s="725"/>
      <c r="E196" s="508"/>
      <c r="F196" s="508"/>
      <c r="G196" s="508"/>
      <c r="H196" s="508"/>
      <c r="I196" s="508"/>
      <c r="J196" s="508"/>
      <c r="K196" s="508"/>
      <c r="L196" s="508"/>
      <c r="M196" s="508"/>
      <c r="N196" s="508"/>
      <c r="O196" s="508"/>
    </row>
    <row r="197" spans="1:15" s="98" customFormat="1" ht="17.100000000000001" hidden="1" customHeight="1" x14ac:dyDescent="0.25">
      <c r="A197" s="509"/>
      <c r="B197" s="725"/>
      <c r="C197" s="727" t="s">
        <v>1081</v>
      </c>
      <c r="D197" s="509">
        <v>222933</v>
      </c>
      <c r="E197" s="508"/>
      <c r="F197" s="508"/>
      <c r="G197" s="508"/>
      <c r="H197" s="508"/>
      <c r="I197" s="508"/>
      <c r="J197" s="508"/>
      <c r="K197" s="508"/>
      <c r="L197" s="508"/>
      <c r="M197" s="508"/>
      <c r="N197" s="508"/>
      <c r="O197" s="508">
        <f t="shared" ref="O197" si="23">SUM(E197:N197)</f>
        <v>0</v>
      </c>
    </row>
    <row r="198" spans="1:15" s="98" customFormat="1" ht="17.100000000000001" customHeight="1" x14ac:dyDescent="0.25">
      <c r="A198" s="117"/>
      <c r="B198" s="112"/>
      <c r="C198" s="255" t="s">
        <v>299</v>
      </c>
      <c r="D198" s="112"/>
      <c r="E198" s="256">
        <f>SUM(E189:E197)</f>
        <v>0</v>
      </c>
      <c r="F198" s="256">
        <f t="shared" ref="F198:O198" si="24">SUM(F189:F197)</f>
        <v>0</v>
      </c>
      <c r="G198" s="256">
        <f t="shared" si="24"/>
        <v>0</v>
      </c>
      <c r="H198" s="256">
        <f t="shared" si="24"/>
        <v>0</v>
      </c>
      <c r="I198" s="256">
        <f t="shared" si="24"/>
        <v>0</v>
      </c>
      <c r="J198" s="256">
        <f t="shared" si="24"/>
        <v>0</v>
      </c>
      <c r="K198" s="256">
        <f t="shared" si="24"/>
        <v>0</v>
      </c>
      <c r="L198" s="256">
        <f t="shared" si="24"/>
        <v>0</v>
      </c>
      <c r="M198" s="256">
        <f t="shared" si="24"/>
        <v>0</v>
      </c>
      <c r="N198" s="256">
        <f t="shared" si="24"/>
        <v>0</v>
      </c>
      <c r="O198" s="256">
        <f t="shared" si="24"/>
        <v>0</v>
      </c>
    </row>
    <row r="199" spans="1:15" s="98" customFormat="1" ht="24.9" customHeight="1" x14ac:dyDescent="0.25">
      <c r="A199" s="112"/>
      <c r="B199" s="112"/>
      <c r="C199" s="118" t="s">
        <v>10</v>
      </c>
      <c r="D199" s="272"/>
      <c r="E199" s="256">
        <f t="shared" ref="E199:O199" si="25">SUM(E8+E30+E35+E58+E112+E146+E155+E187+E198)</f>
        <v>69322</v>
      </c>
      <c r="F199" s="256">
        <f t="shared" si="25"/>
        <v>557798</v>
      </c>
      <c r="G199" s="256">
        <f t="shared" si="25"/>
        <v>45000</v>
      </c>
      <c r="H199" s="256">
        <f t="shared" si="25"/>
        <v>460106</v>
      </c>
      <c r="I199" s="256">
        <f t="shared" si="25"/>
        <v>0</v>
      </c>
      <c r="J199" s="256">
        <f t="shared" si="25"/>
        <v>14421</v>
      </c>
      <c r="K199" s="256">
        <f t="shared" si="25"/>
        <v>0</v>
      </c>
      <c r="L199" s="256">
        <f t="shared" si="25"/>
        <v>0</v>
      </c>
      <c r="M199" s="256">
        <f t="shared" si="25"/>
        <v>0</v>
      </c>
      <c r="N199" s="256">
        <f t="shared" si="25"/>
        <v>0</v>
      </c>
      <c r="O199" s="256">
        <f t="shared" si="25"/>
        <v>1146647</v>
      </c>
    </row>
    <row r="200" spans="1:15" s="711" customFormat="1" ht="15.9" customHeight="1" x14ac:dyDescent="0.25">
      <c r="A200" s="106">
        <v>2</v>
      </c>
      <c r="B200" s="106"/>
      <c r="C200" s="718" t="s">
        <v>174</v>
      </c>
      <c r="D200" s="719"/>
      <c r="E200" s="217">
        <f>táj3!D23</f>
        <v>14080</v>
      </c>
      <c r="F200" s="217">
        <f>táj3!E23</f>
        <v>3803</v>
      </c>
      <c r="G200" s="217">
        <f>táj3!F23</f>
        <v>1250</v>
      </c>
      <c r="H200" s="217">
        <f>táj3!G23</f>
        <v>15213</v>
      </c>
      <c r="I200" s="217">
        <f>táj3!H23</f>
        <v>115</v>
      </c>
      <c r="J200" s="217">
        <f>táj3!I23</f>
        <v>218</v>
      </c>
      <c r="K200" s="217">
        <f>táj3!J23</f>
        <v>1424</v>
      </c>
      <c r="L200" s="217"/>
      <c r="M200" s="217">
        <f>táj3!K23</f>
        <v>0</v>
      </c>
      <c r="N200" s="217">
        <f>táj3!M23</f>
        <v>0</v>
      </c>
      <c r="O200" s="217">
        <f>SUM(E200:N200)</f>
        <v>36103</v>
      </c>
    </row>
    <row r="201" spans="1:15" s="98" customFormat="1" ht="15.9" customHeight="1" x14ac:dyDescent="0.25">
      <c r="A201" s="112"/>
      <c r="B201" s="112"/>
      <c r="C201" s="273" t="s">
        <v>164</v>
      </c>
      <c r="D201" s="112"/>
      <c r="E201" s="256">
        <f>SUM(E199:E200)</f>
        <v>83402</v>
      </c>
      <c r="F201" s="256">
        <f>SUM(F199:F200)</f>
        <v>561601</v>
      </c>
      <c r="G201" s="256">
        <f t="shared" ref="G201:O201" si="26">SUM(G199:G200)</f>
        <v>46250</v>
      </c>
      <c r="H201" s="256">
        <f t="shared" si="26"/>
        <v>475319</v>
      </c>
      <c r="I201" s="256">
        <f t="shared" si="26"/>
        <v>115</v>
      </c>
      <c r="J201" s="256">
        <f t="shared" si="26"/>
        <v>14639</v>
      </c>
      <c r="K201" s="256">
        <f t="shared" si="26"/>
        <v>1424</v>
      </c>
      <c r="L201" s="256">
        <f t="shared" si="26"/>
        <v>0</v>
      </c>
      <c r="M201" s="256">
        <f t="shared" si="26"/>
        <v>0</v>
      </c>
      <c r="N201" s="256">
        <f t="shared" si="26"/>
        <v>0</v>
      </c>
      <c r="O201" s="256">
        <f t="shared" si="26"/>
        <v>1182750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2023.  ÉVI BEVÉTELI ELŐIRÁNYZATAINAK MÓDOSÍTÁSA&amp;R&amp;"Times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621"/>
  <sheetViews>
    <sheetView tabSelected="1" topLeftCell="B1" zoomScale="99" zoomScaleNormal="99" zoomScaleSheetLayoutView="120" workbookViewId="0">
      <pane ySplit="2" topLeftCell="A603" activePane="bottomLeft" state="frozen"/>
      <selection activeCell="A30" sqref="A30"/>
      <selection pane="bottomLeft" activeCell="B90" sqref="A90:XFD90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2" customWidth="1"/>
    <col min="14" max="14" width="8.77734375" style="212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847" t="s">
        <v>87</v>
      </c>
      <c r="B1" s="847" t="s">
        <v>88</v>
      </c>
      <c r="C1" s="847" t="s">
        <v>17</v>
      </c>
      <c r="D1" s="849" t="s">
        <v>124</v>
      </c>
      <c r="E1" s="851" t="s">
        <v>300</v>
      </c>
      <c r="F1" s="853" t="s">
        <v>205</v>
      </c>
      <c r="G1" s="855" t="s">
        <v>130</v>
      </c>
      <c r="H1" s="855"/>
      <c r="I1" s="855"/>
      <c r="J1" s="855"/>
      <c r="K1" s="855"/>
      <c r="L1" s="855"/>
      <c r="M1" s="855"/>
      <c r="N1" s="856"/>
      <c r="O1" s="857" t="s">
        <v>129</v>
      </c>
      <c r="P1" s="856"/>
      <c r="Q1" s="844" t="s">
        <v>301</v>
      </c>
      <c r="R1" s="876" t="s">
        <v>927</v>
      </c>
    </row>
    <row r="2" spans="1:18" ht="57.9" customHeight="1" thickBot="1" x14ac:dyDescent="0.3">
      <c r="A2" s="848"/>
      <c r="B2" s="848"/>
      <c r="C2" s="848"/>
      <c r="D2" s="850"/>
      <c r="E2" s="852"/>
      <c r="F2" s="854"/>
      <c r="G2" s="220" t="s">
        <v>111</v>
      </c>
      <c r="H2" s="119" t="s">
        <v>189</v>
      </c>
      <c r="I2" s="119" t="s">
        <v>183</v>
      </c>
      <c r="J2" s="119" t="s">
        <v>15</v>
      </c>
      <c r="K2" s="119" t="s">
        <v>22</v>
      </c>
      <c r="L2" s="119" t="s">
        <v>20</v>
      </c>
      <c r="M2" s="119" t="s">
        <v>19</v>
      </c>
      <c r="N2" s="119" t="s">
        <v>16</v>
      </c>
      <c r="O2" s="120" t="s">
        <v>134</v>
      </c>
      <c r="P2" s="121" t="s">
        <v>136</v>
      </c>
      <c r="Q2" s="845"/>
      <c r="R2" s="877"/>
    </row>
    <row r="3" spans="1:18" ht="16.5" customHeight="1" x14ac:dyDescent="0.25">
      <c r="A3" s="122">
        <v>1</v>
      </c>
      <c r="B3" s="123"/>
      <c r="C3" s="124"/>
      <c r="D3" s="274" t="s">
        <v>302</v>
      </c>
      <c r="E3" s="125"/>
      <c r="F3" s="126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8"/>
      <c r="R3" s="437"/>
    </row>
    <row r="4" spans="1:18" ht="12.75" customHeight="1" x14ac:dyDescent="0.25">
      <c r="A4" s="123">
        <v>1</v>
      </c>
      <c r="B4" s="123">
        <v>1</v>
      </c>
      <c r="C4" s="123"/>
      <c r="D4" s="274" t="s">
        <v>3</v>
      </c>
      <c r="E4" s="108"/>
      <c r="F4" s="129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437"/>
    </row>
    <row r="5" spans="1:18" ht="12" customHeight="1" x14ac:dyDescent="0.25">
      <c r="A5" s="130">
        <v>1</v>
      </c>
      <c r="B5" s="130">
        <v>12</v>
      </c>
      <c r="C5" s="130"/>
      <c r="D5" s="131" t="s">
        <v>99</v>
      </c>
      <c r="E5" s="132"/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437"/>
    </row>
    <row r="6" spans="1:18" ht="14.4" hidden="1" customHeight="1" x14ac:dyDescent="0.25">
      <c r="A6" s="130"/>
      <c r="B6" s="130"/>
      <c r="C6" s="135"/>
      <c r="D6" s="136" t="s">
        <v>303</v>
      </c>
      <c r="E6" s="137"/>
      <c r="F6" s="138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437"/>
    </row>
    <row r="7" spans="1:18" ht="14.4" hidden="1" customHeight="1" x14ac:dyDescent="0.25">
      <c r="A7" s="130"/>
      <c r="B7" s="130"/>
      <c r="C7" s="135"/>
      <c r="D7" s="139" t="s">
        <v>304</v>
      </c>
      <c r="E7" s="140">
        <v>2</v>
      </c>
      <c r="F7" s="141">
        <v>121103</v>
      </c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>
        <f>SUM(G7:P7)</f>
        <v>0</v>
      </c>
      <c r="R7" s="437"/>
    </row>
    <row r="8" spans="1:18" ht="14.4" customHeight="1" x14ac:dyDescent="0.25">
      <c r="A8" s="130"/>
      <c r="B8" s="130"/>
      <c r="C8" s="135"/>
      <c r="D8" s="139" t="s">
        <v>305</v>
      </c>
      <c r="E8" s="140"/>
      <c r="F8" s="141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437"/>
    </row>
    <row r="9" spans="1:18" ht="14.4" customHeight="1" x14ac:dyDescent="0.25">
      <c r="A9" s="130"/>
      <c r="B9" s="130"/>
      <c r="C9" s="135"/>
      <c r="D9" s="139" t="s">
        <v>306</v>
      </c>
      <c r="E9" s="140">
        <v>2</v>
      </c>
      <c r="F9" s="141">
        <v>121104</v>
      </c>
      <c r="G9" s="134"/>
      <c r="H9" s="134"/>
      <c r="I9" s="134"/>
      <c r="J9" s="134">
        <v>-2700</v>
      </c>
      <c r="K9" s="134"/>
      <c r="L9" s="134"/>
      <c r="M9" s="134"/>
      <c r="N9" s="134"/>
      <c r="O9" s="134"/>
      <c r="P9" s="134"/>
      <c r="Q9" s="134">
        <f>SUM(G9:P9)</f>
        <v>-2700</v>
      </c>
      <c r="R9" s="437" t="s">
        <v>1152</v>
      </c>
    </row>
    <row r="10" spans="1:18" ht="20.399999999999999" hidden="1" customHeight="1" x14ac:dyDescent="0.25">
      <c r="A10" s="130"/>
      <c r="B10" s="130"/>
      <c r="C10" s="135"/>
      <c r="D10" s="415" t="s">
        <v>307</v>
      </c>
      <c r="E10" s="140">
        <v>2</v>
      </c>
      <c r="F10" s="141">
        <v>121117</v>
      </c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>
        <f>SUM(G10:P10)</f>
        <v>0</v>
      </c>
      <c r="R10" s="437"/>
    </row>
    <row r="11" spans="1:18" ht="19.2" hidden="1" customHeight="1" x14ac:dyDescent="0.25">
      <c r="A11" s="529"/>
      <c r="B11" s="529"/>
      <c r="C11" s="530"/>
      <c r="D11" s="531" t="s">
        <v>966</v>
      </c>
      <c r="E11" s="532">
        <v>2</v>
      </c>
      <c r="F11" s="533">
        <v>121202</v>
      </c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134">
        <f t="shared" ref="Q11:Q12" si="0">SUM(G11:P11)</f>
        <v>0</v>
      </c>
      <c r="R11" s="535"/>
    </row>
    <row r="12" spans="1:18" ht="15.6" hidden="1" customHeight="1" x14ac:dyDescent="0.25">
      <c r="A12" s="529"/>
      <c r="B12" s="529"/>
      <c r="C12" s="530"/>
      <c r="D12" s="531" t="s">
        <v>1037</v>
      </c>
      <c r="E12" s="532">
        <v>2</v>
      </c>
      <c r="F12" s="533">
        <v>121205</v>
      </c>
      <c r="G12" s="534"/>
      <c r="H12" s="534"/>
      <c r="I12" s="534"/>
      <c r="J12" s="534"/>
      <c r="K12" s="534"/>
      <c r="L12" s="534"/>
      <c r="M12" s="534"/>
      <c r="N12" s="534"/>
      <c r="O12" s="534"/>
      <c r="P12" s="534"/>
      <c r="Q12" s="134">
        <f t="shared" si="0"/>
        <v>0</v>
      </c>
      <c r="R12" s="535"/>
    </row>
    <row r="13" spans="1:18" ht="14.4" customHeight="1" x14ac:dyDescent="0.25">
      <c r="A13" s="130"/>
      <c r="B13" s="130"/>
      <c r="C13" s="135"/>
      <c r="D13" s="139" t="s">
        <v>308</v>
      </c>
      <c r="E13" s="140"/>
      <c r="F13" s="141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437"/>
    </row>
    <row r="14" spans="1:18" ht="14.4" hidden="1" customHeight="1" x14ac:dyDescent="0.25">
      <c r="A14" s="130"/>
      <c r="B14" s="130"/>
      <c r="C14" s="135"/>
      <c r="D14" s="139" t="s">
        <v>309</v>
      </c>
      <c r="E14" s="140">
        <v>2</v>
      </c>
      <c r="F14" s="141">
        <v>121111</v>
      </c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>
        <f t="shared" ref="Q14:Q18" si="1">SUM(G14:P14)</f>
        <v>0</v>
      </c>
      <c r="R14" s="437"/>
    </row>
    <row r="15" spans="1:18" ht="14.4" hidden="1" customHeight="1" x14ac:dyDescent="0.25">
      <c r="A15" s="130"/>
      <c r="B15" s="130"/>
      <c r="C15" s="135"/>
      <c r="D15" s="139" t="s">
        <v>310</v>
      </c>
      <c r="E15" s="140">
        <v>2</v>
      </c>
      <c r="F15" s="140">
        <v>121127</v>
      </c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>
        <f t="shared" si="1"/>
        <v>0</v>
      </c>
      <c r="R15" s="437"/>
    </row>
    <row r="16" spans="1:18" ht="14.4" customHeight="1" x14ac:dyDescent="0.25">
      <c r="A16" s="130"/>
      <c r="B16" s="130"/>
      <c r="C16" s="135"/>
      <c r="D16" s="139" t="s">
        <v>1153</v>
      </c>
      <c r="E16" s="140">
        <v>2</v>
      </c>
      <c r="F16" s="140">
        <v>121115</v>
      </c>
      <c r="G16" s="134"/>
      <c r="H16" s="134"/>
      <c r="I16" s="134"/>
      <c r="J16" s="134">
        <v>2000</v>
      </c>
      <c r="K16" s="134"/>
      <c r="L16" s="134"/>
      <c r="M16" s="134"/>
      <c r="N16" s="134"/>
      <c r="O16" s="134"/>
      <c r="P16" s="134"/>
      <c r="Q16" s="134">
        <f t="shared" si="1"/>
        <v>2000</v>
      </c>
      <c r="R16" s="437" t="s">
        <v>1152</v>
      </c>
    </row>
    <row r="17" spans="1:18" ht="14.4" hidden="1" customHeight="1" x14ac:dyDescent="0.25">
      <c r="A17" s="130"/>
      <c r="B17" s="130"/>
      <c r="C17" s="135"/>
      <c r="D17" s="139" t="s">
        <v>311</v>
      </c>
      <c r="E17" s="140">
        <v>2</v>
      </c>
      <c r="F17" s="140">
        <v>121129</v>
      </c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>
        <f t="shared" si="1"/>
        <v>0</v>
      </c>
      <c r="R17" s="437"/>
    </row>
    <row r="18" spans="1:18" ht="14.4" customHeight="1" x14ac:dyDescent="0.25">
      <c r="A18" s="130"/>
      <c r="B18" s="130"/>
      <c r="C18" s="135"/>
      <c r="D18" s="416" t="s">
        <v>312</v>
      </c>
      <c r="E18" s="140">
        <v>2</v>
      </c>
      <c r="F18" s="140">
        <v>121106</v>
      </c>
      <c r="G18" s="134"/>
      <c r="H18" s="134"/>
      <c r="I18" s="134"/>
      <c r="J18" s="134">
        <v>1000</v>
      </c>
      <c r="K18" s="134"/>
      <c r="L18" s="134"/>
      <c r="M18" s="134"/>
      <c r="N18" s="134"/>
      <c r="O18" s="134"/>
      <c r="P18" s="134"/>
      <c r="Q18" s="134">
        <f t="shared" si="1"/>
        <v>1000</v>
      </c>
      <c r="R18" s="437" t="s">
        <v>1152</v>
      </c>
    </row>
    <row r="19" spans="1:18" ht="27" hidden="1" customHeight="1" x14ac:dyDescent="0.25">
      <c r="A19" s="130"/>
      <c r="B19" s="130"/>
      <c r="C19" s="135"/>
      <c r="D19" s="417" t="s">
        <v>313</v>
      </c>
      <c r="E19" s="140"/>
      <c r="F19" s="14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437"/>
    </row>
    <row r="20" spans="1:18" ht="14.4" hidden="1" customHeight="1" x14ac:dyDescent="0.25">
      <c r="A20" s="130"/>
      <c r="B20" s="130"/>
      <c r="C20" s="135"/>
      <c r="D20" s="139" t="s">
        <v>314</v>
      </c>
      <c r="E20" s="140">
        <v>2</v>
      </c>
      <c r="F20" s="140">
        <v>121131</v>
      </c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>
        <f>SUM(G20:P20)</f>
        <v>0</v>
      </c>
      <c r="R20" s="437"/>
    </row>
    <row r="21" spans="1:18" ht="14.4" hidden="1" customHeight="1" x14ac:dyDescent="0.25">
      <c r="A21" s="130"/>
      <c r="B21" s="130"/>
      <c r="C21" s="135"/>
      <c r="D21" s="139" t="s">
        <v>305</v>
      </c>
      <c r="E21" s="140"/>
      <c r="F21" s="140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437"/>
    </row>
    <row r="22" spans="1:18" ht="14.4" hidden="1" customHeight="1" x14ac:dyDescent="0.25">
      <c r="A22" s="130"/>
      <c r="B22" s="130"/>
      <c r="C22" s="135"/>
      <c r="D22" s="139" t="s">
        <v>315</v>
      </c>
      <c r="E22" s="140">
        <v>2</v>
      </c>
      <c r="F22" s="140">
        <v>121130</v>
      </c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>
        <f>SUM(G22:P22)</f>
        <v>0</v>
      </c>
      <c r="R22" s="437"/>
    </row>
    <row r="23" spans="1:18" ht="14.4" customHeight="1" x14ac:dyDescent="0.25">
      <c r="A23" s="130"/>
      <c r="B23" s="130"/>
      <c r="C23" s="135"/>
      <c r="D23" s="139" t="s">
        <v>308</v>
      </c>
      <c r="E23" s="140"/>
      <c r="F23" s="140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437"/>
    </row>
    <row r="24" spans="1:18" ht="14.4" customHeight="1" x14ac:dyDescent="0.25">
      <c r="A24" s="130"/>
      <c r="B24" s="130"/>
      <c r="C24" s="135"/>
      <c r="D24" s="139" t="s">
        <v>316</v>
      </c>
      <c r="E24" s="140">
        <v>1</v>
      </c>
      <c r="F24" s="141">
        <v>121204</v>
      </c>
      <c r="G24" s="134"/>
      <c r="H24" s="134"/>
      <c r="I24" s="134"/>
      <c r="J24" s="134">
        <v>-2500</v>
      </c>
      <c r="K24" s="134"/>
      <c r="L24" s="134"/>
      <c r="M24" s="134"/>
      <c r="N24" s="134"/>
      <c r="O24" s="134"/>
      <c r="P24" s="134"/>
      <c r="Q24" s="134">
        <f>SUM(G24:P24)</f>
        <v>-2500</v>
      </c>
      <c r="R24" s="437" t="s">
        <v>1152</v>
      </c>
    </row>
    <row r="25" spans="1:18" ht="14.4" hidden="1" customHeight="1" x14ac:dyDescent="0.25">
      <c r="A25" s="130"/>
      <c r="B25" s="130"/>
      <c r="C25" s="135"/>
      <c r="D25" s="275" t="s">
        <v>317</v>
      </c>
      <c r="E25" s="276">
        <v>1</v>
      </c>
      <c r="F25" s="141">
        <v>121132</v>
      </c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4">
        <f>SUM(G25:P25)</f>
        <v>0</v>
      </c>
      <c r="R25" s="437"/>
    </row>
    <row r="26" spans="1:18" ht="14.4" customHeight="1" x14ac:dyDescent="0.25">
      <c r="A26" s="130"/>
      <c r="B26" s="130"/>
      <c r="C26" s="135"/>
      <c r="D26" s="142" t="s">
        <v>318</v>
      </c>
      <c r="E26" s="140">
        <v>1</v>
      </c>
      <c r="F26" s="141">
        <v>121203</v>
      </c>
      <c r="G26" s="134"/>
      <c r="H26" s="134"/>
      <c r="I26" s="134">
        <v>-200</v>
      </c>
      <c r="J26" s="134">
        <v>-300</v>
      </c>
      <c r="K26" s="134">
        <v>500</v>
      </c>
      <c r="L26" s="134"/>
      <c r="M26" s="134"/>
      <c r="N26" s="134"/>
      <c r="O26" s="134"/>
      <c r="P26" s="134"/>
      <c r="Q26" s="134">
        <f>SUM(G26:P26)</f>
        <v>0</v>
      </c>
      <c r="R26" s="437" t="s">
        <v>1152</v>
      </c>
    </row>
    <row r="27" spans="1:18" ht="14.4" hidden="1" customHeight="1" x14ac:dyDescent="0.25">
      <c r="A27" s="130"/>
      <c r="B27" s="130"/>
      <c r="C27" s="135"/>
      <c r="D27" s="143" t="s">
        <v>319</v>
      </c>
      <c r="E27" s="140"/>
      <c r="F27" s="108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437"/>
    </row>
    <row r="28" spans="1:18" ht="14.4" hidden="1" customHeight="1" x14ac:dyDescent="0.25">
      <c r="A28" s="130"/>
      <c r="B28" s="130"/>
      <c r="C28" s="135"/>
      <c r="D28" s="139" t="s">
        <v>320</v>
      </c>
      <c r="E28" s="140">
        <v>2</v>
      </c>
      <c r="F28" s="141">
        <v>121504</v>
      </c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>
        <f>SUM(G28:P28)</f>
        <v>0</v>
      </c>
      <c r="R28" s="437"/>
    </row>
    <row r="29" spans="1:18" ht="14.4" hidden="1" customHeight="1" x14ac:dyDescent="0.25">
      <c r="A29" s="130"/>
      <c r="B29" s="130"/>
      <c r="C29" s="135"/>
      <c r="D29" s="139" t="s">
        <v>273</v>
      </c>
      <c r="E29" s="140"/>
      <c r="F29" s="141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437"/>
    </row>
    <row r="30" spans="1:18" ht="12.6" hidden="1" customHeight="1" x14ac:dyDescent="0.25">
      <c r="A30" s="129"/>
      <c r="B30" s="144"/>
      <c r="C30" s="277"/>
      <c r="D30" s="108" t="s">
        <v>321</v>
      </c>
      <c r="E30" s="140">
        <v>1</v>
      </c>
      <c r="F30" s="108">
        <v>121403</v>
      </c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>
        <f>SUM(G30:P30)</f>
        <v>0</v>
      </c>
      <c r="R30" s="437"/>
    </row>
    <row r="31" spans="1:18" ht="12.6" hidden="1" customHeight="1" x14ac:dyDescent="0.25">
      <c r="A31" s="129"/>
      <c r="B31" s="144"/>
      <c r="C31" s="277"/>
      <c r="D31" s="108" t="s">
        <v>322</v>
      </c>
      <c r="E31" s="108"/>
      <c r="F31" s="108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437"/>
    </row>
    <row r="32" spans="1:18" ht="12.6" hidden="1" customHeight="1" x14ac:dyDescent="0.25">
      <c r="A32" s="129"/>
      <c r="B32" s="129"/>
      <c r="C32" s="145"/>
      <c r="D32" s="143" t="s">
        <v>323</v>
      </c>
      <c r="E32" s="108">
        <v>1</v>
      </c>
      <c r="F32" s="108">
        <v>121301</v>
      </c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>
        <f>SUM(G32:P32)</f>
        <v>0</v>
      </c>
      <c r="R32" s="437"/>
    </row>
    <row r="33" spans="1:18" ht="12.6" customHeight="1" x14ac:dyDescent="0.25">
      <c r="A33" s="129"/>
      <c r="B33" s="129"/>
      <c r="C33" s="145"/>
      <c r="D33" s="146" t="s">
        <v>206</v>
      </c>
      <c r="E33" s="140"/>
      <c r="F33" s="108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437"/>
    </row>
    <row r="34" spans="1:18" ht="12.6" customHeight="1" x14ac:dyDescent="0.25">
      <c r="A34" s="129"/>
      <c r="B34" s="129"/>
      <c r="C34" s="145"/>
      <c r="D34" s="147" t="s">
        <v>324</v>
      </c>
      <c r="E34" s="140">
        <v>2</v>
      </c>
      <c r="F34" s="108">
        <v>221902</v>
      </c>
      <c r="G34" s="134"/>
      <c r="H34" s="134"/>
      <c r="I34" s="134">
        <v>8200</v>
      </c>
      <c r="J34" s="134"/>
      <c r="K34" s="134"/>
      <c r="L34" s="134"/>
      <c r="M34" s="134"/>
      <c r="N34" s="134"/>
      <c r="O34" s="134"/>
      <c r="P34" s="134"/>
      <c r="Q34" s="134">
        <f>SUM(G34:P34)</f>
        <v>8200</v>
      </c>
      <c r="R34" s="437" t="s">
        <v>1152</v>
      </c>
    </row>
    <row r="35" spans="1:18" ht="12.6" customHeight="1" x14ac:dyDescent="0.25">
      <c r="A35" s="129"/>
      <c r="B35" s="129"/>
      <c r="C35" s="145"/>
      <c r="D35" s="148" t="s">
        <v>325</v>
      </c>
      <c r="E35" s="140">
        <v>2</v>
      </c>
      <c r="F35" s="108" t="s">
        <v>326</v>
      </c>
      <c r="G35" s="134"/>
      <c r="H35" s="134"/>
      <c r="I35" s="134">
        <v>351</v>
      </c>
      <c r="J35" s="134">
        <v>-6351</v>
      </c>
      <c r="K35" s="134"/>
      <c r="L35" s="134"/>
      <c r="M35" s="134"/>
      <c r="N35" s="134"/>
      <c r="O35" s="134"/>
      <c r="P35" s="134"/>
      <c r="Q35" s="134">
        <f>SUM(G35:P35)</f>
        <v>-6000</v>
      </c>
      <c r="R35" s="437" t="s">
        <v>1152</v>
      </c>
    </row>
    <row r="36" spans="1:18" ht="12.6" hidden="1" customHeight="1" x14ac:dyDescent="0.25">
      <c r="A36" s="129"/>
      <c r="B36" s="129"/>
      <c r="C36" s="145"/>
      <c r="D36" s="148" t="s">
        <v>750</v>
      </c>
      <c r="E36" s="140">
        <v>1</v>
      </c>
      <c r="F36" s="108">
        <v>121118</v>
      </c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>
        <f t="shared" ref="Q36:Q37" si="2">SUM(G36:P36)</f>
        <v>0</v>
      </c>
      <c r="R36" s="437"/>
    </row>
    <row r="37" spans="1:18" ht="12.6" hidden="1" customHeight="1" x14ac:dyDescent="0.25">
      <c r="A37" s="129"/>
      <c r="B37" s="129"/>
      <c r="C37" s="145"/>
      <c r="D37" s="142" t="s">
        <v>751</v>
      </c>
      <c r="E37" s="140">
        <v>1</v>
      </c>
      <c r="F37" s="108">
        <v>121515</v>
      </c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>
        <f t="shared" si="2"/>
        <v>0</v>
      </c>
      <c r="R37" s="437"/>
    </row>
    <row r="38" spans="1:18" ht="14.1" hidden="1" customHeight="1" x14ac:dyDescent="0.25">
      <c r="A38" s="129"/>
      <c r="B38" s="129"/>
      <c r="C38" s="145"/>
      <c r="D38" s="136" t="s">
        <v>327</v>
      </c>
      <c r="E38" s="140"/>
      <c r="F38" s="108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437"/>
    </row>
    <row r="39" spans="1:18" ht="14.1" hidden="1" customHeight="1" x14ac:dyDescent="0.25">
      <c r="A39" s="129"/>
      <c r="B39" s="129"/>
      <c r="C39" s="145"/>
      <c r="D39" s="143" t="s">
        <v>328</v>
      </c>
      <c r="E39" s="140">
        <v>1</v>
      </c>
      <c r="F39" s="108">
        <v>121601</v>
      </c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>
        <f>SUM(G39:P39)</f>
        <v>0</v>
      </c>
      <c r="R39" s="437"/>
    </row>
    <row r="40" spans="1:18" ht="14.1" hidden="1" customHeight="1" x14ac:dyDescent="0.25">
      <c r="A40" s="129"/>
      <c r="B40" s="129"/>
      <c r="C40" s="145"/>
      <c r="D40" s="150" t="s">
        <v>329</v>
      </c>
      <c r="E40" s="140"/>
      <c r="F40" s="140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437"/>
    </row>
    <row r="41" spans="1:18" ht="14.1" hidden="1" customHeight="1" x14ac:dyDescent="0.25">
      <c r="A41" s="129"/>
      <c r="B41" s="129"/>
      <c r="C41" s="145"/>
      <c r="D41" s="143" t="s">
        <v>330</v>
      </c>
      <c r="E41" s="140">
        <v>2</v>
      </c>
      <c r="F41" s="108">
        <v>121517</v>
      </c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>
        <f>SUM(G41:P41)</f>
        <v>0</v>
      </c>
      <c r="R41" s="437"/>
    </row>
    <row r="42" spans="1:18" ht="12" x14ac:dyDescent="0.25">
      <c r="A42" s="151"/>
      <c r="B42" s="151"/>
      <c r="C42" s="152"/>
      <c r="D42" s="153" t="s">
        <v>331</v>
      </c>
      <c r="E42" s="154"/>
      <c r="F42" s="155"/>
      <c r="G42" s="155">
        <f t="shared" ref="G42:Q42" si="3">SUM(G7:G41)</f>
        <v>0</v>
      </c>
      <c r="H42" s="155">
        <f t="shared" si="3"/>
        <v>0</v>
      </c>
      <c r="I42" s="155">
        <f t="shared" si="3"/>
        <v>8351</v>
      </c>
      <c r="J42" s="155">
        <f t="shared" si="3"/>
        <v>-8851</v>
      </c>
      <c r="K42" s="155">
        <f t="shared" si="3"/>
        <v>500</v>
      </c>
      <c r="L42" s="155">
        <f t="shared" si="3"/>
        <v>0</v>
      </c>
      <c r="M42" s="155">
        <f t="shared" si="3"/>
        <v>0</v>
      </c>
      <c r="N42" s="155">
        <f t="shared" si="3"/>
        <v>0</v>
      </c>
      <c r="O42" s="155">
        <f t="shared" si="3"/>
        <v>0</v>
      </c>
      <c r="P42" s="155">
        <f t="shared" si="3"/>
        <v>0</v>
      </c>
      <c r="Q42" s="155">
        <f t="shared" si="3"/>
        <v>0</v>
      </c>
      <c r="R42" s="438"/>
    </row>
    <row r="43" spans="1:18" ht="12" x14ac:dyDescent="0.25">
      <c r="A43" s="156"/>
      <c r="B43" s="156"/>
      <c r="C43" s="145"/>
      <c r="D43" s="143" t="s">
        <v>332</v>
      </c>
      <c r="E43" s="157"/>
      <c r="F43" s="108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437"/>
    </row>
    <row r="44" spans="1:18" ht="24" hidden="1" x14ac:dyDescent="0.25">
      <c r="A44" s="156"/>
      <c r="B44" s="156"/>
      <c r="C44" s="145" t="s">
        <v>333</v>
      </c>
      <c r="D44" s="418" t="s">
        <v>334</v>
      </c>
      <c r="E44" s="157"/>
      <c r="F44" s="108">
        <v>121401</v>
      </c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>
        <f>SUM(G44:P44)</f>
        <v>0</v>
      </c>
      <c r="R44" s="437"/>
    </row>
    <row r="45" spans="1:18" ht="12" hidden="1" x14ac:dyDescent="0.25">
      <c r="A45" s="156"/>
      <c r="B45" s="156"/>
      <c r="C45" s="145"/>
      <c r="D45" s="143" t="s">
        <v>968</v>
      </c>
      <c r="E45" s="157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437"/>
    </row>
    <row r="46" spans="1:18" ht="12" hidden="1" x14ac:dyDescent="0.25">
      <c r="A46" s="156"/>
      <c r="B46" s="156"/>
      <c r="C46" s="145" t="s">
        <v>335</v>
      </c>
      <c r="D46" s="419" t="s">
        <v>336</v>
      </c>
      <c r="E46" s="157"/>
      <c r="F46" s="108">
        <v>121405</v>
      </c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>
        <f>SUM(G46:P46)</f>
        <v>0</v>
      </c>
      <c r="R46" s="437"/>
    </row>
    <row r="47" spans="1:18" ht="24" hidden="1" x14ac:dyDescent="0.25">
      <c r="A47" s="156"/>
      <c r="B47" s="156"/>
      <c r="C47" s="145" t="s">
        <v>337</v>
      </c>
      <c r="D47" s="420" t="s">
        <v>338</v>
      </c>
      <c r="E47" s="157"/>
      <c r="F47" s="108">
        <v>121402</v>
      </c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>
        <f>SUM(G47:P47)</f>
        <v>0</v>
      </c>
      <c r="R47" s="437"/>
    </row>
    <row r="48" spans="1:18" ht="12" x14ac:dyDescent="0.25">
      <c r="A48" s="151"/>
      <c r="B48" s="151"/>
      <c r="C48" s="152"/>
      <c r="D48" s="153" t="s">
        <v>339</v>
      </c>
      <c r="E48" s="154"/>
      <c r="F48" s="155"/>
      <c r="G48" s="155">
        <f t="shared" ref="G48:Q48" si="4">SUM(G42:G47)</f>
        <v>0</v>
      </c>
      <c r="H48" s="155">
        <f t="shared" si="4"/>
        <v>0</v>
      </c>
      <c r="I48" s="155">
        <f t="shared" si="4"/>
        <v>8351</v>
      </c>
      <c r="J48" s="155">
        <f t="shared" si="4"/>
        <v>-8851</v>
      </c>
      <c r="K48" s="155">
        <f t="shared" si="4"/>
        <v>500</v>
      </c>
      <c r="L48" s="155">
        <f t="shared" si="4"/>
        <v>0</v>
      </c>
      <c r="M48" s="155">
        <f t="shared" si="4"/>
        <v>0</v>
      </c>
      <c r="N48" s="155">
        <f t="shared" si="4"/>
        <v>0</v>
      </c>
      <c r="O48" s="155">
        <f t="shared" si="4"/>
        <v>0</v>
      </c>
      <c r="P48" s="155">
        <f t="shared" si="4"/>
        <v>0</v>
      </c>
      <c r="Q48" s="155">
        <f t="shared" si="4"/>
        <v>0</v>
      </c>
      <c r="R48" s="438"/>
    </row>
    <row r="49" spans="1:18" ht="12" customHeight="1" x14ac:dyDescent="0.25">
      <c r="A49" s="129">
        <v>1</v>
      </c>
      <c r="B49" s="129">
        <v>13</v>
      </c>
      <c r="C49" s="129"/>
      <c r="D49" s="131" t="s">
        <v>100</v>
      </c>
      <c r="E49" s="158" t="s">
        <v>340</v>
      </c>
      <c r="F49" s="159"/>
      <c r="G49" s="159"/>
      <c r="H49" s="134"/>
      <c r="I49" s="134"/>
      <c r="J49" s="134"/>
      <c r="K49" s="134"/>
      <c r="L49" s="134"/>
      <c r="M49" s="159"/>
      <c r="N49" s="159"/>
      <c r="O49" s="159"/>
      <c r="P49" s="159"/>
      <c r="Q49" s="159"/>
      <c r="R49" s="437"/>
    </row>
    <row r="50" spans="1:18" ht="12" x14ac:dyDescent="0.25">
      <c r="A50" s="129"/>
      <c r="B50" s="129"/>
      <c r="C50" s="145"/>
      <c r="D50" s="160" t="s">
        <v>341</v>
      </c>
      <c r="E50" s="158"/>
      <c r="F50" s="159"/>
      <c r="G50" s="159"/>
      <c r="H50" s="134"/>
      <c r="I50" s="134"/>
      <c r="J50" s="134"/>
      <c r="K50" s="134"/>
      <c r="L50" s="134"/>
      <c r="M50" s="159"/>
      <c r="N50" s="159"/>
      <c r="O50" s="159"/>
      <c r="P50" s="159"/>
      <c r="Q50" s="159"/>
      <c r="R50" s="437"/>
    </row>
    <row r="51" spans="1:18" ht="12" customHeight="1" x14ac:dyDescent="0.25">
      <c r="A51" s="129"/>
      <c r="B51" s="129"/>
      <c r="C51" s="145"/>
      <c r="D51" s="142" t="s">
        <v>342</v>
      </c>
      <c r="E51" s="161"/>
      <c r="F51" s="140"/>
      <c r="G51" s="108"/>
      <c r="H51" s="134"/>
      <c r="I51" s="134"/>
      <c r="J51" s="134"/>
      <c r="K51" s="134"/>
      <c r="L51" s="134"/>
      <c r="M51" s="108"/>
      <c r="N51" s="108"/>
      <c r="O51" s="108"/>
      <c r="P51" s="108"/>
      <c r="Q51" s="108"/>
      <c r="R51" s="437"/>
    </row>
    <row r="52" spans="1:18" ht="27" hidden="1" customHeight="1" x14ac:dyDescent="0.25">
      <c r="A52" s="129"/>
      <c r="B52" s="129"/>
      <c r="C52" s="145"/>
      <c r="D52" s="150" t="s">
        <v>343</v>
      </c>
      <c r="E52" s="108">
        <v>2</v>
      </c>
      <c r="F52" s="108">
        <v>131112</v>
      </c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>
        <f t="shared" ref="Q52:Q57" si="5">SUM(G52:P52)</f>
        <v>0</v>
      </c>
      <c r="R52" s="437"/>
    </row>
    <row r="53" spans="1:18" ht="24.75" hidden="1" customHeight="1" x14ac:dyDescent="0.25">
      <c r="A53" s="129"/>
      <c r="B53" s="129"/>
      <c r="C53" s="145"/>
      <c r="D53" s="162" t="s">
        <v>344</v>
      </c>
      <c r="E53" s="108">
        <v>2</v>
      </c>
      <c r="F53" s="108">
        <v>131123</v>
      </c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>
        <f t="shared" si="5"/>
        <v>0</v>
      </c>
      <c r="R53" s="437"/>
    </row>
    <row r="54" spans="1:18" ht="17.399999999999999" hidden="1" customHeight="1" x14ac:dyDescent="0.25">
      <c r="A54" s="129"/>
      <c r="B54" s="129"/>
      <c r="C54" s="145"/>
      <c r="D54" s="162" t="s">
        <v>843</v>
      </c>
      <c r="E54" s="108">
        <v>2</v>
      </c>
      <c r="F54" s="108">
        <v>131212</v>
      </c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>
        <f t="shared" si="5"/>
        <v>0</v>
      </c>
      <c r="R54" s="437"/>
    </row>
    <row r="55" spans="1:18" ht="22.5" customHeight="1" x14ac:dyDescent="0.25">
      <c r="A55" s="129"/>
      <c r="B55" s="129"/>
      <c r="C55" s="145"/>
      <c r="D55" s="162" t="s">
        <v>345</v>
      </c>
      <c r="E55" s="108">
        <v>2</v>
      </c>
      <c r="F55" s="108">
        <v>131122</v>
      </c>
      <c r="G55" s="108">
        <v>-274</v>
      </c>
      <c r="H55" s="108">
        <v>-352</v>
      </c>
      <c r="I55" s="108">
        <v>21</v>
      </c>
      <c r="J55" s="108"/>
      <c r="K55" s="108">
        <v>-350</v>
      </c>
      <c r="L55" s="108"/>
      <c r="M55" s="108"/>
      <c r="N55" s="108"/>
      <c r="O55" s="108"/>
      <c r="P55" s="108"/>
      <c r="Q55" s="108">
        <f t="shared" si="5"/>
        <v>-955</v>
      </c>
      <c r="R55" s="437" t="s">
        <v>1154</v>
      </c>
    </row>
    <row r="56" spans="1:18" ht="15" hidden="1" customHeight="1" x14ac:dyDescent="0.25">
      <c r="A56" s="129"/>
      <c r="B56" s="129"/>
      <c r="C56" s="145"/>
      <c r="D56" s="143" t="s">
        <v>346</v>
      </c>
      <c r="E56" s="108">
        <v>2</v>
      </c>
      <c r="F56" s="108">
        <v>131107</v>
      </c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>
        <f t="shared" si="5"/>
        <v>0</v>
      </c>
      <c r="R56" s="437"/>
    </row>
    <row r="57" spans="1:18" ht="15" hidden="1" customHeight="1" x14ac:dyDescent="0.25">
      <c r="A57" s="129"/>
      <c r="B57" s="129"/>
      <c r="C57" s="145"/>
      <c r="D57" s="143" t="s">
        <v>347</v>
      </c>
      <c r="E57" s="108">
        <v>2</v>
      </c>
      <c r="F57" s="108">
        <v>131128</v>
      </c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>
        <f t="shared" si="5"/>
        <v>0</v>
      </c>
      <c r="R57" s="437"/>
    </row>
    <row r="58" spans="1:18" ht="14.1" customHeight="1" x14ac:dyDescent="0.25">
      <c r="A58" s="129"/>
      <c r="B58" s="129"/>
      <c r="C58" s="145"/>
      <c r="D58" s="163" t="s">
        <v>348</v>
      </c>
      <c r="E58" s="164"/>
      <c r="F58" s="164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437"/>
    </row>
    <row r="59" spans="1:18" ht="24.9" customHeight="1" x14ac:dyDescent="0.25">
      <c r="A59" s="129"/>
      <c r="B59" s="129"/>
      <c r="C59" s="145"/>
      <c r="D59" s="162" t="s">
        <v>349</v>
      </c>
      <c r="E59" s="165"/>
      <c r="F59" s="165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437"/>
    </row>
    <row r="60" spans="1:18" ht="15" customHeight="1" x14ac:dyDescent="0.25">
      <c r="A60" s="129"/>
      <c r="B60" s="129"/>
      <c r="C60" s="145"/>
      <c r="D60" s="143" t="s">
        <v>350</v>
      </c>
      <c r="E60" s="108">
        <v>2</v>
      </c>
      <c r="F60" s="108">
        <v>131201</v>
      </c>
      <c r="G60" s="108"/>
      <c r="H60" s="134">
        <v>-28</v>
      </c>
      <c r="I60" s="134">
        <v>28</v>
      </c>
      <c r="J60" s="108"/>
      <c r="K60" s="108"/>
      <c r="L60" s="108"/>
      <c r="M60" s="108"/>
      <c r="N60" s="108"/>
      <c r="O60" s="108"/>
      <c r="P60" s="108"/>
      <c r="Q60" s="108">
        <f t="shared" ref="Q60:Q65" si="6">SUM(G60:P60)</f>
        <v>0</v>
      </c>
      <c r="R60" s="437" t="s">
        <v>1154</v>
      </c>
    </row>
    <row r="61" spans="1:18" ht="15" customHeight="1" x14ac:dyDescent="0.25">
      <c r="A61" s="129"/>
      <c r="B61" s="129"/>
      <c r="C61" s="145"/>
      <c r="D61" s="143" t="s">
        <v>351</v>
      </c>
      <c r="E61" s="108">
        <v>2</v>
      </c>
      <c r="F61" s="108">
        <v>131202</v>
      </c>
      <c r="G61" s="108"/>
      <c r="H61" s="134"/>
      <c r="I61" s="134">
        <v>200</v>
      </c>
      <c r="J61" s="108"/>
      <c r="K61" s="108"/>
      <c r="L61" s="108"/>
      <c r="M61" s="108"/>
      <c r="N61" s="108"/>
      <c r="O61" s="108"/>
      <c r="P61" s="108"/>
      <c r="Q61" s="108">
        <f t="shared" si="6"/>
        <v>200</v>
      </c>
      <c r="R61" s="437" t="s">
        <v>1154</v>
      </c>
    </row>
    <row r="62" spans="1:18" ht="15" hidden="1" customHeight="1" x14ac:dyDescent="0.25">
      <c r="A62" s="129"/>
      <c r="B62" s="129"/>
      <c r="C62" s="145"/>
      <c r="D62" s="143" t="s">
        <v>352</v>
      </c>
      <c r="E62" s="108">
        <v>2</v>
      </c>
      <c r="F62" s="108">
        <v>131205</v>
      </c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>
        <f t="shared" si="6"/>
        <v>0</v>
      </c>
      <c r="R62" s="437"/>
    </row>
    <row r="63" spans="1:18" ht="15" hidden="1" customHeight="1" x14ac:dyDescent="0.25">
      <c r="A63" s="129"/>
      <c r="B63" s="129"/>
      <c r="C63" s="145"/>
      <c r="D63" s="143" t="s">
        <v>353</v>
      </c>
      <c r="E63" s="108">
        <v>2</v>
      </c>
      <c r="F63" s="108">
        <v>131206</v>
      </c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>
        <f t="shared" si="6"/>
        <v>0</v>
      </c>
      <c r="R63" s="437"/>
    </row>
    <row r="64" spans="1:18" ht="15" hidden="1" customHeight="1" x14ac:dyDescent="0.25">
      <c r="A64" s="129"/>
      <c r="B64" s="129"/>
      <c r="C64" s="145"/>
      <c r="D64" s="142" t="s">
        <v>354</v>
      </c>
      <c r="E64" s="108">
        <v>2</v>
      </c>
      <c r="F64" s="108">
        <v>131209</v>
      </c>
      <c r="G64" s="108"/>
      <c r="H64" s="134"/>
      <c r="I64" s="134"/>
      <c r="J64" s="108"/>
      <c r="K64" s="108"/>
      <c r="L64" s="108"/>
      <c r="M64" s="108"/>
      <c r="N64" s="108"/>
      <c r="O64" s="108"/>
      <c r="P64" s="108"/>
      <c r="Q64" s="108">
        <f t="shared" si="6"/>
        <v>0</v>
      </c>
      <c r="R64" s="437"/>
    </row>
    <row r="65" spans="1:18" ht="15" customHeight="1" x14ac:dyDescent="0.25">
      <c r="A65" s="129"/>
      <c r="B65" s="129"/>
      <c r="C65" s="145"/>
      <c r="D65" s="143" t="s">
        <v>355</v>
      </c>
      <c r="E65" s="108">
        <v>2</v>
      </c>
      <c r="F65" s="108">
        <v>131211</v>
      </c>
      <c r="G65" s="108">
        <v>197</v>
      </c>
      <c r="H65" s="108">
        <v>83</v>
      </c>
      <c r="I65" s="108">
        <v>-280</v>
      </c>
      <c r="J65" s="108"/>
      <c r="K65" s="108"/>
      <c r="L65" s="108"/>
      <c r="M65" s="108"/>
      <c r="N65" s="108"/>
      <c r="O65" s="108"/>
      <c r="P65" s="108"/>
      <c r="Q65" s="108">
        <f t="shared" si="6"/>
        <v>0</v>
      </c>
      <c r="R65" s="437" t="s">
        <v>1154</v>
      </c>
    </row>
    <row r="66" spans="1:18" ht="14.1" customHeight="1" x14ac:dyDescent="0.25">
      <c r="A66" s="129"/>
      <c r="B66" s="129"/>
      <c r="C66" s="145"/>
      <c r="D66" s="143" t="s">
        <v>319</v>
      </c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437"/>
    </row>
    <row r="67" spans="1:18" ht="14.1" customHeight="1" x14ac:dyDescent="0.25">
      <c r="A67" s="129"/>
      <c r="B67" s="129"/>
      <c r="C67" s="145"/>
      <c r="D67" s="142" t="s">
        <v>356</v>
      </c>
      <c r="E67" s="108">
        <v>2</v>
      </c>
      <c r="F67" s="108">
        <v>131101</v>
      </c>
      <c r="G67" s="108"/>
      <c r="H67" s="108"/>
      <c r="I67" s="108"/>
      <c r="J67" s="108">
        <v>-675</v>
      </c>
      <c r="K67" s="108"/>
      <c r="L67" s="108"/>
      <c r="M67" s="108"/>
      <c r="N67" s="108"/>
      <c r="O67" s="108"/>
      <c r="P67" s="108"/>
      <c r="Q67" s="108">
        <f>SUM(G67:P67)</f>
        <v>-675</v>
      </c>
      <c r="R67" s="437" t="s">
        <v>1154</v>
      </c>
    </row>
    <row r="68" spans="1:18" ht="14.1" hidden="1" customHeight="1" x14ac:dyDescent="0.25">
      <c r="A68" s="129"/>
      <c r="B68" s="129"/>
      <c r="C68" s="145"/>
      <c r="D68" s="142" t="s">
        <v>357</v>
      </c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437"/>
    </row>
    <row r="69" spans="1:18" ht="14.1" hidden="1" customHeight="1" x14ac:dyDescent="0.25">
      <c r="A69" s="129"/>
      <c r="B69" s="129"/>
      <c r="C69" s="145"/>
      <c r="D69" s="143" t="s">
        <v>358</v>
      </c>
      <c r="E69" s="108">
        <v>2</v>
      </c>
      <c r="F69" s="108">
        <v>131120</v>
      </c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>
        <f>SUM(G69:P69)</f>
        <v>0</v>
      </c>
      <c r="R69" s="437"/>
    </row>
    <row r="70" spans="1:18" ht="14.1" customHeight="1" x14ac:dyDescent="0.25">
      <c r="A70" s="129"/>
      <c r="B70" s="129"/>
      <c r="C70" s="145"/>
      <c r="D70" s="143" t="s">
        <v>359</v>
      </c>
      <c r="E70" s="140"/>
      <c r="F70" s="140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437"/>
    </row>
    <row r="71" spans="1:18" ht="14.1" customHeight="1" x14ac:dyDescent="0.25">
      <c r="A71" s="129"/>
      <c r="B71" s="129"/>
      <c r="C71" s="145"/>
      <c r="D71" s="143" t="s">
        <v>360</v>
      </c>
      <c r="E71" s="108">
        <v>2</v>
      </c>
      <c r="F71" s="108">
        <v>131346</v>
      </c>
      <c r="G71" s="108"/>
      <c r="H71" s="108"/>
      <c r="I71" s="108"/>
      <c r="J71" s="108"/>
      <c r="K71" s="108">
        <v>-116</v>
      </c>
      <c r="L71" s="108"/>
      <c r="M71" s="108"/>
      <c r="N71" s="108"/>
      <c r="O71" s="108"/>
      <c r="P71" s="108"/>
      <c r="Q71" s="108">
        <f t="shared" ref="Q71:Q82" si="7">SUM(G71:P71)</f>
        <v>-116</v>
      </c>
      <c r="R71" s="437" t="s">
        <v>1154</v>
      </c>
    </row>
    <row r="72" spans="1:18" ht="14.1" hidden="1" customHeight="1" x14ac:dyDescent="0.25">
      <c r="A72" s="129"/>
      <c r="B72" s="129"/>
      <c r="C72" s="145"/>
      <c r="D72" s="143" t="s">
        <v>361</v>
      </c>
      <c r="E72" s="108">
        <v>2</v>
      </c>
      <c r="F72" s="108">
        <v>131305</v>
      </c>
      <c r="G72" s="108"/>
      <c r="H72" s="108"/>
      <c r="I72" s="108"/>
      <c r="J72" s="108"/>
      <c r="K72" s="108"/>
      <c r="L72" s="108"/>
      <c r="M72" s="108"/>
      <c r="N72" s="108"/>
      <c r="O72" s="108"/>
      <c r="P72" s="108"/>
      <c r="Q72" s="108">
        <f t="shared" si="7"/>
        <v>0</v>
      </c>
      <c r="R72" s="437"/>
    </row>
    <row r="73" spans="1:18" ht="14.1" hidden="1" customHeight="1" x14ac:dyDescent="0.25">
      <c r="A73" s="129"/>
      <c r="B73" s="129"/>
      <c r="C73" s="145"/>
      <c r="D73" s="143" t="s">
        <v>362</v>
      </c>
      <c r="E73" s="108">
        <v>2</v>
      </c>
      <c r="F73" s="108">
        <v>131306</v>
      </c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>
        <f t="shared" si="7"/>
        <v>0</v>
      </c>
      <c r="R73" s="437"/>
    </row>
    <row r="74" spans="1:18" ht="14.1" customHeight="1" x14ac:dyDescent="0.25">
      <c r="A74" s="129"/>
      <c r="B74" s="129"/>
      <c r="C74" s="145"/>
      <c r="D74" s="150" t="s">
        <v>363</v>
      </c>
      <c r="E74" s="108">
        <v>2</v>
      </c>
      <c r="F74" s="108">
        <v>131325</v>
      </c>
      <c r="G74" s="108"/>
      <c r="H74" s="108"/>
      <c r="I74" s="108">
        <v>50</v>
      </c>
      <c r="J74" s="108"/>
      <c r="K74" s="108"/>
      <c r="L74" s="108"/>
      <c r="M74" s="108"/>
      <c r="N74" s="108"/>
      <c r="O74" s="108"/>
      <c r="P74" s="108"/>
      <c r="Q74" s="108">
        <f t="shared" si="7"/>
        <v>50</v>
      </c>
      <c r="R74" s="437" t="s">
        <v>1154</v>
      </c>
    </row>
    <row r="75" spans="1:18" ht="14.1" customHeight="1" x14ac:dyDescent="0.25">
      <c r="A75" s="129"/>
      <c r="B75" s="129"/>
      <c r="C75" s="145"/>
      <c r="D75" s="150" t="s">
        <v>735</v>
      </c>
      <c r="E75" s="108">
        <v>2</v>
      </c>
      <c r="F75" s="108">
        <v>131321</v>
      </c>
      <c r="G75" s="108"/>
      <c r="H75" s="108"/>
      <c r="I75" s="108"/>
      <c r="J75" s="108"/>
      <c r="K75" s="108">
        <v>27000</v>
      </c>
      <c r="L75" s="108"/>
      <c r="M75" s="108"/>
      <c r="N75" s="108"/>
      <c r="O75" s="108"/>
      <c r="P75" s="108"/>
      <c r="Q75" s="108">
        <f t="shared" si="7"/>
        <v>27000</v>
      </c>
      <c r="R75" s="437" t="s">
        <v>1152</v>
      </c>
    </row>
    <row r="76" spans="1:18" ht="14.1" hidden="1" customHeight="1" x14ac:dyDescent="0.25">
      <c r="A76" s="738"/>
      <c r="B76" s="738"/>
      <c r="C76" s="737"/>
      <c r="D76" s="783" t="s">
        <v>1137</v>
      </c>
      <c r="E76" s="736">
        <v>2</v>
      </c>
      <c r="F76" s="736">
        <v>131326</v>
      </c>
      <c r="G76" s="736"/>
      <c r="H76" s="736"/>
      <c r="I76" s="736"/>
      <c r="J76" s="736"/>
      <c r="K76" s="736"/>
      <c r="L76" s="736"/>
      <c r="M76" s="736"/>
      <c r="N76" s="736"/>
      <c r="O76" s="736"/>
      <c r="P76" s="736"/>
      <c r="Q76" s="108">
        <f t="shared" si="7"/>
        <v>0</v>
      </c>
      <c r="R76" s="720"/>
    </row>
    <row r="77" spans="1:18" ht="23.25" customHeight="1" x14ac:dyDescent="0.25">
      <c r="A77" s="129"/>
      <c r="B77" s="129"/>
      <c r="C77" s="145"/>
      <c r="D77" s="150" t="s">
        <v>364</v>
      </c>
      <c r="E77" s="108">
        <v>2</v>
      </c>
      <c r="F77" s="108">
        <v>131313</v>
      </c>
      <c r="G77" s="108"/>
      <c r="H77" s="108"/>
      <c r="I77" s="108"/>
      <c r="J77" s="108"/>
      <c r="K77" s="108">
        <v>-1450</v>
      </c>
      <c r="L77" s="108"/>
      <c r="M77" s="108"/>
      <c r="N77" s="108"/>
      <c r="O77" s="108"/>
      <c r="P77" s="108"/>
      <c r="Q77" s="108">
        <f t="shared" si="7"/>
        <v>-1450</v>
      </c>
      <c r="R77" s="437" t="s">
        <v>1154</v>
      </c>
    </row>
    <row r="78" spans="1:18" ht="14.1" hidden="1" customHeight="1" x14ac:dyDescent="0.25">
      <c r="A78" s="129"/>
      <c r="B78" s="129"/>
      <c r="C78" s="145"/>
      <c r="D78" s="162" t="s">
        <v>365</v>
      </c>
      <c r="E78" s="108">
        <v>2</v>
      </c>
      <c r="F78" s="108">
        <v>131501</v>
      </c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>
        <f t="shared" si="7"/>
        <v>0</v>
      </c>
      <c r="R78" s="437"/>
    </row>
    <row r="79" spans="1:18" ht="15" hidden="1" customHeight="1" x14ac:dyDescent="0.25">
      <c r="A79" s="129"/>
      <c r="B79" s="129"/>
      <c r="C79" s="145"/>
      <c r="D79" s="279" t="s">
        <v>876</v>
      </c>
      <c r="E79" s="108">
        <v>2</v>
      </c>
      <c r="F79" s="108">
        <v>131310</v>
      </c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>
        <f t="shared" si="7"/>
        <v>0</v>
      </c>
      <c r="R79" s="437"/>
    </row>
    <row r="80" spans="1:18" ht="15" hidden="1" customHeight="1" x14ac:dyDescent="0.25">
      <c r="A80" s="129"/>
      <c r="B80" s="129"/>
      <c r="C80" s="145"/>
      <c r="D80" s="536" t="s">
        <v>970</v>
      </c>
      <c r="E80" s="537">
        <v>2</v>
      </c>
      <c r="F80" s="537">
        <v>131410</v>
      </c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>
        <f t="shared" si="7"/>
        <v>0</v>
      </c>
      <c r="R80" s="437"/>
    </row>
    <row r="81" spans="1:18" ht="15" hidden="1" customHeight="1" x14ac:dyDescent="0.25">
      <c r="A81" s="129"/>
      <c r="B81" s="129"/>
      <c r="C81" s="145"/>
      <c r="D81" s="278" t="s">
        <v>366</v>
      </c>
      <c r="E81" s="108">
        <v>2</v>
      </c>
      <c r="F81" s="108">
        <v>131348</v>
      </c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>
        <f t="shared" si="7"/>
        <v>0</v>
      </c>
      <c r="R81" s="437"/>
    </row>
    <row r="82" spans="1:18" ht="23.25" hidden="1" customHeight="1" x14ac:dyDescent="0.25">
      <c r="A82" s="129"/>
      <c r="B82" s="129"/>
      <c r="C82" s="145"/>
      <c r="D82" s="280" t="s">
        <v>367</v>
      </c>
      <c r="E82" s="108">
        <v>2</v>
      </c>
      <c r="F82" s="108">
        <v>131345</v>
      </c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>
        <f t="shared" si="7"/>
        <v>0</v>
      </c>
      <c r="R82" s="437"/>
    </row>
    <row r="83" spans="1:18" ht="14.1" customHeight="1" x14ac:dyDescent="0.25">
      <c r="A83" s="129"/>
      <c r="B83" s="129"/>
      <c r="C83" s="145"/>
      <c r="D83" s="108" t="s">
        <v>368</v>
      </c>
      <c r="E83" s="161"/>
      <c r="F83" s="140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437"/>
    </row>
    <row r="84" spans="1:18" ht="24.9" hidden="1" customHeight="1" x14ac:dyDescent="0.25">
      <c r="A84" s="129"/>
      <c r="B84" s="129"/>
      <c r="C84" s="145"/>
      <c r="D84" s="150" t="s">
        <v>369</v>
      </c>
      <c r="E84" s="140">
        <v>2</v>
      </c>
      <c r="F84" s="108">
        <v>131401</v>
      </c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>
        <f t="shared" ref="Q84:Q90" si="8">SUM(G84:P84)</f>
        <v>0</v>
      </c>
      <c r="R84" s="437"/>
    </row>
    <row r="85" spans="1:18" ht="14.1" hidden="1" customHeight="1" x14ac:dyDescent="0.25">
      <c r="A85" s="129"/>
      <c r="B85" s="129"/>
      <c r="C85" s="281"/>
      <c r="D85" s="282" t="s">
        <v>370</v>
      </c>
      <c r="E85" s="140">
        <v>2</v>
      </c>
      <c r="F85" s="108">
        <v>131402</v>
      </c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>
        <f t="shared" si="8"/>
        <v>0</v>
      </c>
      <c r="R85" s="437"/>
    </row>
    <row r="86" spans="1:18" ht="14.1" hidden="1" customHeight="1" x14ac:dyDescent="0.25">
      <c r="A86" s="129"/>
      <c r="B86" s="129"/>
      <c r="C86" s="145"/>
      <c r="D86" s="143" t="s">
        <v>371</v>
      </c>
      <c r="E86" s="140">
        <v>2</v>
      </c>
      <c r="F86" s="108">
        <v>131403</v>
      </c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>
        <f t="shared" si="8"/>
        <v>0</v>
      </c>
      <c r="R86" s="437"/>
    </row>
    <row r="87" spans="1:18" ht="14.1" hidden="1" customHeight="1" x14ac:dyDescent="0.25">
      <c r="A87" s="129"/>
      <c r="B87" s="129"/>
      <c r="C87" s="145"/>
      <c r="D87" s="143" t="s">
        <v>372</v>
      </c>
      <c r="E87" s="140">
        <v>2</v>
      </c>
      <c r="F87" s="108">
        <v>131404</v>
      </c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>
        <f t="shared" si="8"/>
        <v>0</v>
      </c>
      <c r="R87" s="437"/>
    </row>
    <row r="88" spans="1:18" ht="14.1" hidden="1" customHeight="1" x14ac:dyDescent="0.25">
      <c r="A88" s="129"/>
      <c r="B88" s="129"/>
      <c r="C88" s="145"/>
      <c r="D88" s="143" t="s">
        <v>373</v>
      </c>
      <c r="E88" s="140">
        <v>2</v>
      </c>
      <c r="F88" s="108">
        <v>131330</v>
      </c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>
        <f t="shared" si="8"/>
        <v>0</v>
      </c>
      <c r="R88" s="437"/>
    </row>
    <row r="89" spans="1:18" ht="14.1" customHeight="1" x14ac:dyDescent="0.25">
      <c r="A89" s="129"/>
      <c r="B89" s="129"/>
      <c r="C89" s="145"/>
      <c r="D89" s="143" t="s">
        <v>374</v>
      </c>
      <c r="E89" s="140">
        <v>2</v>
      </c>
      <c r="F89" s="108">
        <v>131507</v>
      </c>
      <c r="G89" s="108"/>
      <c r="H89" s="108"/>
      <c r="I89" s="108"/>
      <c r="J89" s="108"/>
      <c r="K89" s="108">
        <v>100</v>
      </c>
      <c r="L89" s="108"/>
      <c r="M89" s="108"/>
      <c r="N89" s="108"/>
      <c r="O89" s="108"/>
      <c r="P89" s="108"/>
      <c r="Q89" s="108">
        <f t="shared" si="8"/>
        <v>100</v>
      </c>
      <c r="R89" s="437" t="s">
        <v>1152</v>
      </c>
    </row>
    <row r="90" spans="1:18" ht="14.1" hidden="1" customHeight="1" x14ac:dyDescent="0.25">
      <c r="A90" s="129"/>
      <c r="B90" s="129"/>
      <c r="C90" s="281"/>
      <c r="D90" s="374" t="s">
        <v>375</v>
      </c>
      <c r="E90" s="140">
        <v>2</v>
      </c>
      <c r="F90" s="108">
        <v>171943</v>
      </c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>
        <f t="shared" si="8"/>
        <v>0</v>
      </c>
      <c r="R90" s="437"/>
    </row>
    <row r="91" spans="1:18" ht="14.1" customHeight="1" x14ac:dyDescent="0.25">
      <c r="A91" s="129"/>
      <c r="B91" s="129"/>
      <c r="C91" s="145"/>
      <c r="D91" s="162" t="s">
        <v>376</v>
      </c>
      <c r="E91" s="165"/>
      <c r="F91" s="165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437"/>
    </row>
    <row r="92" spans="1:18" ht="14.1" customHeight="1" x14ac:dyDescent="0.25">
      <c r="A92" s="129"/>
      <c r="B92" s="129"/>
      <c r="C92" s="145"/>
      <c r="D92" s="162" t="s">
        <v>377</v>
      </c>
      <c r="E92" s="166">
        <v>2</v>
      </c>
      <c r="F92" s="167">
        <v>131502</v>
      </c>
      <c r="G92" s="108"/>
      <c r="H92" s="108"/>
      <c r="I92" s="108"/>
      <c r="J92" s="108">
        <v>-225</v>
      </c>
      <c r="K92" s="108"/>
      <c r="L92" s="108"/>
      <c r="M92" s="108"/>
      <c r="N92" s="108"/>
      <c r="O92" s="108"/>
      <c r="P92" s="108"/>
      <c r="Q92" s="108">
        <f>SUM(G92:P92)</f>
        <v>-225</v>
      </c>
      <c r="R92" s="437" t="s">
        <v>1152</v>
      </c>
    </row>
    <row r="93" spans="1:18" ht="25.5" hidden="1" customHeight="1" x14ac:dyDescent="0.25">
      <c r="A93" s="129"/>
      <c r="B93" s="129"/>
      <c r="C93" s="145"/>
      <c r="D93" s="150" t="s">
        <v>844</v>
      </c>
      <c r="E93" s="166">
        <v>2</v>
      </c>
      <c r="F93" s="353">
        <v>131867</v>
      </c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>
        <f t="shared" ref="Q93" si="9">SUM(G93:P93)</f>
        <v>0</v>
      </c>
      <c r="R93" s="437"/>
    </row>
    <row r="94" spans="1:18" ht="15" hidden="1" customHeight="1" x14ac:dyDescent="0.25">
      <c r="A94" s="129"/>
      <c r="B94" s="129"/>
      <c r="C94" s="145"/>
      <c r="D94" s="315" t="s">
        <v>740</v>
      </c>
      <c r="E94" s="354"/>
      <c r="F94" s="167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437"/>
    </row>
    <row r="95" spans="1:18" ht="22.5" hidden="1" customHeight="1" x14ac:dyDescent="0.25">
      <c r="A95" s="129"/>
      <c r="B95" s="129"/>
      <c r="C95" s="145"/>
      <c r="D95" s="162" t="s">
        <v>752</v>
      </c>
      <c r="E95" s="354">
        <v>1</v>
      </c>
      <c r="F95" s="167">
        <v>131508</v>
      </c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>
        <f>SUM(G95:P95)</f>
        <v>0</v>
      </c>
      <c r="R95" s="437"/>
    </row>
    <row r="96" spans="1:18" ht="14.1" hidden="1" customHeight="1" x14ac:dyDescent="0.25">
      <c r="A96" s="129"/>
      <c r="B96" s="129"/>
      <c r="C96" s="145"/>
      <c r="D96" s="162" t="s">
        <v>753</v>
      </c>
      <c r="E96" s="354">
        <v>1</v>
      </c>
      <c r="F96" s="167">
        <v>131509</v>
      </c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>
        <f>SUM(G96:P96)</f>
        <v>0</v>
      </c>
      <c r="R96" s="437"/>
    </row>
    <row r="97" spans="1:18" ht="14.1" customHeight="1" x14ac:dyDescent="0.25">
      <c r="A97" s="129"/>
      <c r="B97" s="129"/>
      <c r="C97" s="145"/>
      <c r="D97" s="218" t="s">
        <v>378</v>
      </c>
      <c r="E97" s="284"/>
      <c r="F97" s="285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437"/>
    </row>
    <row r="98" spans="1:18" ht="14.1" hidden="1" customHeight="1" x14ac:dyDescent="0.25">
      <c r="A98" s="129"/>
      <c r="B98" s="129"/>
      <c r="C98" s="145"/>
      <c r="D98" s="141" t="s">
        <v>379</v>
      </c>
      <c r="E98" s="161"/>
      <c r="F98" s="140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437"/>
    </row>
    <row r="99" spans="1:18" ht="14.1" hidden="1" customHeight="1" x14ac:dyDescent="0.25">
      <c r="A99" s="129"/>
      <c r="B99" s="129"/>
      <c r="C99" s="145"/>
      <c r="D99" s="139" t="s">
        <v>380</v>
      </c>
      <c r="E99" s="140">
        <v>1</v>
      </c>
      <c r="F99" s="108">
        <v>131703</v>
      </c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>
        <f>SUM(G99:P99)</f>
        <v>0</v>
      </c>
      <c r="R99" s="437"/>
    </row>
    <row r="100" spans="1:18" ht="15" hidden="1" customHeight="1" x14ac:dyDescent="0.25">
      <c r="A100" s="129"/>
      <c r="B100" s="129"/>
      <c r="C100" s="145"/>
      <c r="D100" s="142" t="s">
        <v>381</v>
      </c>
      <c r="E100" s="140">
        <v>1</v>
      </c>
      <c r="F100" s="108">
        <v>121319</v>
      </c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>
        <f>SUM(G100:P100)</f>
        <v>0</v>
      </c>
      <c r="R100" s="437"/>
    </row>
    <row r="101" spans="1:18" ht="27" customHeight="1" x14ac:dyDescent="0.25">
      <c r="A101" s="129"/>
      <c r="B101" s="129"/>
      <c r="C101" s="145"/>
      <c r="D101" s="286" t="s">
        <v>382</v>
      </c>
      <c r="E101" s="108"/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437"/>
    </row>
    <row r="102" spans="1:18" ht="16.5" customHeight="1" x14ac:dyDescent="0.25">
      <c r="A102" s="129"/>
      <c r="B102" s="129"/>
      <c r="C102" s="145"/>
      <c r="D102" s="286" t="s">
        <v>383</v>
      </c>
      <c r="E102" s="108">
        <v>2</v>
      </c>
      <c r="F102" s="108">
        <v>131506</v>
      </c>
      <c r="G102" s="108">
        <v>159</v>
      </c>
      <c r="H102" s="108">
        <v>50</v>
      </c>
      <c r="I102" s="108">
        <v>-209</v>
      </c>
      <c r="J102" s="108"/>
      <c r="K102" s="108"/>
      <c r="L102" s="108"/>
      <c r="M102" s="108"/>
      <c r="N102" s="108"/>
      <c r="O102" s="108"/>
      <c r="P102" s="108"/>
      <c r="Q102" s="108">
        <f>SUM(G102:P102)</f>
        <v>0</v>
      </c>
      <c r="R102" s="437" t="s">
        <v>1152</v>
      </c>
    </row>
    <row r="103" spans="1:18" ht="15" customHeight="1" x14ac:dyDescent="0.25">
      <c r="A103" s="129"/>
      <c r="B103" s="129"/>
      <c r="C103" s="145"/>
      <c r="D103" s="143" t="s">
        <v>384</v>
      </c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437"/>
    </row>
    <row r="104" spans="1:18" ht="15" hidden="1" customHeight="1" x14ac:dyDescent="0.25">
      <c r="A104" s="129"/>
      <c r="B104" s="129"/>
      <c r="C104" s="145"/>
      <c r="D104" s="143" t="s">
        <v>739</v>
      </c>
      <c r="E104" s="108">
        <v>2</v>
      </c>
      <c r="F104" s="108">
        <v>131707</v>
      </c>
      <c r="G104" s="10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>
        <f>SUM(G104:P104)</f>
        <v>0</v>
      </c>
      <c r="R104" s="437"/>
    </row>
    <row r="105" spans="1:18" ht="15" hidden="1" customHeight="1" x14ac:dyDescent="0.25">
      <c r="A105" s="129"/>
      <c r="B105" s="129"/>
      <c r="C105" s="145"/>
      <c r="D105" s="143" t="s">
        <v>385</v>
      </c>
      <c r="E105" s="108">
        <v>2</v>
      </c>
      <c r="F105" s="108">
        <v>131713</v>
      </c>
      <c r="G105" s="10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>
        <f>SUM(G105:P105)</f>
        <v>0</v>
      </c>
      <c r="R105" s="437"/>
    </row>
    <row r="106" spans="1:18" ht="15" customHeight="1" x14ac:dyDescent="0.25">
      <c r="A106" s="511"/>
      <c r="B106" s="511"/>
      <c r="C106" s="544"/>
      <c r="D106" s="633" t="s">
        <v>1073</v>
      </c>
      <c r="E106" s="537">
        <v>1</v>
      </c>
      <c r="F106" s="537">
        <v>131718</v>
      </c>
      <c r="G106" s="537"/>
      <c r="H106" s="537"/>
      <c r="I106" s="537"/>
      <c r="J106" s="537"/>
      <c r="K106" s="537">
        <v>150</v>
      </c>
      <c r="L106" s="537"/>
      <c r="M106" s="537"/>
      <c r="N106" s="537"/>
      <c r="O106" s="537"/>
      <c r="P106" s="537"/>
      <c r="Q106" s="108">
        <f>SUM(G106:P106)</f>
        <v>150</v>
      </c>
      <c r="R106" s="535" t="s">
        <v>1152</v>
      </c>
    </row>
    <row r="107" spans="1:18" ht="16.5" customHeight="1" x14ac:dyDescent="0.25">
      <c r="A107" s="129"/>
      <c r="B107" s="129"/>
      <c r="C107" s="145"/>
      <c r="D107" s="150" t="s">
        <v>329</v>
      </c>
      <c r="E107" s="165"/>
      <c r="F107" s="165"/>
      <c r="G107" s="10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437"/>
    </row>
    <row r="108" spans="1:18" ht="15" customHeight="1" x14ac:dyDescent="0.25">
      <c r="A108" s="129"/>
      <c r="B108" s="129"/>
      <c r="C108" s="145"/>
      <c r="D108" s="143" t="s">
        <v>386</v>
      </c>
      <c r="E108" s="140">
        <v>2</v>
      </c>
      <c r="F108" s="108">
        <v>131706</v>
      </c>
      <c r="G108" s="108">
        <v>84</v>
      </c>
      <c r="H108" s="108">
        <v>-21</v>
      </c>
      <c r="I108" s="108">
        <v>-63</v>
      </c>
      <c r="J108" s="108"/>
      <c r="K108" s="108"/>
      <c r="L108" s="108"/>
      <c r="M108" s="108"/>
      <c r="N108" s="108"/>
      <c r="O108" s="108"/>
      <c r="P108" s="108"/>
      <c r="Q108" s="108">
        <f>SUM(G108:P108)</f>
        <v>0</v>
      </c>
      <c r="R108" s="437" t="s">
        <v>1154</v>
      </c>
    </row>
    <row r="109" spans="1:18" ht="15" hidden="1" customHeight="1" x14ac:dyDescent="0.25">
      <c r="A109" s="129"/>
      <c r="B109" s="129"/>
      <c r="C109" s="145"/>
      <c r="D109" s="528" t="s">
        <v>1098</v>
      </c>
      <c r="E109" s="140">
        <v>2</v>
      </c>
      <c r="F109" s="108">
        <v>131712</v>
      </c>
      <c r="G109" s="10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>
        <f>SUM(G109:P109)</f>
        <v>0</v>
      </c>
      <c r="R109" s="437"/>
    </row>
    <row r="110" spans="1:18" ht="15" hidden="1" customHeight="1" x14ac:dyDescent="0.25">
      <c r="A110" s="129"/>
      <c r="B110" s="129"/>
      <c r="C110" s="145"/>
      <c r="D110" s="150" t="s">
        <v>387</v>
      </c>
      <c r="E110" s="140">
        <v>2</v>
      </c>
      <c r="F110" s="108">
        <v>131714</v>
      </c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>
        <f>SUM(G110:P110)</f>
        <v>0</v>
      </c>
      <c r="R110" s="437"/>
    </row>
    <row r="111" spans="1:18" ht="15" hidden="1" customHeight="1" x14ac:dyDescent="0.25">
      <c r="A111" s="129"/>
      <c r="B111" s="129"/>
      <c r="C111" s="145"/>
      <c r="D111" s="108" t="s">
        <v>368</v>
      </c>
      <c r="E111" s="161"/>
      <c r="F111" s="108"/>
      <c r="G111" s="10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  <c r="R111" s="437"/>
    </row>
    <row r="112" spans="1:18" ht="15" hidden="1" customHeight="1" x14ac:dyDescent="0.25">
      <c r="A112" s="129"/>
      <c r="B112" s="129"/>
      <c r="C112" s="145"/>
      <c r="D112" s="143" t="s">
        <v>388</v>
      </c>
      <c r="E112" s="140">
        <v>2</v>
      </c>
      <c r="F112" s="108">
        <v>128901</v>
      </c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>
        <f>SUM(G112:P112)</f>
        <v>0</v>
      </c>
      <c r="R112" s="437"/>
    </row>
    <row r="113" spans="1:18" ht="15" hidden="1" customHeight="1" x14ac:dyDescent="0.25">
      <c r="A113" s="372"/>
      <c r="B113" s="372"/>
      <c r="C113" s="373"/>
      <c r="D113" s="143" t="s">
        <v>679</v>
      </c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437"/>
    </row>
    <row r="114" spans="1:18" ht="15" hidden="1" customHeight="1" x14ac:dyDescent="0.25">
      <c r="A114" s="372"/>
      <c r="B114" s="372"/>
      <c r="C114" s="373"/>
      <c r="D114" s="143" t="s">
        <v>680</v>
      </c>
      <c r="E114" s="108">
        <v>2</v>
      </c>
      <c r="F114" s="108">
        <v>191401</v>
      </c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>
        <f>SUM(G114:P114)</f>
        <v>0</v>
      </c>
      <c r="R114" s="437"/>
    </row>
    <row r="115" spans="1:18" ht="15" customHeight="1" x14ac:dyDescent="0.25">
      <c r="A115" s="129"/>
      <c r="B115" s="129"/>
      <c r="C115" s="145"/>
      <c r="D115" s="175" t="s">
        <v>389</v>
      </c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437"/>
    </row>
    <row r="116" spans="1:18" ht="15" hidden="1" customHeight="1" x14ac:dyDescent="0.25">
      <c r="A116" s="129"/>
      <c r="B116" s="129"/>
      <c r="C116" s="145"/>
      <c r="D116" s="142" t="s">
        <v>390</v>
      </c>
      <c r="E116" s="140"/>
      <c r="F116" s="140"/>
      <c r="G116" s="10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437"/>
    </row>
    <row r="117" spans="1:18" ht="15" hidden="1" customHeight="1" x14ac:dyDescent="0.25">
      <c r="A117" s="129"/>
      <c r="B117" s="129"/>
      <c r="C117" s="145"/>
      <c r="D117" s="143" t="s">
        <v>920</v>
      </c>
      <c r="E117" s="108">
        <v>2</v>
      </c>
      <c r="F117" s="108">
        <v>131803</v>
      </c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>
        <f>SUM(G117:P117)</f>
        <v>0</v>
      </c>
      <c r="R117" s="437"/>
    </row>
    <row r="118" spans="1:18" ht="15" hidden="1" customHeight="1" x14ac:dyDescent="0.25">
      <c r="A118" s="129"/>
      <c r="B118" s="129"/>
      <c r="C118" s="145"/>
      <c r="D118" s="143" t="s">
        <v>391</v>
      </c>
      <c r="E118" s="108">
        <v>2</v>
      </c>
      <c r="F118" s="108">
        <v>131804</v>
      </c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>
        <f>SUM(G118:P118)</f>
        <v>0</v>
      </c>
      <c r="R118" s="437"/>
    </row>
    <row r="119" spans="1:18" ht="15" hidden="1" customHeight="1" x14ac:dyDescent="0.25">
      <c r="A119" s="511"/>
      <c r="B119" s="511"/>
      <c r="C119" s="544"/>
      <c r="D119" s="528" t="s">
        <v>1084</v>
      </c>
      <c r="E119" s="108">
        <v>2</v>
      </c>
      <c r="F119" s="108">
        <v>131804</v>
      </c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108">
        <f>SUM(G119:P119)</f>
        <v>0</v>
      </c>
      <c r="R119" s="535"/>
    </row>
    <row r="120" spans="1:18" ht="15" hidden="1" customHeight="1" x14ac:dyDescent="0.25">
      <c r="A120" s="129"/>
      <c r="B120" s="129"/>
      <c r="C120" s="145"/>
      <c r="D120" s="143" t="s">
        <v>392</v>
      </c>
      <c r="E120" s="108">
        <v>2</v>
      </c>
      <c r="F120" s="108">
        <v>131805</v>
      </c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>
        <f>SUM(G120:P120)</f>
        <v>0</v>
      </c>
      <c r="R120" s="437"/>
    </row>
    <row r="121" spans="1:18" ht="15" hidden="1" customHeight="1" x14ac:dyDescent="0.25">
      <c r="A121" s="129"/>
      <c r="B121" s="129"/>
      <c r="C121" s="145"/>
      <c r="D121" s="142" t="s">
        <v>393</v>
      </c>
      <c r="E121" s="140"/>
      <c r="F121" s="140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437"/>
    </row>
    <row r="122" spans="1:18" ht="15" hidden="1" customHeight="1" x14ac:dyDescent="0.25">
      <c r="A122" s="129"/>
      <c r="B122" s="129"/>
      <c r="C122" s="145"/>
      <c r="D122" s="143" t="s">
        <v>394</v>
      </c>
      <c r="E122" s="140">
        <v>1</v>
      </c>
      <c r="F122" s="108">
        <v>131808</v>
      </c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>
        <f>SUM(G122:P122)</f>
        <v>0</v>
      </c>
      <c r="R122" s="437"/>
    </row>
    <row r="123" spans="1:18" ht="15" hidden="1" customHeight="1" x14ac:dyDescent="0.25">
      <c r="A123" s="129"/>
      <c r="B123" s="129"/>
      <c r="C123" s="145"/>
      <c r="D123" s="143" t="s">
        <v>395</v>
      </c>
      <c r="E123" s="108">
        <v>1</v>
      </c>
      <c r="F123" s="108">
        <v>131807</v>
      </c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>
        <f>SUM(G123:P123)</f>
        <v>0</v>
      </c>
      <c r="R123" s="437"/>
    </row>
    <row r="124" spans="1:18" ht="15" hidden="1" customHeight="1" x14ac:dyDescent="0.25">
      <c r="A124" s="129"/>
      <c r="B124" s="129"/>
      <c r="C124" s="145"/>
      <c r="D124" s="143" t="s">
        <v>396</v>
      </c>
      <c r="E124" s="140">
        <v>1</v>
      </c>
      <c r="F124" s="108">
        <v>131809</v>
      </c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>
        <f>SUM(G124:P124)</f>
        <v>0</v>
      </c>
      <c r="R124" s="437"/>
    </row>
    <row r="125" spans="1:18" ht="15" hidden="1" customHeight="1" x14ac:dyDescent="0.25">
      <c r="A125" s="129"/>
      <c r="B125" s="129"/>
      <c r="C125" s="145"/>
      <c r="D125" s="143" t="s">
        <v>845</v>
      </c>
      <c r="E125" s="140">
        <v>2</v>
      </c>
      <c r="F125" s="108">
        <v>131866</v>
      </c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>
        <f>SUM(G125:P125)</f>
        <v>0</v>
      </c>
      <c r="R125" s="437"/>
    </row>
    <row r="126" spans="1:18" ht="15" customHeight="1" x14ac:dyDescent="0.25">
      <c r="A126" s="129"/>
      <c r="B126" s="129"/>
      <c r="C126" s="145"/>
      <c r="D126" s="142" t="s">
        <v>397</v>
      </c>
      <c r="E126" s="140"/>
      <c r="F126" s="140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437"/>
    </row>
    <row r="127" spans="1:18" ht="15" hidden="1" customHeight="1" x14ac:dyDescent="0.25">
      <c r="A127" s="129"/>
      <c r="B127" s="129"/>
      <c r="C127" s="145"/>
      <c r="D127" s="143" t="s">
        <v>398</v>
      </c>
      <c r="E127" s="108">
        <v>1</v>
      </c>
      <c r="F127" s="108">
        <v>131811</v>
      </c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>
        <f t="shared" ref="Q127:Q134" si="10">SUM(G127:P127)</f>
        <v>0</v>
      </c>
      <c r="R127" s="437"/>
    </row>
    <row r="128" spans="1:18" ht="15" hidden="1" customHeight="1" x14ac:dyDescent="0.25">
      <c r="A128" s="129"/>
      <c r="B128" s="129"/>
      <c r="C128" s="145"/>
      <c r="D128" s="143" t="s">
        <v>399</v>
      </c>
      <c r="E128" s="108">
        <v>1</v>
      </c>
      <c r="F128" s="108">
        <v>131812</v>
      </c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>
        <f t="shared" si="10"/>
        <v>0</v>
      </c>
      <c r="R128" s="437"/>
    </row>
    <row r="129" spans="1:18" ht="15" hidden="1" customHeight="1" x14ac:dyDescent="0.25">
      <c r="A129" s="129"/>
      <c r="B129" s="129"/>
      <c r="C129" s="145"/>
      <c r="D129" s="143" t="s">
        <v>400</v>
      </c>
      <c r="E129" s="108">
        <v>1</v>
      </c>
      <c r="F129" s="108">
        <v>131813</v>
      </c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>
        <f t="shared" si="10"/>
        <v>0</v>
      </c>
      <c r="R129" s="437"/>
    </row>
    <row r="130" spans="1:18" ht="15" hidden="1" customHeight="1" x14ac:dyDescent="0.25">
      <c r="A130" s="129"/>
      <c r="B130" s="129"/>
      <c r="C130" s="145"/>
      <c r="D130" s="143" t="s">
        <v>401</v>
      </c>
      <c r="E130" s="108">
        <v>1</v>
      </c>
      <c r="F130" s="108">
        <v>131816</v>
      </c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>
        <f t="shared" si="10"/>
        <v>0</v>
      </c>
      <c r="R130" s="437"/>
    </row>
    <row r="131" spans="1:18" ht="15" hidden="1" customHeight="1" x14ac:dyDescent="0.25">
      <c r="A131" s="129"/>
      <c r="B131" s="129"/>
      <c r="C131" s="145"/>
      <c r="D131" s="143" t="s">
        <v>402</v>
      </c>
      <c r="E131" s="108">
        <v>1</v>
      </c>
      <c r="F131" s="108">
        <v>131817</v>
      </c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>
        <f t="shared" si="10"/>
        <v>0</v>
      </c>
      <c r="R131" s="437"/>
    </row>
    <row r="132" spans="1:18" ht="15" hidden="1" customHeight="1" x14ac:dyDescent="0.25">
      <c r="A132" s="129"/>
      <c r="B132" s="129"/>
      <c r="C132" s="145"/>
      <c r="D132" s="143" t="s">
        <v>403</v>
      </c>
      <c r="E132" s="108">
        <v>1</v>
      </c>
      <c r="F132" s="108">
        <v>131818</v>
      </c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>
        <f t="shared" si="10"/>
        <v>0</v>
      </c>
      <c r="R132" s="437"/>
    </row>
    <row r="133" spans="1:18" ht="15" hidden="1" customHeight="1" x14ac:dyDescent="0.25">
      <c r="A133" s="129"/>
      <c r="B133" s="129"/>
      <c r="C133" s="145"/>
      <c r="D133" s="143" t="s">
        <v>404</v>
      </c>
      <c r="E133" s="108">
        <v>1</v>
      </c>
      <c r="F133" s="108">
        <v>131832</v>
      </c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>
        <f t="shared" si="10"/>
        <v>0</v>
      </c>
      <c r="R133" s="437"/>
    </row>
    <row r="134" spans="1:18" ht="15" customHeight="1" x14ac:dyDescent="0.25">
      <c r="A134" s="129"/>
      <c r="B134" s="129"/>
      <c r="C134" s="145"/>
      <c r="D134" s="143" t="s">
        <v>405</v>
      </c>
      <c r="E134" s="108">
        <v>1</v>
      </c>
      <c r="F134" s="108">
        <v>131820</v>
      </c>
      <c r="G134" s="108"/>
      <c r="H134" s="108"/>
      <c r="I134" s="108">
        <v>116</v>
      </c>
      <c r="J134" s="108"/>
      <c r="K134" s="108">
        <v>1346</v>
      </c>
      <c r="L134" s="108"/>
      <c r="M134" s="108"/>
      <c r="N134" s="108"/>
      <c r="O134" s="108"/>
      <c r="P134" s="108"/>
      <c r="Q134" s="108">
        <f t="shared" si="10"/>
        <v>1462</v>
      </c>
      <c r="R134" s="437" t="s">
        <v>1154</v>
      </c>
    </row>
    <row r="135" spans="1:18" ht="15" customHeight="1" x14ac:dyDescent="0.25">
      <c r="A135" s="129"/>
      <c r="B135" s="129"/>
      <c r="C135" s="145"/>
      <c r="D135" s="143" t="s">
        <v>406</v>
      </c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437"/>
    </row>
    <row r="136" spans="1:18" ht="15" customHeight="1" x14ac:dyDescent="0.25">
      <c r="A136" s="129"/>
      <c r="B136" s="129"/>
      <c r="C136" s="145"/>
      <c r="D136" s="143" t="s">
        <v>407</v>
      </c>
      <c r="E136" s="140">
        <v>2</v>
      </c>
      <c r="F136" s="108">
        <v>131821</v>
      </c>
      <c r="G136" s="108"/>
      <c r="H136" s="108"/>
      <c r="I136" s="108"/>
      <c r="J136" s="108"/>
      <c r="K136" s="108">
        <v>200</v>
      </c>
      <c r="L136" s="108"/>
      <c r="M136" s="108"/>
      <c r="N136" s="108"/>
      <c r="O136" s="108"/>
      <c r="P136" s="108"/>
      <c r="Q136" s="108">
        <f t="shared" ref="Q136:Q157" si="11">SUM(G136:P136)</f>
        <v>200</v>
      </c>
      <c r="R136" s="437" t="s">
        <v>1154</v>
      </c>
    </row>
    <row r="137" spans="1:18" ht="15" hidden="1" customHeight="1" x14ac:dyDescent="0.25">
      <c r="A137" s="129"/>
      <c r="B137" s="129"/>
      <c r="C137" s="145"/>
      <c r="D137" s="143" t="s">
        <v>408</v>
      </c>
      <c r="E137" s="140">
        <v>2</v>
      </c>
      <c r="F137" s="108">
        <v>131822</v>
      </c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>
        <f t="shared" si="11"/>
        <v>0</v>
      </c>
      <c r="R137" s="437"/>
    </row>
    <row r="138" spans="1:18" ht="15" hidden="1" customHeight="1" x14ac:dyDescent="0.25">
      <c r="A138" s="129"/>
      <c r="B138" s="129"/>
      <c r="C138" s="145"/>
      <c r="D138" s="287" t="s">
        <v>409</v>
      </c>
      <c r="E138" s="288">
        <v>2</v>
      </c>
      <c r="F138" s="108">
        <v>131823</v>
      </c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>
        <f t="shared" si="11"/>
        <v>0</v>
      </c>
      <c r="R138" s="437"/>
    </row>
    <row r="139" spans="1:18" ht="15" customHeight="1" x14ac:dyDescent="0.25">
      <c r="A139" s="129"/>
      <c r="B139" s="129"/>
      <c r="C139" s="145"/>
      <c r="D139" s="287" t="s">
        <v>410</v>
      </c>
      <c r="E139" s="168">
        <v>2</v>
      </c>
      <c r="F139" s="108">
        <v>131824</v>
      </c>
      <c r="G139" s="108"/>
      <c r="H139" s="108"/>
      <c r="I139" s="108"/>
      <c r="J139" s="108"/>
      <c r="K139" s="108">
        <v>1500</v>
      </c>
      <c r="L139" s="108"/>
      <c r="M139" s="108"/>
      <c r="N139" s="108"/>
      <c r="O139" s="108"/>
      <c r="P139" s="108"/>
      <c r="Q139" s="108">
        <f t="shared" si="11"/>
        <v>1500</v>
      </c>
      <c r="R139" s="437" t="s">
        <v>1152</v>
      </c>
    </row>
    <row r="140" spans="1:18" ht="15" hidden="1" customHeight="1" x14ac:dyDescent="0.25">
      <c r="A140" s="129"/>
      <c r="B140" s="129"/>
      <c r="C140" s="145"/>
      <c r="D140" s="287" t="s">
        <v>411</v>
      </c>
      <c r="E140" s="168">
        <v>2</v>
      </c>
      <c r="F140" s="169">
        <v>131833</v>
      </c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>
        <f t="shared" si="11"/>
        <v>0</v>
      </c>
      <c r="R140" s="437"/>
    </row>
    <row r="141" spans="1:18" ht="15" hidden="1" customHeight="1" x14ac:dyDescent="0.25">
      <c r="A141" s="129"/>
      <c r="B141" s="129"/>
      <c r="C141" s="145"/>
      <c r="D141" s="287" t="s">
        <v>412</v>
      </c>
      <c r="E141" s="168">
        <v>2</v>
      </c>
      <c r="F141" s="169">
        <v>131834</v>
      </c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>
        <f t="shared" si="11"/>
        <v>0</v>
      </c>
      <c r="R141" s="437"/>
    </row>
    <row r="142" spans="1:18" ht="15" hidden="1" customHeight="1" x14ac:dyDescent="0.25">
      <c r="A142" s="129"/>
      <c r="B142" s="129"/>
      <c r="C142" s="145"/>
      <c r="D142" s="287" t="s">
        <v>413</v>
      </c>
      <c r="E142" s="168">
        <v>2</v>
      </c>
      <c r="F142" s="169">
        <v>131836</v>
      </c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>
        <f t="shared" si="11"/>
        <v>0</v>
      </c>
      <c r="R142" s="437"/>
    </row>
    <row r="143" spans="1:18" ht="15" hidden="1" customHeight="1" x14ac:dyDescent="0.25">
      <c r="A143" s="129"/>
      <c r="B143" s="129"/>
      <c r="C143" s="145"/>
      <c r="D143" s="287" t="s">
        <v>414</v>
      </c>
      <c r="E143" s="168">
        <v>2</v>
      </c>
      <c r="F143" s="169">
        <v>131837</v>
      </c>
      <c r="G143" s="108"/>
      <c r="H143" s="108"/>
      <c r="I143" s="108"/>
      <c r="J143" s="108"/>
      <c r="K143" s="108"/>
      <c r="L143" s="108"/>
      <c r="M143" s="108"/>
      <c r="N143" s="108"/>
      <c r="O143" s="108"/>
      <c r="P143" s="108"/>
      <c r="Q143" s="108">
        <f t="shared" si="11"/>
        <v>0</v>
      </c>
      <c r="R143" s="437"/>
    </row>
    <row r="144" spans="1:18" ht="15" hidden="1" customHeight="1" x14ac:dyDescent="0.25">
      <c r="A144" s="129"/>
      <c r="B144" s="129"/>
      <c r="C144" s="145"/>
      <c r="D144" s="287" t="s">
        <v>1012</v>
      </c>
      <c r="E144" s="168">
        <v>2</v>
      </c>
      <c r="F144" s="169">
        <v>131838</v>
      </c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>
        <f t="shared" si="11"/>
        <v>0</v>
      </c>
      <c r="R144" s="437"/>
    </row>
    <row r="145" spans="1:18" ht="15" hidden="1" customHeight="1" x14ac:dyDescent="0.25">
      <c r="A145" s="129"/>
      <c r="B145" s="129"/>
      <c r="C145" s="145"/>
      <c r="D145" s="287" t="s">
        <v>415</v>
      </c>
      <c r="E145" s="168">
        <v>2</v>
      </c>
      <c r="F145" s="169">
        <v>131840</v>
      </c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>
        <f t="shared" si="11"/>
        <v>0</v>
      </c>
      <c r="R145" s="437"/>
    </row>
    <row r="146" spans="1:18" ht="15" hidden="1" customHeight="1" x14ac:dyDescent="0.25">
      <c r="A146" s="129"/>
      <c r="B146" s="129"/>
      <c r="C146" s="145"/>
      <c r="D146" s="287" t="s">
        <v>1054</v>
      </c>
      <c r="E146" s="168">
        <v>2</v>
      </c>
      <c r="F146" s="169">
        <v>131841</v>
      </c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>
        <f t="shared" si="11"/>
        <v>0</v>
      </c>
      <c r="R146" s="437"/>
    </row>
    <row r="147" spans="1:18" ht="15" hidden="1" customHeight="1" x14ac:dyDescent="0.25">
      <c r="A147" s="129"/>
      <c r="B147" s="129"/>
      <c r="C147" s="145"/>
      <c r="D147" s="287" t="s">
        <v>416</v>
      </c>
      <c r="E147" s="168">
        <v>2</v>
      </c>
      <c r="F147" s="169">
        <v>131843</v>
      </c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>
        <f t="shared" si="11"/>
        <v>0</v>
      </c>
      <c r="R147" s="437"/>
    </row>
    <row r="148" spans="1:18" ht="15" hidden="1" customHeight="1" x14ac:dyDescent="0.25">
      <c r="A148" s="129"/>
      <c r="B148" s="129"/>
      <c r="C148" s="129"/>
      <c r="D148" s="108" t="s">
        <v>417</v>
      </c>
      <c r="E148" s="168">
        <v>2</v>
      </c>
      <c r="F148" s="169">
        <v>131847</v>
      </c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>
        <f t="shared" si="11"/>
        <v>0</v>
      </c>
      <c r="R148" s="437"/>
    </row>
    <row r="149" spans="1:18" ht="15" hidden="1" customHeight="1" x14ac:dyDescent="0.25">
      <c r="A149" s="129"/>
      <c r="B149" s="129"/>
      <c r="C149" s="129"/>
      <c r="D149" s="289" t="s">
        <v>418</v>
      </c>
      <c r="E149" s="168">
        <v>2</v>
      </c>
      <c r="F149" s="169">
        <v>131848</v>
      </c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>
        <f t="shared" si="11"/>
        <v>0</v>
      </c>
      <c r="R149" s="437"/>
    </row>
    <row r="150" spans="1:18" ht="15" hidden="1" customHeight="1" x14ac:dyDescent="0.25">
      <c r="A150" s="129"/>
      <c r="B150" s="129"/>
      <c r="C150" s="129"/>
      <c r="D150" s="289" t="s">
        <v>419</v>
      </c>
      <c r="E150" s="168">
        <v>2</v>
      </c>
      <c r="F150" s="169">
        <v>131851</v>
      </c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>
        <f t="shared" si="11"/>
        <v>0</v>
      </c>
      <c r="R150" s="437"/>
    </row>
    <row r="151" spans="1:18" ht="15" hidden="1" customHeight="1" x14ac:dyDescent="0.25">
      <c r="A151" s="129"/>
      <c r="B151" s="129"/>
      <c r="C151" s="129"/>
      <c r="D151" s="283" t="s">
        <v>420</v>
      </c>
      <c r="E151" s="168">
        <v>2</v>
      </c>
      <c r="F151" s="169">
        <v>131852</v>
      </c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>
        <f t="shared" si="11"/>
        <v>0</v>
      </c>
      <c r="R151" s="437"/>
    </row>
    <row r="152" spans="1:18" ht="26.25" hidden="1" customHeight="1" x14ac:dyDescent="0.25">
      <c r="A152" s="129"/>
      <c r="B152" s="129"/>
      <c r="C152" s="129"/>
      <c r="D152" s="170" t="s">
        <v>421</v>
      </c>
      <c r="E152" s="171">
        <v>2</v>
      </c>
      <c r="F152" s="167">
        <v>131862</v>
      </c>
      <c r="G152" s="108"/>
      <c r="H152" s="108"/>
      <c r="I152" s="108"/>
      <c r="J152" s="108"/>
      <c r="K152" s="108"/>
      <c r="L152" s="108"/>
      <c r="M152" s="108"/>
      <c r="N152" s="108"/>
      <c r="O152" s="108"/>
      <c r="P152" s="108"/>
      <c r="Q152" s="108">
        <f t="shared" si="11"/>
        <v>0</v>
      </c>
      <c r="R152" s="437"/>
    </row>
    <row r="153" spans="1:18" ht="15" hidden="1" customHeight="1" x14ac:dyDescent="0.25">
      <c r="A153" s="129"/>
      <c r="B153" s="129"/>
      <c r="C153" s="129"/>
      <c r="D153" s="290" t="s">
        <v>422</v>
      </c>
      <c r="E153" s="168">
        <v>2</v>
      </c>
      <c r="F153" s="169">
        <v>131859</v>
      </c>
      <c r="G153" s="108"/>
      <c r="H153" s="108"/>
      <c r="I153" s="108"/>
      <c r="J153" s="108"/>
      <c r="K153" s="108"/>
      <c r="L153" s="108"/>
      <c r="M153" s="108"/>
      <c r="N153" s="108"/>
      <c r="O153" s="108"/>
      <c r="P153" s="108"/>
      <c r="Q153" s="108">
        <f t="shared" si="11"/>
        <v>0</v>
      </c>
      <c r="R153" s="437"/>
    </row>
    <row r="154" spans="1:18" ht="15" hidden="1" customHeight="1" x14ac:dyDescent="0.25">
      <c r="A154" s="129"/>
      <c r="B154" s="129"/>
      <c r="C154" s="129"/>
      <c r="D154" s="290" t="s">
        <v>423</v>
      </c>
      <c r="E154" s="168">
        <v>2</v>
      </c>
      <c r="F154" s="169">
        <v>131860</v>
      </c>
      <c r="G154" s="10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>
        <f t="shared" si="11"/>
        <v>0</v>
      </c>
      <c r="R154" s="437"/>
    </row>
    <row r="155" spans="1:18" ht="15" hidden="1" customHeight="1" x14ac:dyDescent="0.25">
      <c r="A155" s="129"/>
      <c r="B155" s="129"/>
      <c r="C155" s="129"/>
      <c r="D155" s="290" t="s">
        <v>424</v>
      </c>
      <c r="E155" s="168">
        <v>2</v>
      </c>
      <c r="F155" s="169">
        <v>131861</v>
      </c>
      <c r="G155" s="10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>
        <f t="shared" si="11"/>
        <v>0</v>
      </c>
      <c r="R155" s="437"/>
    </row>
    <row r="156" spans="1:18" ht="15" customHeight="1" x14ac:dyDescent="0.25">
      <c r="A156" s="511"/>
      <c r="B156" s="511"/>
      <c r="C156" s="511"/>
      <c r="D156" s="816" t="s">
        <v>1141</v>
      </c>
      <c r="E156" s="815">
        <v>2</v>
      </c>
      <c r="F156" s="817">
        <v>131879</v>
      </c>
      <c r="G156" s="537"/>
      <c r="H156" s="537"/>
      <c r="I156" s="537"/>
      <c r="J156" s="537"/>
      <c r="K156" s="537">
        <v>-75</v>
      </c>
      <c r="L156" s="537"/>
      <c r="M156" s="537"/>
      <c r="N156" s="537"/>
      <c r="O156" s="537"/>
      <c r="P156" s="537"/>
      <c r="Q156" s="108">
        <f t="shared" si="11"/>
        <v>-75</v>
      </c>
      <c r="R156" s="535" t="s">
        <v>1154</v>
      </c>
    </row>
    <row r="157" spans="1:18" ht="15" customHeight="1" x14ac:dyDescent="0.25">
      <c r="A157" s="129"/>
      <c r="B157" s="129"/>
      <c r="C157" s="129"/>
      <c r="D157" s="142" t="s">
        <v>425</v>
      </c>
      <c r="E157" s="140">
        <v>2</v>
      </c>
      <c r="F157" s="108">
        <v>131829</v>
      </c>
      <c r="G157" s="108">
        <v>157</v>
      </c>
      <c r="H157" s="108">
        <v>54</v>
      </c>
      <c r="I157" s="108"/>
      <c r="J157" s="108"/>
      <c r="K157" s="108">
        <v>-211</v>
      </c>
      <c r="L157" s="108"/>
      <c r="M157" s="108"/>
      <c r="N157" s="108"/>
      <c r="O157" s="108"/>
      <c r="P157" s="108"/>
      <c r="Q157" s="108">
        <f t="shared" si="11"/>
        <v>0</v>
      </c>
      <c r="R157" s="437" t="s">
        <v>1152</v>
      </c>
    </row>
    <row r="158" spans="1:18" ht="15" customHeight="1" x14ac:dyDescent="0.25">
      <c r="A158" s="129"/>
      <c r="B158" s="129"/>
      <c r="C158" s="129"/>
      <c r="D158" s="108" t="s">
        <v>426</v>
      </c>
      <c r="E158" s="140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437"/>
    </row>
    <row r="159" spans="1:18" ht="15" customHeight="1" x14ac:dyDescent="0.25">
      <c r="A159" s="129"/>
      <c r="B159" s="129"/>
      <c r="C159" s="145"/>
      <c r="D159" s="143" t="s">
        <v>427</v>
      </c>
      <c r="E159" s="140">
        <v>1</v>
      </c>
      <c r="F159" s="108">
        <v>131827</v>
      </c>
      <c r="G159" s="108"/>
      <c r="H159" s="108"/>
      <c r="I159" s="108">
        <v>3298</v>
      </c>
      <c r="J159" s="108"/>
      <c r="K159" s="108">
        <v>12356</v>
      </c>
      <c r="L159" s="108"/>
      <c r="M159" s="108"/>
      <c r="N159" s="108"/>
      <c r="O159" s="108"/>
      <c r="P159" s="108"/>
      <c r="Q159" s="108">
        <f>SUM(G159:P159)</f>
        <v>15654</v>
      </c>
      <c r="R159" s="437" t="s">
        <v>1155</v>
      </c>
    </row>
    <row r="160" spans="1:18" ht="15" hidden="1" customHeight="1" x14ac:dyDescent="0.25">
      <c r="A160" s="129"/>
      <c r="B160" s="129"/>
      <c r="C160" s="145"/>
      <c r="D160" s="143" t="s">
        <v>428</v>
      </c>
      <c r="E160" s="108">
        <v>2</v>
      </c>
      <c r="F160" s="108">
        <v>131857</v>
      </c>
      <c r="G160" s="10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>
        <f>SUM(G160:P160)</f>
        <v>0</v>
      </c>
      <c r="R160" s="437"/>
    </row>
    <row r="161" spans="1:18" ht="15" hidden="1" customHeight="1" x14ac:dyDescent="0.25">
      <c r="A161" s="129"/>
      <c r="B161" s="129"/>
      <c r="C161" s="145"/>
      <c r="D161" s="172" t="s">
        <v>429</v>
      </c>
      <c r="E161" s="108">
        <v>2</v>
      </c>
      <c r="F161" s="108">
        <v>131844</v>
      </c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>
        <f>SUM(G161:P161)</f>
        <v>0</v>
      </c>
      <c r="R161" s="437"/>
    </row>
    <row r="162" spans="1:18" ht="15" customHeight="1" x14ac:dyDescent="0.25">
      <c r="A162" s="129"/>
      <c r="B162" s="129"/>
      <c r="C162" s="145"/>
      <c r="D162" s="324" t="s">
        <v>869</v>
      </c>
      <c r="E162" s="149">
        <v>2</v>
      </c>
      <c r="F162" s="108">
        <v>221966</v>
      </c>
      <c r="G162" s="201"/>
      <c r="H162" s="201"/>
      <c r="I162" s="201"/>
      <c r="J162" s="201"/>
      <c r="K162" s="201">
        <v>-10000</v>
      </c>
      <c r="L162" s="201"/>
      <c r="M162" s="201"/>
      <c r="N162" s="201"/>
      <c r="O162" s="201"/>
      <c r="P162" s="201"/>
      <c r="Q162" s="192">
        <f>SUM(G162:P162)</f>
        <v>-10000</v>
      </c>
      <c r="R162" s="437" t="s">
        <v>1154</v>
      </c>
    </row>
    <row r="163" spans="1:18" ht="15" hidden="1" customHeight="1" x14ac:dyDescent="0.25">
      <c r="A163" s="129"/>
      <c r="B163" s="129"/>
      <c r="C163" s="145"/>
      <c r="D163" s="143" t="s">
        <v>866</v>
      </c>
      <c r="E163" s="108">
        <v>2</v>
      </c>
      <c r="F163" s="108">
        <v>191801</v>
      </c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>
        <f>SUM(G163:P163)</f>
        <v>0</v>
      </c>
      <c r="R163" s="437"/>
    </row>
    <row r="164" spans="1:18" ht="12" customHeight="1" x14ac:dyDescent="0.25">
      <c r="A164" s="151"/>
      <c r="B164" s="151"/>
      <c r="C164" s="152"/>
      <c r="D164" s="153" t="s">
        <v>430</v>
      </c>
      <c r="E164" s="154"/>
      <c r="F164" s="155"/>
      <c r="G164" s="173">
        <f t="shared" ref="G164:Q164" si="12">SUM(G52:G163)</f>
        <v>323</v>
      </c>
      <c r="H164" s="173">
        <f t="shared" si="12"/>
        <v>-214</v>
      </c>
      <c r="I164" s="173">
        <f t="shared" si="12"/>
        <v>3161</v>
      </c>
      <c r="J164" s="173">
        <f t="shared" si="12"/>
        <v>-900</v>
      </c>
      <c r="K164" s="173">
        <f t="shared" si="12"/>
        <v>30450</v>
      </c>
      <c r="L164" s="173">
        <f t="shared" si="12"/>
        <v>0</v>
      </c>
      <c r="M164" s="173">
        <f t="shared" si="12"/>
        <v>0</v>
      </c>
      <c r="N164" s="173">
        <f t="shared" si="12"/>
        <v>0</v>
      </c>
      <c r="O164" s="173">
        <f t="shared" si="12"/>
        <v>0</v>
      </c>
      <c r="P164" s="173">
        <f t="shared" si="12"/>
        <v>0</v>
      </c>
      <c r="Q164" s="173">
        <f t="shared" si="12"/>
        <v>32820</v>
      </c>
      <c r="R164" s="438"/>
    </row>
    <row r="165" spans="1:18" ht="12" customHeight="1" x14ac:dyDescent="0.25">
      <c r="A165" s="156"/>
      <c r="B165" s="156"/>
      <c r="C165" s="174"/>
      <c r="D165" s="175" t="s">
        <v>332</v>
      </c>
      <c r="E165" s="158"/>
      <c r="F165" s="159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437"/>
    </row>
    <row r="166" spans="1:18" ht="12" hidden="1" customHeight="1" x14ac:dyDescent="0.25">
      <c r="A166" s="539"/>
      <c r="B166" s="539"/>
      <c r="C166" s="665" t="s">
        <v>90</v>
      </c>
      <c r="D166" s="668" t="s">
        <v>341</v>
      </c>
      <c r="E166" s="666"/>
      <c r="F166" s="543"/>
      <c r="G166" s="667"/>
      <c r="H166" s="667"/>
      <c r="I166" s="667"/>
      <c r="J166" s="667"/>
      <c r="K166" s="667"/>
      <c r="L166" s="667"/>
      <c r="M166" s="667"/>
      <c r="N166" s="667"/>
      <c r="O166" s="667"/>
      <c r="P166" s="667"/>
      <c r="Q166" s="179"/>
      <c r="R166" s="535"/>
    </row>
    <row r="167" spans="1:18" ht="12" hidden="1" customHeight="1" x14ac:dyDescent="0.25">
      <c r="A167" s="539"/>
      <c r="B167" s="539"/>
      <c r="C167" s="539" t="s">
        <v>1038</v>
      </c>
      <c r="D167" s="669" t="s">
        <v>1039</v>
      </c>
      <c r="E167" s="666"/>
      <c r="F167" s="543"/>
      <c r="G167" s="667"/>
      <c r="H167" s="667"/>
      <c r="I167" s="667"/>
      <c r="J167" s="667"/>
      <c r="K167" s="667"/>
      <c r="L167" s="667"/>
      <c r="M167" s="667"/>
      <c r="N167" s="667"/>
      <c r="O167" s="667"/>
      <c r="P167" s="667"/>
      <c r="Q167" s="179"/>
      <c r="R167" s="535"/>
    </row>
    <row r="168" spans="1:18" ht="12" hidden="1" customHeight="1" x14ac:dyDescent="0.25">
      <c r="A168" s="539"/>
      <c r="B168" s="539"/>
      <c r="C168" s="511" t="s">
        <v>1040</v>
      </c>
      <c r="D168" s="670" t="s">
        <v>1041</v>
      </c>
      <c r="E168" s="666"/>
      <c r="F168" s="537">
        <v>134997</v>
      </c>
      <c r="G168" s="667"/>
      <c r="H168" s="667"/>
      <c r="I168" s="667"/>
      <c r="J168" s="667"/>
      <c r="K168" s="667"/>
      <c r="L168" s="667"/>
      <c r="M168" s="673"/>
      <c r="N168" s="667"/>
      <c r="O168" s="667"/>
      <c r="P168" s="667"/>
      <c r="Q168" s="179">
        <f t="shared" ref="Q168:Q177" si="13">SUM(G168:P168)</f>
        <v>0</v>
      </c>
      <c r="R168" s="535"/>
    </row>
    <row r="169" spans="1:18" ht="12" hidden="1" customHeight="1" x14ac:dyDescent="0.25">
      <c r="A169" s="539"/>
      <c r="B169" s="539"/>
      <c r="C169" s="542" t="s">
        <v>1044</v>
      </c>
      <c r="D169" s="702" t="s">
        <v>1045</v>
      </c>
      <c r="E169" s="485"/>
      <c r="F169" s="543"/>
      <c r="G169" s="700"/>
      <c r="H169" s="700"/>
      <c r="I169" s="700"/>
      <c r="J169" s="700"/>
      <c r="K169" s="700"/>
      <c r="L169" s="700"/>
      <c r="M169" s="701"/>
      <c r="N169" s="700"/>
      <c r="O169" s="700"/>
      <c r="P169" s="700"/>
      <c r="Q169" s="179"/>
      <c r="R169" s="535"/>
    </row>
    <row r="170" spans="1:18" ht="12" hidden="1" customHeight="1" x14ac:dyDescent="0.25">
      <c r="A170" s="539"/>
      <c r="B170" s="539"/>
      <c r="C170" s="703" t="s">
        <v>1046</v>
      </c>
      <c r="D170" s="568" t="s">
        <v>1047</v>
      </c>
      <c r="E170" s="485"/>
      <c r="F170" s="537">
        <v>134974</v>
      </c>
      <c r="G170" s="700"/>
      <c r="H170" s="700"/>
      <c r="I170" s="700"/>
      <c r="J170" s="700"/>
      <c r="K170" s="700"/>
      <c r="L170" s="700"/>
      <c r="M170" s="701"/>
      <c r="N170" s="701"/>
      <c r="O170" s="700"/>
      <c r="P170" s="700"/>
      <c r="Q170" s="179">
        <f t="shared" si="13"/>
        <v>0</v>
      </c>
      <c r="R170" s="535"/>
    </row>
    <row r="171" spans="1:18" ht="12" hidden="1" customHeight="1" x14ac:dyDescent="0.25">
      <c r="A171" s="539"/>
      <c r="B171" s="539"/>
      <c r="C171" s="704" t="s">
        <v>89</v>
      </c>
      <c r="D171" s="539" t="s">
        <v>348</v>
      </c>
      <c r="E171" s="485"/>
      <c r="F171" s="537"/>
      <c r="G171" s="700"/>
      <c r="H171" s="700"/>
      <c r="I171" s="700"/>
      <c r="J171" s="700"/>
      <c r="K171" s="700"/>
      <c r="L171" s="700"/>
      <c r="M171" s="701"/>
      <c r="N171" s="700"/>
      <c r="O171" s="700"/>
      <c r="P171" s="700"/>
      <c r="Q171" s="179"/>
      <c r="R171" s="535"/>
    </row>
    <row r="172" spans="1:18" ht="12" hidden="1" customHeight="1" x14ac:dyDescent="0.25">
      <c r="A172" s="539"/>
      <c r="B172" s="539"/>
      <c r="C172" s="511" t="s">
        <v>1048</v>
      </c>
      <c r="D172" s="699" t="s">
        <v>1049</v>
      </c>
      <c r="E172" s="485"/>
      <c r="F172" s="537">
        <v>132943</v>
      </c>
      <c r="G172" s="700"/>
      <c r="H172" s="700"/>
      <c r="I172" s="700"/>
      <c r="J172" s="700"/>
      <c r="K172" s="700"/>
      <c r="L172" s="701"/>
      <c r="M172" s="701"/>
      <c r="N172" s="700"/>
      <c r="O172" s="700"/>
      <c r="P172" s="700"/>
      <c r="Q172" s="179">
        <f t="shared" si="13"/>
        <v>0</v>
      </c>
      <c r="R172" s="535"/>
    </row>
    <row r="173" spans="1:18" ht="12" hidden="1" customHeight="1" x14ac:dyDescent="0.25">
      <c r="A173" s="539"/>
      <c r="B173" s="539"/>
      <c r="C173" s="511" t="s">
        <v>1061</v>
      </c>
      <c r="D173" s="699" t="s">
        <v>1129</v>
      </c>
      <c r="E173" s="756"/>
      <c r="F173" s="537">
        <v>132945</v>
      </c>
      <c r="G173" s="770"/>
      <c r="H173" s="770"/>
      <c r="I173" s="770"/>
      <c r="J173" s="770"/>
      <c r="K173" s="770"/>
      <c r="L173" s="743"/>
      <c r="M173" s="743"/>
      <c r="N173" s="770"/>
      <c r="O173" s="770"/>
      <c r="P173" s="770"/>
      <c r="Q173" s="179">
        <f t="shared" si="13"/>
        <v>0</v>
      </c>
      <c r="R173" s="535"/>
    </row>
    <row r="174" spans="1:18" ht="12" hidden="1" customHeight="1" x14ac:dyDescent="0.25">
      <c r="A174" s="539"/>
      <c r="B174" s="539"/>
      <c r="C174" s="511" t="s">
        <v>1130</v>
      </c>
      <c r="D174" s="699" t="s">
        <v>1131</v>
      </c>
      <c r="E174" s="756"/>
      <c r="F174" s="537">
        <v>132946</v>
      </c>
      <c r="G174" s="770"/>
      <c r="H174" s="770"/>
      <c r="I174" s="770"/>
      <c r="J174" s="770"/>
      <c r="K174" s="770"/>
      <c r="L174" s="743"/>
      <c r="M174" s="743"/>
      <c r="N174" s="770"/>
      <c r="O174" s="770"/>
      <c r="P174" s="770"/>
      <c r="Q174" s="179">
        <f t="shared" si="13"/>
        <v>0</v>
      </c>
      <c r="R174" s="720"/>
    </row>
    <row r="175" spans="1:18" ht="12" hidden="1" customHeight="1" x14ac:dyDescent="0.25">
      <c r="A175" s="793"/>
      <c r="B175" s="793"/>
      <c r="C175" s="738" t="s">
        <v>1138</v>
      </c>
      <c r="D175" s="783" t="s">
        <v>1139</v>
      </c>
      <c r="E175" s="794"/>
      <c r="F175" s="736">
        <v>132944</v>
      </c>
      <c r="G175" s="795"/>
      <c r="H175" s="795"/>
      <c r="I175" s="795"/>
      <c r="J175" s="795"/>
      <c r="K175" s="795"/>
      <c r="L175" s="796"/>
      <c r="M175" s="796"/>
      <c r="N175" s="795"/>
      <c r="O175" s="795"/>
      <c r="P175" s="795"/>
      <c r="Q175" s="179">
        <f t="shared" si="13"/>
        <v>0</v>
      </c>
      <c r="R175" s="720"/>
    </row>
    <row r="176" spans="1:18" ht="12" customHeight="1" x14ac:dyDescent="0.25">
      <c r="A176" s="539"/>
      <c r="B176" s="539"/>
      <c r="C176" s="511" t="s">
        <v>91</v>
      </c>
      <c r="D176" s="671" t="s">
        <v>378</v>
      </c>
      <c r="E176" s="666"/>
      <c r="F176" s="543"/>
      <c r="G176" s="667"/>
      <c r="H176" s="667"/>
      <c r="I176" s="667"/>
      <c r="J176" s="667"/>
      <c r="K176" s="667"/>
      <c r="L176" s="667"/>
      <c r="M176" s="673"/>
      <c r="N176" s="667"/>
      <c r="O176" s="667"/>
      <c r="P176" s="667"/>
      <c r="Q176" s="179"/>
      <c r="R176" s="535"/>
    </row>
    <row r="177" spans="1:18" ht="12" customHeight="1" x14ac:dyDescent="0.25">
      <c r="A177" s="539"/>
      <c r="B177" s="539"/>
      <c r="C177" s="511" t="s">
        <v>1042</v>
      </c>
      <c r="D177" s="672" t="s">
        <v>1156</v>
      </c>
      <c r="E177" s="666"/>
      <c r="F177" s="537">
        <v>134990</v>
      </c>
      <c r="G177" s="667"/>
      <c r="H177" s="667"/>
      <c r="I177" s="667"/>
      <c r="J177" s="667"/>
      <c r="K177" s="667"/>
      <c r="L177" s="667"/>
      <c r="M177" s="673">
        <v>4788</v>
      </c>
      <c r="N177" s="667"/>
      <c r="O177" s="667"/>
      <c r="P177" s="667"/>
      <c r="Q177" s="179">
        <f t="shared" si="13"/>
        <v>4788</v>
      </c>
      <c r="R177" s="535" t="s">
        <v>1154</v>
      </c>
    </row>
    <row r="178" spans="1:18" ht="15" hidden="1" customHeight="1" x14ac:dyDescent="0.25">
      <c r="A178" s="156"/>
      <c r="B178" s="156"/>
      <c r="C178" s="539" t="s">
        <v>92</v>
      </c>
      <c r="D178" s="540" t="s">
        <v>737</v>
      </c>
      <c r="E178" s="410"/>
      <c r="F178" s="537"/>
      <c r="G178" s="17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9"/>
      <c r="R178" s="437"/>
    </row>
    <row r="179" spans="1:18" ht="15" hidden="1" customHeight="1" x14ac:dyDescent="0.25">
      <c r="A179" s="156"/>
      <c r="B179" s="156"/>
      <c r="C179" s="511" t="s">
        <v>533</v>
      </c>
      <c r="D179" s="541" t="s">
        <v>971</v>
      </c>
      <c r="E179" s="410"/>
      <c r="F179" s="537">
        <v>134954</v>
      </c>
      <c r="G179" s="179"/>
      <c r="H179" s="179"/>
      <c r="I179" s="179"/>
      <c r="J179" s="179"/>
      <c r="K179" s="179"/>
      <c r="L179" s="179"/>
      <c r="M179" s="179"/>
      <c r="N179" s="179"/>
      <c r="O179" s="179"/>
      <c r="P179" s="179"/>
      <c r="Q179" s="179">
        <f t="shared" ref="Q179:Q188" si="14">SUM(G179:P179)</f>
        <v>0</v>
      </c>
      <c r="R179" s="437"/>
    </row>
    <row r="180" spans="1:18" ht="15" hidden="1" customHeight="1" x14ac:dyDescent="0.25">
      <c r="A180" s="539"/>
      <c r="B180" s="539"/>
      <c r="C180" s="544" t="s">
        <v>1077</v>
      </c>
      <c r="D180" s="541" t="s">
        <v>1078</v>
      </c>
      <c r="E180" s="742"/>
      <c r="F180" s="537">
        <v>134975</v>
      </c>
      <c r="G180" s="743"/>
      <c r="H180" s="743"/>
      <c r="I180" s="743"/>
      <c r="J180" s="743"/>
      <c r="K180" s="743"/>
      <c r="L180" s="743"/>
      <c r="M180" s="743"/>
      <c r="N180" s="743"/>
      <c r="O180" s="743"/>
      <c r="P180" s="743"/>
      <c r="Q180" s="179">
        <f t="shared" si="14"/>
        <v>0</v>
      </c>
      <c r="R180" s="535"/>
    </row>
    <row r="181" spans="1:18" ht="18.75" customHeight="1" x14ac:dyDescent="0.25">
      <c r="A181" s="156"/>
      <c r="B181" s="156"/>
      <c r="C181" s="542" t="s">
        <v>79</v>
      </c>
      <c r="D181" s="528" t="s">
        <v>968</v>
      </c>
      <c r="E181" s="485"/>
      <c r="F181" s="543"/>
      <c r="G181" s="149"/>
      <c r="H181" s="149"/>
      <c r="I181" s="149"/>
      <c r="J181" s="149"/>
      <c r="K181" s="149"/>
      <c r="L181" s="149"/>
      <c r="M181" s="149"/>
      <c r="N181" s="149"/>
      <c r="O181" s="149"/>
      <c r="P181" s="149"/>
      <c r="Q181" s="179"/>
      <c r="R181" s="437"/>
    </row>
    <row r="182" spans="1:18" ht="18" hidden="1" customHeight="1" x14ac:dyDescent="0.25">
      <c r="A182" s="156"/>
      <c r="B182" s="156"/>
      <c r="C182" s="544" t="s">
        <v>434</v>
      </c>
      <c r="D182" s="545" t="s">
        <v>431</v>
      </c>
      <c r="E182" s="410"/>
      <c r="F182" s="537">
        <v>134908</v>
      </c>
      <c r="G182" s="149"/>
      <c r="H182" s="149"/>
      <c r="I182" s="149"/>
      <c r="J182" s="149"/>
      <c r="K182" s="149"/>
      <c r="L182" s="149"/>
      <c r="M182" s="149"/>
      <c r="N182" s="149"/>
      <c r="O182" s="149"/>
      <c r="P182" s="149"/>
      <c r="Q182" s="179">
        <f t="shared" si="14"/>
        <v>0</v>
      </c>
      <c r="R182" s="437"/>
    </row>
    <row r="183" spans="1:18" ht="18" customHeight="1" x14ac:dyDescent="0.25">
      <c r="A183" s="156"/>
      <c r="B183" s="156"/>
      <c r="C183" s="544" t="s">
        <v>435</v>
      </c>
      <c r="D183" s="545" t="s">
        <v>918</v>
      </c>
      <c r="E183" s="410"/>
      <c r="F183" s="537">
        <v>134916</v>
      </c>
      <c r="G183" s="149"/>
      <c r="H183" s="149"/>
      <c r="I183" s="149"/>
      <c r="J183" s="149"/>
      <c r="K183" s="149"/>
      <c r="L183" s="149"/>
      <c r="M183" s="149">
        <v>-2000</v>
      </c>
      <c r="N183" s="149"/>
      <c r="O183" s="149"/>
      <c r="P183" s="149"/>
      <c r="Q183" s="179">
        <f t="shared" si="14"/>
        <v>-2000</v>
      </c>
      <c r="R183" s="437" t="s">
        <v>1154</v>
      </c>
    </row>
    <row r="184" spans="1:18" ht="18" hidden="1" customHeight="1" x14ac:dyDescent="0.25">
      <c r="A184" s="156"/>
      <c r="B184" s="156"/>
      <c r="C184" s="544" t="s">
        <v>436</v>
      </c>
      <c r="D184" s="546" t="s">
        <v>972</v>
      </c>
      <c r="F184" s="537">
        <v>134915</v>
      </c>
      <c r="G184" s="149"/>
      <c r="H184" s="149"/>
      <c r="I184" s="149"/>
      <c r="J184" s="149"/>
      <c r="K184" s="149"/>
      <c r="L184" s="149"/>
      <c r="M184" s="149"/>
      <c r="N184" s="149"/>
      <c r="O184" s="149"/>
      <c r="P184" s="149"/>
      <c r="Q184" s="179">
        <f t="shared" si="14"/>
        <v>0</v>
      </c>
      <c r="R184" s="437"/>
    </row>
    <row r="185" spans="1:18" ht="18" hidden="1" customHeight="1" x14ac:dyDescent="0.25">
      <c r="A185" s="156"/>
      <c r="B185" s="156"/>
      <c r="C185" s="544" t="s">
        <v>437</v>
      </c>
      <c r="D185" s="547" t="s">
        <v>901</v>
      </c>
      <c r="E185" s="410"/>
      <c r="F185" s="26">
        <v>132965</v>
      </c>
      <c r="G185" s="149"/>
      <c r="H185" s="149"/>
      <c r="I185" s="149"/>
      <c r="J185" s="149"/>
      <c r="K185" s="149"/>
      <c r="L185" s="149"/>
      <c r="M185" s="149"/>
      <c r="N185" s="149"/>
      <c r="O185" s="149"/>
      <c r="P185" s="149"/>
      <c r="Q185" s="179">
        <f t="shared" si="14"/>
        <v>0</v>
      </c>
      <c r="R185" s="437"/>
    </row>
    <row r="186" spans="1:18" ht="18" hidden="1" customHeight="1" x14ac:dyDescent="0.25">
      <c r="A186" s="411"/>
      <c r="B186" s="411"/>
      <c r="C186" s="544" t="s">
        <v>846</v>
      </c>
      <c r="D186" s="547" t="s">
        <v>973</v>
      </c>
      <c r="E186" s="410"/>
      <c r="F186" s="537">
        <v>132992</v>
      </c>
      <c r="G186" s="407"/>
      <c r="H186" s="407"/>
      <c r="I186" s="407"/>
      <c r="J186" s="407"/>
      <c r="K186" s="407"/>
      <c r="L186" s="407"/>
      <c r="M186" s="407"/>
      <c r="N186" s="407"/>
      <c r="O186" s="407"/>
      <c r="P186" s="407"/>
      <c r="Q186" s="179">
        <f t="shared" si="14"/>
        <v>0</v>
      </c>
      <c r="R186" s="437"/>
    </row>
    <row r="187" spans="1:18" ht="24.75" customHeight="1" x14ac:dyDescent="0.25">
      <c r="A187" s="466"/>
      <c r="B187" s="466"/>
      <c r="C187" s="544" t="s">
        <v>847</v>
      </c>
      <c r="D187" s="546" t="s">
        <v>1157</v>
      </c>
      <c r="E187" s="410"/>
      <c r="F187" s="537">
        <v>134972</v>
      </c>
      <c r="G187" s="469"/>
      <c r="H187" s="469"/>
      <c r="I187" s="469"/>
      <c r="J187" s="469"/>
      <c r="K187" s="469"/>
      <c r="L187" s="469"/>
      <c r="M187" s="469">
        <v>3200</v>
      </c>
      <c r="N187" s="469"/>
      <c r="O187" s="469"/>
      <c r="P187" s="469"/>
      <c r="Q187" s="179">
        <f t="shared" si="14"/>
        <v>3200</v>
      </c>
      <c r="R187" s="470" t="s">
        <v>1154</v>
      </c>
    </row>
    <row r="188" spans="1:18" ht="24.75" hidden="1" customHeight="1" x14ac:dyDescent="0.25">
      <c r="A188" s="156"/>
      <c r="B188" s="156"/>
      <c r="C188" s="544" t="s">
        <v>848</v>
      </c>
      <c r="D188" s="545" t="s">
        <v>897</v>
      </c>
      <c r="E188" s="410"/>
      <c r="F188" s="537">
        <v>134935</v>
      </c>
      <c r="G188" s="149"/>
      <c r="H188" s="149"/>
      <c r="I188" s="149"/>
      <c r="J188" s="149"/>
      <c r="K188" s="149"/>
      <c r="L188" s="149"/>
      <c r="M188" s="149"/>
      <c r="N188" s="149"/>
      <c r="O188" s="149"/>
      <c r="P188" s="149"/>
      <c r="Q188" s="179">
        <f t="shared" si="14"/>
        <v>0</v>
      </c>
      <c r="R188" s="470"/>
    </row>
    <row r="189" spans="1:18" ht="17.25" hidden="1" customHeight="1" x14ac:dyDescent="0.25">
      <c r="A189" s="156"/>
      <c r="B189" s="156"/>
      <c r="C189" s="544" t="s">
        <v>849</v>
      </c>
      <c r="D189" s="545" t="s">
        <v>916</v>
      </c>
      <c r="E189" s="410"/>
      <c r="F189" s="537">
        <v>132938</v>
      </c>
      <c r="G189" s="149"/>
      <c r="H189" s="149"/>
      <c r="I189" s="149"/>
      <c r="J189" s="149"/>
      <c r="K189" s="149"/>
      <c r="L189" s="149"/>
      <c r="M189" s="149"/>
      <c r="N189" s="149"/>
      <c r="O189" s="149"/>
      <c r="P189" s="149"/>
      <c r="Q189" s="179">
        <f>SUM(G189:P189)</f>
        <v>0</v>
      </c>
      <c r="R189" s="437"/>
    </row>
    <row r="190" spans="1:18" ht="18" hidden="1" customHeight="1" x14ac:dyDescent="0.25">
      <c r="A190" s="156"/>
      <c r="B190" s="156"/>
      <c r="C190" s="544" t="s">
        <v>850</v>
      </c>
      <c r="D190" s="545" t="s">
        <v>974</v>
      </c>
      <c r="E190" s="410"/>
      <c r="F190" s="537">
        <v>132937</v>
      </c>
      <c r="G190" s="149"/>
      <c r="H190" s="149"/>
      <c r="I190" s="149"/>
      <c r="J190" s="149"/>
      <c r="K190" s="149"/>
      <c r="L190" s="149"/>
      <c r="M190" s="149"/>
      <c r="N190" s="149"/>
      <c r="O190" s="149"/>
      <c r="P190" s="149"/>
      <c r="Q190" s="179">
        <f>SUM(G190:P190)</f>
        <v>0</v>
      </c>
      <c r="R190" s="437"/>
    </row>
    <row r="191" spans="1:18" ht="18" hidden="1" customHeight="1" x14ac:dyDescent="0.25">
      <c r="A191" s="156"/>
      <c r="B191" s="156"/>
      <c r="C191" s="544" t="s">
        <v>851</v>
      </c>
      <c r="D191" s="541" t="s">
        <v>935</v>
      </c>
      <c r="E191" s="410"/>
      <c r="F191" s="537">
        <v>134955</v>
      </c>
      <c r="G191" s="149"/>
      <c r="H191" s="149"/>
      <c r="I191" s="149"/>
      <c r="J191" s="149"/>
      <c r="K191" s="149"/>
      <c r="L191" s="149"/>
      <c r="M191" s="149"/>
      <c r="N191" s="149"/>
      <c r="O191" s="149"/>
      <c r="P191" s="149"/>
      <c r="Q191" s="179">
        <f t="shared" ref="Q191:Q193" si="15">SUM(L191:P191)</f>
        <v>0</v>
      </c>
      <c r="R191" s="437"/>
    </row>
    <row r="192" spans="1:18" ht="22.2" hidden="1" customHeight="1" x14ac:dyDescent="0.25">
      <c r="A192" s="397"/>
      <c r="B192" s="397"/>
      <c r="C192" s="544" t="s">
        <v>852</v>
      </c>
      <c r="D192" s="548" t="s">
        <v>1113</v>
      </c>
      <c r="E192" s="410"/>
      <c r="F192" s="537">
        <v>134930</v>
      </c>
      <c r="G192" s="375"/>
      <c r="H192" s="375"/>
      <c r="I192" s="375"/>
      <c r="J192" s="375"/>
      <c r="K192" s="375"/>
      <c r="L192" s="375"/>
      <c r="M192" s="375"/>
      <c r="N192" s="375"/>
      <c r="O192" s="375"/>
      <c r="P192" s="375"/>
      <c r="Q192" s="179">
        <f>SUM(G192:P192)</f>
        <v>0</v>
      </c>
      <c r="R192" s="437"/>
    </row>
    <row r="193" spans="1:18" ht="20.25" hidden="1" customHeight="1" x14ac:dyDescent="0.25">
      <c r="A193" s="397"/>
      <c r="B193" s="397"/>
      <c r="C193" s="544" t="s">
        <v>975</v>
      </c>
      <c r="D193" s="548" t="s">
        <v>738</v>
      </c>
      <c r="E193" s="410"/>
      <c r="F193" s="537">
        <v>132933</v>
      </c>
      <c r="G193" s="375"/>
      <c r="H193" s="375"/>
      <c r="I193" s="375"/>
      <c r="J193" s="375"/>
      <c r="K193" s="375"/>
      <c r="L193" s="375"/>
      <c r="M193" s="375"/>
      <c r="N193" s="375"/>
      <c r="O193" s="375"/>
      <c r="P193" s="375"/>
      <c r="Q193" s="179">
        <f t="shared" si="15"/>
        <v>0</v>
      </c>
      <c r="R193" s="437"/>
    </row>
    <row r="194" spans="1:18" ht="18.75" customHeight="1" x14ac:dyDescent="0.25">
      <c r="A194" s="151"/>
      <c r="B194" s="151"/>
      <c r="C194" s="152"/>
      <c r="D194" s="153" t="s">
        <v>214</v>
      </c>
      <c r="E194" s="154"/>
      <c r="F194" s="155"/>
      <c r="G194" s="173">
        <f t="shared" ref="G194:Q194" si="16">SUM(G164:G193)</f>
        <v>323</v>
      </c>
      <c r="H194" s="173">
        <f t="shared" si="16"/>
        <v>-214</v>
      </c>
      <c r="I194" s="173">
        <f t="shared" si="16"/>
        <v>3161</v>
      </c>
      <c r="J194" s="173">
        <f t="shared" si="16"/>
        <v>-900</v>
      </c>
      <c r="K194" s="173">
        <f t="shared" si="16"/>
        <v>30450</v>
      </c>
      <c r="L194" s="173">
        <f t="shared" si="16"/>
        <v>0</v>
      </c>
      <c r="M194" s="173">
        <f t="shared" si="16"/>
        <v>5988</v>
      </c>
      <c r="N194" s="173">
        <f t="shared" si="16"/>
        <v>0</v>
      </c>
      <c r="O194" s="173">
        <f t="shared" si="16"/>
        <v>0</v>
      </c>
      <c r="P194" s="173">
        <f t="shared" si="16"/>
        <v>0</v>
      </c>
      <c r="Q194" s="173">
        <f t="shared" si="16"/>
        <v>38808</v>
      </c>
      <c r="R194" s="438"/>
    </row>
    <row r="195" spans="1:18" ht="12.9" customHeight="1" x14ac:dyDescent="0.25">
      <c r="A195" s="156">
        <v>1</v>
      </c>
      <c r="B195" s="156">
        <v>14</v>
      </c>
      <c r="C195" s="174"/>
      <c r="D195" s="178" t="s">
        <v>175</v>
      </c>
      <c r="E195" s="158"/>
      <c r="F195" s="159"/>
      <c r="G195" s="159"/>
      <c r="H195" s="134"/>
      <c r="I195" s="134"/>
      <c r="J195" s="134"/>
      <c r="K195" s="134"/>
      <c r="L195" s="134"/>
      <c r="M195" s="159"/>
      <c r="N195" s="159"/>
      <c r="O195" s="159"/>
      <c r="P195" s="159"/>
      <c r="Q195" s="159"/>
      <c r="R195" s="437"/>
    </row>
    <row r="196" spans="1:18" ht="13.5" hidden="1" customHeight="1" x14ac:dyDescent="0.25">
      <c r="A196" s="156"/>
      <c r="B196" s="156"/>
      <c r="C196" s="174"/>
      <c r="D196" s="146" t="s">
        <v>215</v>
      </c>
      <c r="E196" s="158"/>
      <c r="F196" s="159"/>
      <c r="G196" s="159"/>
      <c r="H196" s="134"/>
      <c r="I196" s="134"/>
      <c r="J196" s="134"/>
      <c r="K196" s="134"/>
      <c r="L196" s="134"/>
      <c r="M196" s="159"/>
      <c r="N196" s="159"/>
      <c r="O196" s="159"/>
      <c r="P196" s="159"/>
      <c r="Q196" s="159"/>
      <c r="R196" s="437"/>
    </row>
    <row r="197" spans="1:18" ht="12.9" hidden="1" customHeight="1" x14ac:dyDescent="0.25">
      <c r="A197" s="156"/>
      <c r="B197" s="156"/>
      <c r="C197" s="174"/>
      <c r="D197" s="143" t="s">
        <v>438</v>
      </c>
      <c r="E197" s="108">
        <v>1</v>
      </c>
      <c r="F197" s="108">
        <v>171918</v>
      </c>
      <c r="G197" s="108"/>
      <c r="H197" s="108"/>
      <c r="I197" s="134"/>
      <c r="J197" s="108"/>
      <c r="K197" s="108"/>
      <c r="L197" s="108"/>
      <c r="M197" s="108"/>
      <c r="N197" s="108"/>
      <c r="O197" s="108"/>
      <c r="P197" s="108"/>
      <c r="Q197" s="108">
        <f>SUM(G197:P197)</f>
        <v>0</v>
      </c>
      <c r="R197" s="437"/>
    </row>
    <row r="198" spans="1:18" ht="24" hidden="1" customHeight="1" x14ac:dyDescent="0.25">
      <c r="A198" s="156"/>
      <c r="B198" s="156"/>
      <c r="C198" s="174"/>
      <c r="D198" s="150" t="s">
        <v>439</v>
      </c>
      <c r="E198" s="108">
        <v>1</v>
      </c>
      <c r="F198" s="108">
        <v>171922</v>
      </c>
      <c r="G198" s="108"/>
      <c r="H198" s="108"/>
      <c r="I198" s="134"/>
      <c r="J198" s="108"/>
      <c r="K198" s="108"/>
      <c r="L198" s="108"/>
      <c r="M198" s="108"/>
      <c r="N198" s="108"/>
      <c r="O198" s="108"/>
      <c r="P198" s="108"/>
      <c r="Q198" s="108">
        <f>SUM(G198:P198)</f>
        <v>0</v>
      </c>
      <c r="R198" s="437"/>
    </row>
    <row r="199" spans="1:18" ht="12.9" hidden="1" customHeight="1" x14ac:dyDescent="0.25">
      <c r="A199" s="156"/>
      <c r="B199" s="156"/>
      <c r="C199" s="174"/>
      <c r="D199" s="143" t="s">
        <v>440</v>
      </c>
      <c r="E199" s="108">
        <v>1</v>
      </c>
      <c r="F199" s="108">
        <v>171926</v>
      </c>
      <c r="G199" s="108"/>
      <c r="H199" s="108"/>
      <c r="I199" s="134"/>
      <c r="J199" s="108"/>
      <c r="K199" s="108"/>
      <c r="L199" s="108"/>
      <c r="M199" s="108"/>
      <c r="N199" s="108"/>
      <c r="O199" s="108"/>
      <c r="P199" s="108"/>
      <c r="Q199" s="108">
        <f>SUM(G199:P199)</f>
        <v>0</v>
      </c>
      <c r="R199" s="437"/>
    </row>
    <row r="200" spans="1:18" ht="12.9" hidden="1" customHeight="1" x14ac:dyDescent="0.25">
      <c r="A200" s="156"/>
      <c r="B200" s="156"/>
      <c r="C200" s="174"/>
      <c r="D200" s="143" t="s">
        <v>441</v>
      </c>
      <c r="E200" s="108">
        <v>1</v>
      </c>
      <c r="F200" s="108">
        <v>171967</v>
      </c>
      <c r="G200" s="108"/>
      <c r="H200" s="108"/>
      <c r="I200" s="134"/>
      <c r="J200" s="108"/>
      <c r="K200" s="108"/>
      <c r="L200" s="108"/>
      <c r="M200" s="108"/>
      <c r="N200" s="108"/>
      <c r="O200" s="108"/>
      <c r="P200" s="108"/>
      <c r="Q200" s="108">
        <f>SUM(G200:P200)</f>
        <v>0</v>
      </c>
      <c r="R200" s="437"/>
    </row>
    <row r="201" spans="1:18" ht="12.9" customHeight="1" x14ac:dyDescent="0.25">
      <c r="A201" s="151"/>
      <c r="B201" s="151"/>
      <c r="C201" s="152"/>
      <c r="D201" s="153" t="s">
        <v>442</v>
      </c>
      <c r="E201" s="180"/>
      <c r="F201" s="181"/>
      <c r="G201" s="182">
        <f t="shared" ref="G201:Q201" si="17">SUM(G197:G200)</f>
        <v>0</v>
      </c>
      <c r="H201" s="182">
        <f t="shared" si="17"/>
        <v>0</v>
      </c>
      <c r="I201" s="182">
        <f t="shared" si="17"/>
        <v>0</v>
      </c>
      <c r="J201" s="182">
        <f t="shared" si="17"/>
        <v>0</v>
      </c>
      <c r="K201" s="182">
        <f t="shared" si="17"/>
        <v>0</v>
      </c>
      <c r="L201" s="182">
        <f t="shared" si="17"/>
        <v>0</v>
      </c>
      <c r="M201" s="182">
        <f t="shared" si="17"/>
        <v>0</v>
      </c>
      <c r="N201" s="182">
        <f t="shared" si="17"/>
        <v>0</v>
      </c>
      <c r="O201" s="182">
        <f t="shared" si="17"/>
        <v>0</v>
      </c>
      <c r="P201" s="182">
        <f t="shared" si="17"/>
        <v>0</v>
      </c>
      <c r="Q201" s="182">
        <f t="shared" si="17"/>
        <v>0</v>
      </c>
      <c r="R201" s="438"/>
    </row>
    <row r="202" spans="1:18" ht="12.9" customHeight="1" x14ac:dyDescent="0.25">
      <c r="A202" s="156"/>
      <c r="B202" s="156"/>
      <c r="C202" s="174"/>
      <c r="D202" s="175" t="s">
        <v>443</v>
      </c>
      <c r="E202" s="157"/>
      <c r="F202" s="108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437"/>
    </row>
    <row r="203" spans="1:18" ht="12.9" hidden="1" customHeight="1" x14ac:dyDescent="0.25">
      <c r="A203" s="156"/>
      <c r="B203" s="156"/>
      <c r="C203" s="292"/>
      <c r="D203" s="143" t="s">
        <v>968</v>
      </c>
      <c r="E203" s="194"/>
      <c r="F203" s="108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437"/>
    </row>
    <row r="204" spans="1:18" ht="12.9" hidden="1" customHeight="1" x14ac:dyDescent="0.25">
      <c r="A204" s="156"/>
      <c r="B204" s="156"/>
      <c r="C204" s="219" t="s">
        <v>335</v>
      </c>
      <c r="D204" s="289" t="s">
        <v>444</v>
      </c>
      <c r="E204" s="194"/>
      <c r="F204" s="108">
        <v>162650</v>
      </c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>
        <f>SUM(G204:P204)</f>
        <v>0</v>
      </c>
      <c r="R204" s="437"/>
    </row>
    <row r="205" spans="1:18" ht="12.9" hidden="1" customHeight="1" x14ac:dyDescent="0.25">
      <c r="A205" s="156"/>
      <c r="B205" s="156"/>
      <c r="C205" s="219" t="s">
        <v>337</v>
      </c>
      <c r="D205" s="293" t="s">
        <v>445</v>
      </c>
      <c r="E205" s="194"/>
      <c r="F205" s="108">
        <v>164903</v>
      </c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>
        <f>SUM(G205:P205)</f>
        <v>0</v>
      </c>
      <c r="R205" s="437"/>
    </row>
    <row r="206" spans="1:18" ht="12.9" customHeight="1" x14ac:dyDescent="0.25">
      <c r="A206" s="151"/>
      <c r="B206" s="151"/>
      <c r="C206" s="152"/>
      <c r="D206" s="153" t="s">
        <v>217</v>
      </c>
      <c r="E206" s="180"/>
      <c r="F206" s="181"/>
      <c r="G206" s="182">
        <f t="shared" ref="G206:Q206" si="18">SUM(G201:G205)</f>
        <v>0</v>
      </c>
      <c r="H206" s="182">
        <f t="shared" si="18"/>
        <v>0</v>
      </c>
      <c r="I206" s="182">
        <f t="shared" si="18"/>
        <v>0</v>
      </c>
      <c r="J206" s="182">
        <f t="shared" si="18"/>
        <v>0</v>
      </c>
      <c r="K206" s="182">
        <f t="shared" si="18"/>
        <v>0</v>
      </c>
      <c r="L206" s="182">
        <f t="shared" si="18"/>
        <v>0</v>
      </c>
      <c r="M206" s="182">
        <f t="shared" si="18"/>
        <v>0</v>
      </c>
      <c r="N206" s="182">
        <f t="shared" si="18"/>
        <v>0</v>
      </c>
      <c r="O206" s="182">
        <f t="shared" si="18"/>
        <v>0</v>
      </c>
      <c r="P206" s="182">
        <f t="shared" si="18"/>
        <v>0</v>
      </c>
      <c r="Q206" s="182">
        <f t="shared" si="18"/>
        <v>0</v>
      </c>
      <c r="R206" s="438"/>
    </row>
    <row r="207" spans="1:18" ht="14.1" customHeight="1" x14ac:dyDescent="0.25">
      <c r="A207" s="129">
        <v>1</v>
      </c>
      <c r="B207" s="129">
        <v>15</v>
      </c>
      <c r="C207" s="145"/>
      <c r="D207" s="178" t="s">
        <v>446</v>
      </c>
      <c r="E207" s="157"/>
      <c r="F207" s="108"/>
      <c r="G207" s="108"/>
      <c r="H207" s="134"/>
      <c r="I207" s="134"/>
      <c r="J207" s="134"/>
      <c r="K207" s="134"/>
      <c r="L207" s="134"/>
      <c r="M207" s="108"/>
      <c r="N207" s="108"/>
      <c r="O207" s="108"/>
      <c r="P207" s="108"/>
      <c r="Q207" s="108"/>
      <c r="R207" s="437"/>
    </row>
    <row r="208" spans="1:18" ht="14.1" customHeight="1" x14ac:dyDescent="0.25">
      <c r="A208" s="129"/>
      <c r="B208" s="129"/>
      <c r="C208" s="145"/>
      <c r="D208" s="294" t="s">
        <v>447</v>
      </c>
      <c r="E208" s="157"/>
      <c r="F208" s="108"/>
      <c r="G208" s="108"/>
      <c r="H208" s="134"/>
      <c r="I208" s="134"/>
      <c r="J208" s="134"/>
      <c r="K208" s="134"/>
      <c r="L208" s="134"/>
      <c r="M208" s="108"/>
      <c r="N208" s="108"/>
      <c r="O208" s="108"/>
      <c r="P208" s="108"/>
      <c r="Q208" s="108"/>
      <c r="R208" s="437"/>
    </row>
    <row r="209" spans="1:18" ht="15" customHeight="1" x14ac:dyDescent="0.25">
      <c r="A209" s="129"/>
      <c r="B209" s="129"/>
      <c r="C209" s="145"/>
      <c r="D209" s="143" t="s">
        <v>448</v>
      </c>
      <c r="E209" s="108">
        <v>1</v>
      </c>
      <c r="F209" s="108">
        <v>151502</v>
      </c>
      <c r="G209" s="108"/>
      <c r="H209" s="108"/>
      <c r="I209" s="108">
        <v>-2222</v>
      </c>
      <c r="J209" s="108"/>
      <c r="K209" s="108"/>
      <c r="L209" s="108"/>
      <c r="M209" s="108"/>
      <c r="N209" s="108"/>
      <c r="O209" s="108"/>
      <c r="P209" s="108"/>
      <c r="Q209" s="108">
        <f t="shared" ref="Q209:Q226" si="19">SUM(G209:P209)</f>
        <v>-2222</v>
      </c>
      <c r="R209" s="437" t="s">
        <v>1154</v>
      </c>
    </row>
    <row r="210" spans="1:18" ht="15.75" hidden="1" customHeight="1" x14ac:dyDescent="0.25">
      <c r="A210" s="129"/>
      <c r="B210" s="129"/>
      <c r="C210" s="145"/>
      <c r="D210" s="150" t="s">
        <v>734</v>
      </c>
      <c r="E210" s="108">
        <v>1</v>
      </c>
      <c r="F210" s="108">
        <v>151530</v>
      </c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>
        <f t="shared" si="19"/>
        <v>0</v>
      </c>
      <c r="R210" s="437"/>
    </row>
    <row r="211" spans="1:18" ht="14.1" hidden="1" customHeight="1" x14ac:dyDescent="0.25">
      <c r="A211" s="129"/>
      <c r="B211" s="129"/>
      <c r="C211" s="145"/>
      <c r="D211" s="143" t="s">
        <v>449</v>
      </c>
      <c r="E211" s="108">
        <v>1</v>
      </c>
      <c r="F211" s="108">
        <v>151504</v>
      </c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>
        <f t="shared" si="19"/>
        <v>0</v>
      </c>
      <c r="R211" s="437"/>
    </row>
    <row r="212" spans="1:18" ht="14.1" hidden="1" customHeight="1" x14ac:dyDescent="0.25">
      <c r="A212" s="129"/>
      <c r="B212" s="129"/>
      <c r="C212" s="145"/>
      <c r="D212" s="142" t="s">
        <v>450</v>
      </c>
      <c r="E212" s="108">
        <v>1</v>
      </c>
      <c r="F212" s="108">
        <v>151501</v>
      </c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>
        <f t="shared" si="19"/>
        <v>0</v>
      </c>
      <c r="R212" s="437"/>
    </row>
    <row r="213" spans="1:18" ht="14.1" hidden="1" customHeight="1" x14ac:dyDescent="0.25">
      <c r="A213" s="129"/>
      <c r="B213" s="129"/>
      <c r="C213" s="145"/>
      <c r="D213" s="142" t="s">
        <v>451</v>
      </c>
      <c r="E213" s="108">
        <v>1</v>
      </c>
      <c r="F213" s="108">
        <v>151905</v>
      </c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>
        <f t="shared" si="19"/>
        <v>0</v>
      </c>
      <c r="R213" s="437"/>
    </row>
    <row r="214" spans="1:18" ht="14.1" customHeight="1" x14ac:dyDescent="0.25">
      <c r="A214" s="129"/>
      <c r="B214" s="129"/>
      <c r="C214" s="145"/>
      <c r="D214" s="142" t="s">
        <v>452</v>
      </c>
      <c r="E214" s="108">
        <v>1</v>
      </c>
      <c r="F214" s="108">
        <v>151920</v>
      </c>
      <c r="G214" s="108"/>
      <c r="H214" s="108"/>
      <c r="I214" s="108">
        <v>2000</v>
      </c>
      <c r="J214" s="108"/>
      <c r="K214" s="108"/>
      <c r="L214" s="108"/>
      <c r="M214" s="108"/>
      <c r="N214" s="108"/>
      <c r="O214" s="108"/>
      <c r="P214" s="108"/>
      <c r="Q214" s="108">
        <f t="shared" si="19"/>
        <v>2000</v>
      </c>
      <c r="R214" s="437" t="s">
        <v>1154</v>
      </c>
    </row>
    <row r="215" spans="1:18" ht="14.1" hidden="1" customHeight="1" x14ac:dyDescent="0.25">
      <c r="A215" s="129"/>
      <c r="B215" s="129"/>
      <c r="C215" s="145"/>
      <c r="D215" s="142" t="s">
        <v>453</v>
      </c>
      <c r="E215" s="108">
        <v>1</v>
      </c>
      <c r="F215" s="108">
        <v>151917</v>
      </c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>
        <f t="shared" si="19"/>
        <v>0</v>
      </c>
      <c r="R215" s="437"/>
    </row>
    <row r="216" spans="1:18" ht="15" hidden="1" customHeight="1" x14ac:dyDescent="0.25">
      <c r="A216" s="129"/>
      <c r="B216" s="129"/>
      <c r="C216" s="145"/>
      <c r="D216" s="142" t="s">
        <v>454</v>
      </c>
      <c r="E216" s="108">
        <v>2</v>
      </c>
      <c r="F216" s="108">
        <v>151503</v>
      </c>
      <c r="G216" s="10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>
        <f t="shared" si="19"/>
        <v>0</v>
      </c>
      <c r="R216" s="437"/>
    </row>
    <row r="217" spans="1:18" ht="15" customHeight="1" x14ac:dyDescent="0.25">
      <c r="A217" s="129"/>
      <c r="B217" s="129"/>
      <c r="C217" s="145"/>
      <c r="D217" s="142" t="s">
        <v>455</v>
      </c>
      <c r="E217" s="108">
        <v>1</v>
      </c>
      <c r="F217" s="108">
        <v>151510</v>
      </c>
      <c r="G217" s="108"/>
      <c r="H217" s="108"/>
      <c r="I217" s="108"/>
      <c r="J217" s="108"/>
      <c r="K217" s="108"/>
      <c r="L217" s="108">
        <v>2000</v>
      </c>
      <c r="M217" s="108"/>
      <c r="N217" s="108"/>
      <c r="O217" s="108"/>
      <c r="P217" s="108"/>
      <c r="Q217" s="108">
        <f t="shared" si="19"/>
        <v>2000</v>
      </c>
      <c r="R217" s="437" t="s">
        <v>1154</v>
      </c>
    </row>
    <row r="218" spans="1:18" ht="15" hidden="1" customHeight="1" x14ac:dyDescent="0.25">
      <c r="A218" s="129"/>
      <c r="B218" s="129"/>
      <c r="C218" s="145"/>
      <c r="D218" s="295" t="s">
        <v>456</v>
      </c>
      <c r="E218" s="125">
        <v>1</v>
      </c>
      <c r="F218" s="108">
        <v>151520</v>
      </c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>
        <f t="shared" si="19"/>
        <v>0</v>
      </c>
      <c r="R218" s="437"/>
    </row>
    <row r="219" spans="1:18" ht="15" hidden="1" customHeight="1" x14ac:dyDescent="0.25">
      <c r="A219" s="129"/>
      <c r="B219" s="129"/>
      <c r="C219" s="145"/>
      <c r="D219" s="142" t="s">
        <v>457</v>
      </c>
      <c r="E219" s="108">
        <v>1</v>
      </c>
      <c r="F219" s="108">
        <v>151512</v>
      </c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>
        <f t="shared" si="19"/>
        <v>0</v>
      </c>
      <c r="R219" s="437"/>
    </row>
    <row r="220" spans="1:18" ht="15" hidden="1" customHeight="1" x14ac:dyDescent="0.25">
      <c r="A220" s="129"/>
      <c r="B220" s="129"/>
      <c r="C220" s="145"/>
      <c r="D220" s="142" t="s">
        <v>458</v>
      </c>
      <c r="E220" s="108">
        <v>2</v>
      </c>
      <c r="F220" s="108">
        <v>151511</v>
      </c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>
        <f t="shared" si="19"/>
        <v>0</v>
      </c>
      <c r="R220" s="437"/>
    </row>
    <row r="221" spans="1:18" ht="15" customHeight="1" x14ac:dyDescent="0.25">
      <c r="A221" s="129"/>
      <c r="B221" s="129"/>
      <c r="C221" s="145"/>
      <c r="D221" s="142" t="s">
        <v>459</v>
      </c>
      <c r="E221" s="140">
        <v>2</v>
      </c>
      <c r="F221" s="108">
        <v>151514</v>
      </c>
      <c r="G221" s="108"/>
      <c r="H221" s="108"/>
      <c r="I221" s="108">
        <v>460</v>
      </c>
      <c r="J221" s="108"/>
      <c r="K221" s="108"/>
      <c r="L221" s="108"/>
      <c r="M221" s="108"/>
      <c r="N221" s="108"/>
      <c r="O221" s="108"/>
      <c r="P221" s="108"/>
      <c r="Q221" s="108">
        <f t="shared" si="19"/>
        <v>460</v>
      </c>
      <c r="R221" s="437" t="s">
        <v>1154</v>
      </c>
    </row>
    <row r="222" spans="1:18" ht="15" customHeight="1" x14ac:dyDescent="0.25">
      <c r="A222" s="129"/>
      <c r="B222" s="129"/>
      <c r="C222" s="145"/>
      <c r="D222" s="142" t="s">
        <v>460</v>
      </c>
      <c r="E222" s="140">
        <v>2</v>
      </c>
      <c r="F222" s="108">
        <v>151515</v>
      </c>
      <c r="G222" s="108"/>
      <c r="H222" s="108"/>
      <c r="I222" s="108">
        <v>-176</v>
      </c>
      <c r="J222" s="108"/>
      <c r="K222" s="108"/>
      <c r="L222" s="108"/>
      <c r="M222" s="108"/>
      <c r="N222" s="108"/>
      <c r="O222" s="108"/>
      <c r="P222" s="108"/>
      <c r="Q222" s="108">
        <f t="shared" si="19"/>
        <v>-176</v>
      </c>
      <c r="R222" s="437" t="s">
        <v>1154</v>
      </c>
    </row>
    <row r="223" spans="1:18" ht="15" hidden="1" customHeight="1" x14ac:dyDescent="0.25">
      <c r="A223" s="129"/>
      <c r="B223" s="129"/>
      <c r="C223" s="145"/>
      <c r="D223" s="142" t="s">
        <v>461</v>
      </c>
      <c r="E223" s="140">
        <v>1</v>
      </c>
      <c r="F223" s="108">
        <v>151513</v>
      </c>
      <c r="G223" s="10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>
        <f t="shared" si="19"/>
        <v>0</v>
      </c>
      <c r="R223" s="437"/>
    </row>
    <row r="224" spans="1:18" ht="21" customHeight="1" x14ac:dyDescent="0.25">
      <c r="A224" s="129"/>
      <c r="B224" s="129"/>
      <c r="C224" s="145"/>
      <c r="D224" s="162" t="s">
        <v>1114</v>
      </c>
      <c r="E224" s="140">
        <v>2</v>
      </c>
      <c r="F224" s="108">
        <v>151918</v>
      </c>
      <c r="G224" s="108"/>
      <c r="H224" s="108"/>
      <c r="I224" s="108">
        <v>4853</v>
      </c>
      <c r="J224" s="108"/>
      <c r="K224" s="108"/>
      <c r="L224" s="108"/>
      <c r="M224" s="108"/>
      <c r="N224" s="108"/>
      <c r="O224" s="108"/>
      <c r="P224" s="108"/>
      <c r="Q224" s="108">
        <f t="shared" si="19"/>
        <v>4853</v>
      </c>
      <c r="R224" s="437" t="s">
        <v>1154</v>
      </c>
    </row>
    <row r="225" spans="1:18" ht="17.25" hidden="1" customHeight="1" x14ac:dyDescent="0.25">
      <c r="A225" s="129"/>
      <c r="B225" s="129"/>
      <c r="C225" s="145"/>
      <c r="D225" s="479" t="s">
        <v>754</v>
      </c>
      <c r="E225" s="480">
        <v>2</v>
      </c>
      <c r="F225" s="108">
        <v>151524</v>
      </c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>
        <f t="shared" si="19"/>
        <v>0</v>
      </c>
      <c r="R225" s="437"/>
    </row>
    <row r="226" spans="1:18" ht="17.25" hidden="1" customHeight="1" x14ac:dyDescent="0.25">
      <c r="A226" s="511"/>
      <c r="B226" s="511"/>
      <c r="C226" s="544"/>
      <c r="D226" s="612" t="s">
        <v>1125</v>
      </c>
      <c r="E226" s="759">
        <v>1</v>
      </c>
      <c r="F226" s="537">
        <v>151425</v>
      </c>
      <c r="G226" s="537"/>
      <c r="H226" s="537"/>
      <c r="I226" s="537"/>
      <c r="J226" s="537"/>
      <c r="K226" s="537"/>
      <c r="L226" s="537"/>
      <c r="M226" s="537"/>
      <c r="N226" s="537"/>
      <c r="O226" s="537"/>
      <c r="P226" s="537"/>
      <c r="Q226" s="108">
        <f t="shared" si="19"/>
        <v>0</v>
      </c>
      <c r="R226" s="535"/>
    </row>
    <row r="227" spans="1:18" ht="15" customHeight="1" x14ac:dyDescent="0.25">
      <c r="A227" s="129"/>
      <c r="B227" s="129"/>
      <c r="C227" s="145"/>
      <c r="D227" s="873" t="s">
        <v>931</v>
      </c>
      <c r="E227" s="873"/>
      <c r="F227" s="472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437"/>
    </row>
    <row r="228" spans="1:18" ht="15" customHeight="1" x14ac:dyDescent="0.25">
      <c r="A228" s="129"/>
      <c r="B228" s="129"/>
      <c r="C228" s="145"/>
      <c r="D228" s="481" t="s">
        <v>462</v>
      </c>
      <c r="E228" s="482">
        <v>1</v>
      </c>
      <c r="F228" s="108">
        <v>151401</v>
      </c>
      <c r="G228" s="108"/>
      <c r="H228" s="108"/>
      <c r="I228" s="108">
        <v>-15644</v>
      </c>
      <c r="J228" s="108"/>
      <c r="K228" s="108"/>
      <c r="L228" s="108"/>
      <c r="M228" s="108"/>
      <c r="N228" s="108"/>
      <c r="O228" s="108"/>
      <c r="P228" s="108"/>
      <c r="Q228" s="108">
        <f t="shared" ref="Q228:Q236" si="20">SUM(G228:P228)</f>
        <v>-15644</v>
      </c>
      <c r="R228" s="437" t="s">
        <v>1154</v>
      </c>
    </row>
    <row r="229" spans="1:18" ht="15" customHeight="1" x14ac:dyDescent="0.25">
      <c r="A229" s="129"/>
      <c r="B229" s="129"/>
      <c r="C229" s="145"/>
      <c r="D229" s="143" t="s">
        <v>463</v>
      </c>
      <c r="E229" s="140">
        <v>1</v>
      </c>
      <c r="F229" s="108">
        <v>151402</v>
      </c>
      <c r="G229" s="108"/>
      <c r="H229" s="108"/>
      <c r="I229" s="108">
        <v>-2200</v>
      </c>
      <c r="J229" s="108"/>
      <c r="K229" s="108"/>
      <c r="L229" s="108"/>
      <c r="M229" s="108"/>
      <c r="N229" s="108"/>
      <c r="O229" s="108"/>
      <c r="P229" s="108"/>
      <c r="Q229" s="108">
        <f t="shared" si="20"/>
        <v>-2200</v>
      </c>
      <c r="R229" s="437" t="s">
        <v>1154</v>
      </c>
    </row>
    <row r="230" spans="1:18" ht="15" hidden="1" customHeight="1" x14ac:dyDescent="0.25">
      <c r="A230" s="129"/>
      <c r="B230" s="129"/>
      <c r="C230" s="145"/>
      <c r="D230" s="143" t="s">
        <v>464</v>
      </c>
      <c r="E230" s="140">
        <v>1</v>
      </c>
      <c r="F230" s="108">
        <v>151411</v>
      </c>
      <c r="G230" s="10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>
        <f t="shared" si="20"/>
        <v>0</v>
      </c>
      <c r="R230" s="437"/>
    </row>
    <row r="231" spans="1:18" ht="15" customHeight="1" x14ac:dyDescent="0.25">
      <c r="A231" s="129"/>
      <c r="B231" s="129"/>
      <c r="C231" s="145"/>
      <c r="D231" s="143" t="s">
        <v>465</v>
      </c>
      <c r="E231" s="140">
        <v>2</v>
      </c>
      <c r="F231" s="108">
        <v>151415</v>
      </c>
      <c r="G231" s="108"/>
      <c r="H231" s="108"/>
      <c r="I231" s="108">
        <v>3810</v>
      </c>
      <c r="J231" s="108"/>
      <c r="K231" s="108"/>
      <c r="L231" s="108"/>
      <c r="M231" s="108"/>
      <c r="N231" s="108"/>
      <c r="O231" s="108"/>
      <c r="P231" s="108"/>
      <c r="Q231" s="108">
        <f t="shared" si="20"/>
        <v>3810</v>
      </c>
      <c r="R231" s="437" t="s">
        <v>1154</v>
      </c>
    </row>
    <row r="232" spans="1:18" ht="15" customHeight="1" x14ac:dyDescent="0.25">
      <c r="A232" s="129"/>
      <c r="B232" s="129"/>
      <c r="C232" s="145"/>
      <c r="D232" s="143" t="s">
        <v>466</v>
      </c>
      <c r="E232" s="140">
        <v>1</v>
      </c>
      <c r="F232" s="108">
        <v>151416</v>
      </c>
      <c r="G232" s="108"/>
      <c r="H232" s="108"/>
      <c r="I232" s="108">
        <v>-733</v>
      </c>
      <c r="J232" s="108"/>
      <c r="K232" s="108"/>
      <c r="L232" s="108"/>
      <c r="M232" s="108"/>
      <c r="N232" s="108"/>
      <c r="O232" s="108"/>
      <c r="P232" s="108"/>
      <c r="Q232" s="108">
        <f t="shared" si="20"/>
        <v>-733</v>
      </c>
      <c r="R232" s="437" t="s">
        <v>1154</v>
      </c>
    </row>
    <row r="233" spans="1:18" ht="15" customHeight="1" x14ac:dyDescent="0.25">
      <c r="A233" s="129"/>
      <c r="B233" s="129"/>
      <c r="C233" s="145"/>
      <c r="D233" s="143" t="s">
        <v>467</v>
      </c>
      <c r="E233" s="140">
        <v>1</v>
      </c>
      <c r="F233" s="108">
        <v>151417</v>
      </c>
      <c r="G233" s="108"/>
      <c r="H233" s="108"/>
      <c r="I233" s="108">
        <v>-2233</v>
      </c>
      <c r="J233" s="108"/>
      <c r="K233" s="108"/>
      <c r="L233" s="108"/>
      <c r="M233" s="108">
        <v>2868</v>
      </c>
      <c r="N233" s="108"/>
      <c r="O233" s="108"/>
      <c r="P233" s="108"/>
      <c r="Q233" s="108">
        <f t="shared" si="20"/>
        <v>635</v>
      </c>
      <c r="R233" s="437" t="s">
        <v>1154</v>
      </c>
    </row>
    <row r="234" spans="1:18" ht="15" hidden="1" customHeight="1" x14ac:dyDescent="0.25">
      <c r="A234" s="129"/>
      <c r="B234" s="129"/>
      <c r="C234" s="145"/>
      <c r="D234" s="143" t="s">
        <v>468</v>
      </c>
      <c r="E234" s="140">
        <v>2</v>
      </c>
      <c r="F234" s="108">
        <v>151407</v>
      </c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>
        <f t="shared" si="20"/>
        <v>0</v>
      </c>
      <c r="R234" s="437"/>
    </row>
    <row r="235" spans="1:18" ht="15" hidden="1" customHeight="1" x14ac:dyDescent="0.25">
      <c r="A235" s="129"/>
      <c r="B235" s="129"/>
      <c r="C235" s="145"/>
      <c r="D235" s="143" t="s">
        <v>469</v>
      </c>
      <c r="E235" s="140">
        <v>2</v>
      </c>
      <c r="F235" s="140">
        <v>151404</v>
      </c>
      <c r="G235" s="10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>
        <f t="shared" si="20"/>
        <v>0</v>
      </c>
      <c r="R235" s="437"/>
    </row>
    <row r="236" spans="1:18" ht="15" hidden="1" customHeight="1" x14ac:dyDescent="0.25">
      <c r="A236" s="129"/>
      <c r="B236" s="129"/>
      <c r="C236" s="145"/>
      <c r="D236" s="296" t="s">
        <v>872</v>
      </c>
      <c r="E236" s="140">
        <v>2</v>
      </c>
      <c r="F236" s="140">
        <v>151408</v>
      </c>
      <c r="G236" s="108"/>
      <c r="H236" s="108"/>
      <c r="I236" s="108"/>
      <c r="J236" s="108"/>
      <c r="K236" s="108"/>
      <c r="L236" s="108"/>
      <c r="M236" s="108"/>
      <c r="N236" s="108"/>
      <c r="O236" s="108"/>
      <c r="P236" s="108"/>
      <c r="Q236" s="108">
        <f t="shared" si="20"/>
        <v>0</v>
      </c>
      <c r="R236" s="437"/>
    </row>
    <row r="237" spans="1:18" ht="15" hidden="1" customHeight="1" x14ac:dyDescent="0.25">
      <c r="A237" s="129"/>
      <c r="B237" s="129"/>
      <c r="C237" s="145"/>
      <c r="D237" s="143" t="s">
        <v>470</v>
      </c>
      <c r="E237" s="140"/>
      <c r="F237" s="140"/>
      <c r="G237" s="10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  <c r="R237" s="437"/>
    </row>
    <row r="238" spans="1:18" ht="24.75" hidden="1" customHeight="1" x14ac:dyDescent="0.25">
      <c r="A238" s="129"/>
      <c r="B238" s="129"/>
      <c r="C238" s="145"/>
      <c r="D238" s="150" t="s">
        <v>471</v>
      </c>
      <c r="E238" s="165">
        <v>1</v>
      </c>
      <c r="F238" s="167">
        <v>191129</v>
      </c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>
        <f>SUM(G238:P238)</f>
        <v>0</v>
      </c>
      <c r="R238" s="437"/>
    </row>
    <row r="239" spans="1:18" ht="14.25" hidden="1" customHeight="1" x14ac:dyDescent="0.25">
      <c r="A239" s="129"/>
      <c r="B239" s="129"/>
      <c r="C239" s="145"/>
      <c r="D239" s="142" t="s">
        <v>472</v>
      </c>
      <c r="E239" s="140"/>
      <c r="F239" s="140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437"/>
    </row>
    <row r="240" spans="1:18" ht="15" hidden="1" customHeight="1" x14ac:dyDescent="0.25">
      <c r="A240" s="108"/>
      <c r="B240" s="108"/>
      <c r="C240" s="108"/>
      <c r="D240" s="143" t="s">
        <v>473</v>
      </c>
      <c r="E240" s="108">
        <v>1</v>
      </c>
      <c r="F240" s="108">
        <v>151102</v>
      </c>
      <c r="G240" s="10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>
        <f>SUM(G240:P240)</f>
        <v>0</v>
      </c>
      <c r="R240" s="437"/>
    </row>
    <row r="241" spans="1:18" ht="15" hidden="1" customHeight="1" x14ac:dyDescent="0.25">
      <c r="A241" s="129"/>
      <c r="B241" s="129"/>
      <c r="C241" s="145"/>
      <c r="D241" s="143" t="s">
        <v>474</v>
      </c>
      <c r="E241" s="108">
        <v>1</v>
      </c>
      <c r="F241" s="108">
        <v>151103</v>
      </c>
      <c r="G241" s="108"/>
      <c r="H241" s="108"/>
      <c r="I241" s="108"/>
      <c r="J241" s="108"/>
      <c r="K241" s="108"/>
      <c r="L241" s="108"/>
      <c r="M241" s="108"/>
      <c r="N241" s="108"/>
      <c r="O241" s="108"/>
      <c r="P241" s="108"/>
      <c r="Q241" s="108">
        <f>SUM(G241:P241)</f>
        <v>0</v>
      </c>
      <c r="R241" s="437"/>
    </row>
    <row r="242" spans="1:18" ht="15" hidden="1" customHeight="1" x14ac:dyDescent="0.25">
      <c r="A242" s="129"/>
      <c r="B242" s="129"/>
      <c r="C242" s="145"/>
      <c r="D242" s="143" t="s">
        <v>475</v>
      </c>
      <c r="E242" s="108">
        <v>1</v>
      </c>
      <c r="F242" s="108">
        <v>151105</v>
      </c>
      <c r="G242" s="10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>
        <f>SUM(G242:P242)</f>
        <v>0</v>
      </c>
      <c r="R242" s="437"/>
    </row>
    <row r="243" spans="1:18" ht="15" customHeight="1" x14ac:dyDescent="0.25">
      <c r="A243" s="129"/>
      <c r="B243" s="129"/>
      <c r="C243" s="145"/>
      <c r="D243" s="143" t="s">
        <v>476</v>
      </c>
      <c r="E243" s="140"/>
      <c r="F243" s="140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  <c r="R243" s="437"/>
    </row>
    <row r="244" spans="1:18" ht="15" hidden="1" customHeight="1" x14ac:dyDescent="0.25">
      <c r="A244" s="129"/>
      <c r="B244" s="129"/>
      <c r="C244" s="145"/>
      <c r="D244" s="142" t="s">
        <v>477</v>
      </c>
      <c r="E244" s="140">
        <v>1</v>
      </c>
      <c r="F244" s="108">
        <v>151301</v>
      </c>
      <c r="G244" s="108"/>
      <c r="H244" s="108"/>
      <c r="I244" s="108"/>
      <c r="J244" s="108"/>
      <c r="K244" s="108"/>
      <c r="L244" s="108"/>
      <c r="M244" s="108"/>
      <c r="N244" s="108"/>
      <c r="O244" s="108"/>
      <c r="P244" s="108"/>
      <c r="Q244" s="108">
        <f t="shared" ref="Q244:Q256" si="21">SUM(G244:P244)</f>
        <v>0</v>
      </c>
      <c r="R244" s="437"/>
    </row>
    <row r="245" spans="1:18" ht="15" hidden="1" customHeight="1" x14ac:dyDescent="0.25">
      <c r="A245" s="129"/>
      <c r="B245" s="129"/>
      <c r="C245" s="145"/>
      <c r="D245" s="142" t="s">
        <v>478</v>
      </c>
      <c r="E245" s="140">
        <v>1</v>
      </c>
      <c r="F245" s="108">
        <v>151310</v>
      </c>
      <c r="G245" s="108"/>
      <c r="H245" s="108"/>
      <c r="I245" s="108"/>
      <c r="J245" s="108"/>
      <c r="K245" s="108"/>
      <c r="L245" s="108"/>
      <c r="M245" s="108"/>
      <c r="N245" s="108"/>
      <c r="O245" s="108"/>
      <c r="P245" s="108"/>
      <c r="Q245" s="108">
        <f t="shared" si="21"/>
        <v>0</v>
      </c>
      <c r="R245" s="437"/>
    </row>
    <row r="246" spans="1:18" ht="15" hidden="1" customHeight="1" x14ac:dyDescent="0.25">
      <c r="A246" s="129"/>
      <c r="B246" s="129"/>
      <c r="C246" s="145"/>
      <c r="D246" s="142" t="s">
        <v>479</v>
      </c>
      <c r="E246" s="140">
        <v>1</v>
      </c>
      <c r="F246" s="108">
        <v>151313</v>
      </c>
      <c r="G246" s="10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>
        <f t="shared" si="21"/>
        <v>0</v>
      </c>
      <c r="R246" s="437"/>
    </row>
    <row r="247" spans="1:18" ht="15" hidden="1" customHeight="1" x14ac:dyDescent="0.25">
      <c r="A247" s="129"/>
      <c r="B247" s="129"/>
      <c r="C247" s="145"/>
      <c r="D247" s="142" t="s">
        <v>480</v>
      </c>
      <c r="E247" s="140">
        <v>1</v>
      </c>
      <c r="F247" s="108">
        <v>151314</v>
      </c>
      <c r="G247" s="108"/>
      <c r="H247" s="108"/>
      <c r="I247" s="108"/>
      <c r="J247" s="108"/>
      <c r="K247" s="108"/>
      <c r="L247" s="108"/>
      <c r="M247" s="108"/>
      <c r="N247" s="108"/>
      <c r="O247" s="108"/>
      <c r="P247" s="108"/>
      <c r="Q247" s="108">
        <f t="shared" si="21"/>
        <v>0</v>
      </c>
      <c r="R247" s="437"/>
    </row>
    <row r="248" spans="1:18" ht="15" hidden="1" customHeight="1" x14ac:dyDescent="0.25">
      <c r="A248" s="129"/>
      <c r="B248" s="129"/>
      <c r="C248" s="145"/>
      <c r="D248" s="142" t="s">
        <v>481</v>
      </c>
      <c r="E248" s="140">
        <v>1</v>
      </c>
      <c r="F248" s="108">
        <v>151317</v>
      </c>
      <c r="G248" s="108"/>
      <c r="H248" s="108"/>
      <c r="I248" s="108"/>
      <c r="J248" s="108"/>
      <c r="K248" s="108"/>
      <c r="L248" s="108"/>
      <c r="M248" s="108"/>
      <c r="N248" s="108"/>
      <c r="O248" s="108"/>
      <c r="P248" s="108"/>
      <c r="Q248" s="108">
        <f t="shared" si="21"/>
        <v>0</v>
      </c>
      <c r="R248" s="437"/>
    </row>
    <row r="249" spans="1:18" ht="16.5" hidden="1" customHeight="1" x14ac:dyDescent="0.25">
      <c r="A249" s="129"/>
      <c r="B249" s="129"/>
      <c r="C249" s="145"/>
      <c r="D249" s="150" t="s">
        <v>755</v>
      </c>
      <c r="E249" s="140">
        <v>1</v>
      </c>
      <c r="F249" s="108">
        <v>151306</v>
      </c>
      <c r="G249" s="108"/>
      <c r="H249" s="108"/>
      <c r="I249" s="108"/>
      <c r="J249" s="108"/>
      <c r="K249" s="108"/>
      <c r="L249" s="108"/>
      <c r="M249" s="108"/>
      <c r="N249" s="108"/>
      <c r="O249" s="108"/>
      <c r="P249" s="108"/>
      <c r="Q249" s="108">
        <f t="shared" si="21"/>
        <v>0</v>
      </c>
      <c r="R249" s="437"/>
    </row>
    <row r="250" spans="1:18" ht="28.5" customHeight="1" x14ac:dyDescent="0.25">
      <c r="A250" s="129"/>
      <c r="B250" s="129"/>
      <c r="C250" s="145"/>
      <c r="D250" s="150" t="s">
        <v>482</v>
      </c>
      <c r="E250" s="140">
        <v>1</v>
      </c>
      <c r="F250" s="108">
        <v>151307</v>
      </c>
      <c r="G250" s="108"/>
      <c r="H250" s="108"/>
      <c r="I250" s="108">
        <v>-1177</v>
      </c>
      <c r="J250" s="108"/>
      <c r="K250" s="108"/>
      <c r="L250" s="108">
        <v>1077</v>
      </c>
      <c r="M250" s="108"/>
      <c r="N250" s="108"/>
      <c r="O250" s="108"/>
      <c r="P250" s="108"/>
      <c r="Q250" s="108">
        <f t="shared" si="21"/>
        <v>-100</v>
      </c>
      <c r="R250" s="437" t="s">
        <v>1154</v>
      </c>
    </row>
    <row r="251" spans="1:18" ht="24" hidden="1" customHeight="1" x14ac:dyDescent="0.25">
      <c r="A251" s="129"/>
      <c r="B251" s="129"/>
      <c r="C251" s="145"/>
      <c r="D251" s="150" t="s">
        <v>483</v>
      </c>
      <c r="E251" s="165">
        <v>1</v>
      </c>
      <c r="F251" s="167">
        <v>151311</v>
      </c>
      <c r="G251" s="10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8">
        <f t="shared" si="21"/>
        <v>0</v>
      </c>
      <c r="R251" s="437"/>
    </row>
    <row r="252" spans="1:18" ht="15" customHeight="1" x14ac:dyDescent="0.25">
      <c r="A252" s="129"/>
      <c r="B252" s="129"/>
      <c r="C252" s="145"/>
      <c r="D252" s="143" t="s">
        <v>484</v>
      </c>
      <c r="E252" s="140">
        <v>1</v>
      </c>
      <c r="F252" s="108">
        <v>151312</v>
      </c>
      <c r="G252" s="108"/>
      <c r="H252" s="108"/>
      <c r="I252" s="108">
        <v>80</v>
      </c>
      <c r="J252" s="108"/>
      <c r="K252" s="108"/>
      <c r="L252" s="108"/>
      <c r="M252" s="108"/>
      <c r="N252" s="108"/>
      <c r="O252" s="108"/>
      <c r="P252" s="108"/>
      <c r="Q252" s="108">
        <f t="shared" si="21"/>
        <v>80</v>
      </c>
      <c r="R252" s="437" t="s">
        <v>1154</v>
      </c>
    </row>
    <row r="253" spans="1:18" ht="17.25" hidden="1" customHeight="1" x14ac:dyDescent="0.25">
      <c r="A253" s="129"/>
      <c r="B253" s="129"/>
      <c r="C253" s="145"/>
      <c r="D253" s="150" t="s">
        <v>873</v>
      </c>
      <c r="E253" s="140">
        <v>1</v>
      </c>
      <c r="F253" s="108">
        <v>151302</v>
      </c>
      <c r="G253" s="10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>
        <f t="shared" si="21"/>
        <v>0</v>
      </c>
      <c r="R253" s="437"/>
    </row>
    <row r="254" spans="1:18" ht="25.5" hidden="1" customHeight="1" x14ac:dyDescent="0.25">
      <c r="A254" s="129"/>
      <c r="B254" s="129"/>
      <c r="C254" s="145"/>
      <c r="D254" s="297" t="s">
        <v>756</v>
      </c>
      <c r="E254" s="298">
        <v>1</v>
      </c>
      <c r="F254" s="167">
        <v>151321</v>
      </c>
      <c r="G254" s="10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>
        <f t="shared" si="21"/>
        <v>0</v>
      </c>
      <c r="R254" s="437"/>
    </row>
    <row r="255" spans="1:18" ht="16.5" customHeight="1" x14ac:dyDescent="0.25">
      <c r="A255" s="129"/>
      <c r="B255" s="129"/>
      <c r="C255" s="145"/>
      <c r="D255" s="150" t="s">
        <v>485</v>
      </c>
      <c r="E255" s="165">
        <v>1</v>
      </c>
      <c r="F255" s="167">
        <v>151319</v>
      </c>
      <c r="G255" s="108"/>
      <c r="H255" s="108"/>
      <c r="I255" s="108">
        <v>100</v>
      </c>
      <c r="J255" s="108"/>
      <c r="K255" s="108"/>
      <c r="L255" s="108"/>
      <c r="M255" s="108"/>
      <c r="N255" s="108"/>
      <c r="O255" s="108"/>
      <c r="P255" s="108"/>
      <c r="Q255" s="108">
        <f t="shared" si="21"/>
        <v>100</v>
      </c>
      <c r="R255" s="437" t="s">
        <v>1154</v>
      </c>
    </row>
    <row r="256" spans="1:18" ht="16.5" hidden="1" customHeight="1" x14ac:dyDescent="0.25">
      <c r="A256" s="511"/>
      <c r="B256" s="511"/>
      <c r="C256" s="544"/>
      <c r="D256" s="546" t="s">
        <v>976</v>
      </c>
      <c r="E256" s="549">
        <v>1</v>
      </c>
      <c r="F256" s="550">
        <v>151322</v>
      </c>
      <c r="G256" s="537"/>
      <c r="H256" s="537"/>
      <c r="I256" s="537"/>
      <c r="J256" s="537"/>
      <c r="K256" s="537"/>
      <c r="L256" s="537"/>
      <c r="M256" s="537"/>
      <c r="N256" s="537"/>
      <c r="O256" s="537"/>
      <c r="P256" s="537"/>
      <c r="Q256" s="108">
        <f t="shared" si="21"/>
        <v>0</v>
      </c>
      <c r="R256" s="535"/>
    </row>
    <row r="257" spans="1:18" ht="24.9" hidden="1" customHeight="1" x14ac:dyDescent="0.25">
      <c r="A257" s="129"/>
      <c r="B257" s="129"/>
      <c r="C257" s="145"/>
      <c r="D257" s="150" t="s">
        <v>486</v>
      </c>
      <c r="E257" s="165"/>
      <c r="F257" s="165"/>
      <c r="G257" s="10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  <c r="R257" s="437"/>
    </row>
    <row r="258" spans="1:18" ht="14.1" hidden="1" customHeight="1" x14ac:dyDescent="0.25">
      <c r="A258" s="129"/>
      <c r="B258" s="129"/>
      <c r="C258" s="145"/>
      <c r="D258" s="143" t="s">
        <v>487</v>
      </c>
      <c r="E258" s="108">
        <v>1</v>
      </c>
      <c r="F258" s="108">
        <v>151703</v>
      </c>
      <c r="G258" s="108"/>
      <c r="H258" s="108"/>
      <c r="I258" s="108"/>
      <c r="J258" s="108"/>
      <c r="K258" s="108"/>
      <c r="L258" s="108"/>
      <c r="M258" s="108"/>
      <c r="N258" s="108"/>
      <c r="O258" s="108"/>
      <c r="P258" s="108"/>
      <c r="Q258" s="108">
        <f>SUM(G258:P258)</f>
        <v>0</v>
      </c>
      <c r="R258" s="437"/>
    </row>
    <row r="259" spans="1:18" ht="14.1" customHeight="1" x14ac:dyDescent="0.25">
      <c r="A259" s="129"/>
      <c r="B259" s="129"/>
      <c r="C259" s="145"/>
      <c r="D259" s="142" t="s">
        <v>229</v>
      </c>
      <c r="E259" s="140"/>
      <c r="F259" s="140"/>
      <c r="G259" s="10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  <c r="R259" s="437"/>
    </row>
    <row r="260" spans="1:18" ht="14.1" customHeight="1" x14ac:dyDescent="0.25">
      <c r="A260" s="129"/>
      <c r="B260" s="129"/>
      <c r="C260" s="145"/>
      <c r="D260" s="143" t="s">
        <v>488</v>
      </c>
      <c r="E260" s="108">
        <v>1</v>
      </c>
      <c r="F260" s="108">
        <v>151601</v>
      </c>
      <c r="G260" s="108"/>
      <c r="H260" s="108"/>
      <c r="I260" s="108">
        <v>-2350</v>
      </c>
      <c r="J260" s="108"/>
      <c r="K260" s="108"/>
      <c r="L260" s="108"/>
      <c r="M260" s="108"/>
      <c r="N260" s="108"/>
      <c r="O260" s="108"/>
      <c r="P260" s="108"/>
      <c r="Q260" s="108">
        <f t="shared" ref="Q260:Q275" si="22">SUM(G260:P260)</f>
        <v>-2350</v>
      </c>
      <c r="R260" s="437" t="s">
        <v>1155</v>
      </c>
    </row>
    <row r="261" spans="1:18" ht="14.1" hidden="1" customHeight="1" x14ac:dyDescent="0.25">
      <c r="A261" s="129"/>
      <c r="B261" s="129"/>
      <c r="C261" s="145"/>
      <c r="D261" s="143" t="s">
        <v>489</v>
      </c>
      <c r="E261" s="108">
        <v>1</v>
      </c>
      <c r="F261" s="108">
        <v>151602</v>
      </c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  <c r="Q261" s="108">
        <f t="shared" si="22"/>
        <v>0</v>
      </c>
      <c r="R261" s="437" t="s">
        <v>1155</v>
      </c>
    </row>
    <row r="262" spans="1:18" ht="14.1" hidden="1" customHeight="1" x14ac:dyDescent="0.25">
      <c r="A262" s="129"/>
      <c r="B262" s="129"/>
      <c r="C262" s="145"/>
      <c r="D262" s="143" t="s">
        <v>490</v>
      </c>
      <c r="E262" s="108">
        <v>1</v>
      </c>
      <c r="F262" s="108">
        <v>151607</v>
      </c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>
        <f t="shared" si="22"/>
        <v>0</v>
      </c>
      <c r="R262" s="437" t="s">
        <v>1155</v>
      </c>
    </row>
    <row r="263" spans="1:18" ht="14.1" hidden="1" customHeight="1" x14ac:dyDescent="0.25">
      <c r="A263" s="129"/>
      <c r="B263" s="129"/>
      <c r="C263" s="145"/>
      <c r="D263" s="143" t="s">
        <v>491</v>
      </c>
      <c r="E263" s="108">
        <v>2</v>
      </c>
      <c r="F263" s="108">
        <v>151610</v>
      </c>
      <c r="G263" s="108"/>
      <c r="H263" s="108"/>
      <c r="I263" s="108"/>
      <c r="J263" s="108"/>
      <c r="K263" s="108"/>
      <c r="L263" s="108"/>
      <c r="M263" s="108"/>
      <c r="N263" s="108"/>
      <c r="O263" s="108"/>
      <c r="P263" s="108"/>
      <c r="Q263" s="108">
        <f t="shared" si="22"/>
        <v>0</v>
      </c>
      <c r="R263" s="437" t="s">
        <v>1155</v>
      </c>
    </row>
    <row r="264" spans="1:18" ht="24" customHeight="1" x14ac:dyDescent="0.25">
      <c r="A264" s="129" t="s">
        <v>86</v>
      </c>
      <c r="B264" s="129"/>
      <c r="C264" s="145"/>
      <c r="D264" s="150" t="s">
        <v>492</v>
      </c>
      <c r="E264" s="140">
        <v>2</v>
      </c>
      <c r="F264" s="108">
        <v>151619</v>
      </c>
      <c r="G264" s="108"/>
      <c r="H264" s="108"/>
      <c r="I264" s="108">
        <v>-8355</v>
      </c>
      <c r="J264" s="108"/>
      <c r="K264" s="108"/>
      <c r="L264" s="108"/>
      <c r="M264" s="108">
        <v>25000</v>
      </c>
      <c r="N264" s="108"/>
      <c r="O264" s="108"/>
      <c r="P264" s="108"/>
      <c r="Q264" s="108">
        <f t="shared" si="22"/>
        <v>16645</v>
      </c>
      <c r="R264" s="437" t="s">
        <v>1155</v>
      </c>
    </row>
    <row r="265" spans="1:18" ht="17.100000000000001" hidden="1" customHeight="1" x14ac:dyDescent="0.25">
      <c r="A265" s="129"/>
      <c r="B265" s="129"/>
      <c r="C265" s="145"/>
      <c r="D265" s="142" t="s">
        <v>493</v>
      </c>
      <c r="E265" s="140">
        <v>2</v>
      </c>
      <c r="F265" s="108">
        <v>151626</v>
      </c>
      <c r="G265" s="108"/>
      <c r="H265" s="108"/>
      <c r="I265" s="108"/>
      <c r="J265" s="108"/>
      <c r="K265" s="108"/>
      <c r="L265" s="108"/>
      <c r="M265" s="108"/>
      <c r="N265" s="108"/>
      <c r="O265" s="108"/>
      <c r="P265" s="108"/>
      <c r="Q265" s="108">
        <f t="shared" si="22"/>
        <v>0</v>
      </c>
      <c r="R265" s="437" t="s">
        <v>1155</v>
      </c>
    </row>
    <row r="266" spans="1:18" ht="17.100000000000001" hidden="1" customHeight="1" x14ac:dyDescent="0.25">
      <c r="A266" s="129"/>
      <c r="B266" s="129"/>
      <c r="C266" s="145"/>
      <c r="D266" s="162" t="s">
        <v>494</v>
      </c>
      <c r="E266" s="165">
        <v>2</v>
      </c>
      <c r="F266" s="167">
        <v>151627</v>
      </c>
      <c r="G266" s="10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>
        <f t="shared" si="22"/>
        <v>0</v>
      </c>
      <c r="R266" s="437" t="s">
        <v>1155</v>
      </c>
    </row>
    <row r="267" spans="1:18" ht="17.100000000000001" customHeight="1" x14ac:dyDescent="0.25">
      <c r="A267" s="129"/>
      <c r="B267" s="129"/>
      <c r="C267" s="145"/>
      <c r="D267" s="142" t="s">
        <v>874</v>
      </c>
      <c r="E267" s="165">
        <v>2</v>
      </c>
      <c r="F267" s="167">
        <v>151638</v>
      </c>
      <c r="G267" s="108"/>
      <c r="H267" s="108"/>
      <c r="I267" s="108">
        <v>-284</v>
      </c>
      <c r="J267" s="108"/>
      <c r="K267" s="108"/>
      <c r="L267" s="108"/>
      <c r="M267" s="108"/>
      <c r="N267" s="108"/>
      <c r="O267" s="108"/>
      <c r="P267" s="108"/>
      <c r="Q267" s="108">
        <f t="shared" si="22"/>
        <v>-284</v>
      </c>
      <c r="R267" s="437" t="s">
        <v>1154</v>
      </c>
    </row>
    <row r="268" spans="1:18" ht="17.100000000000001" hidden="1" customHeight="1" x14ac:dyDescent="0.25">
      <c r="A268" s="129"/>
      <c r="B268" s="129"/>
      <c r="C268" s="145"/>
      <c r="D268" s="143" t="s">
        <v>495</v>
      </c>
      <c r="E268" s="108">
        <v>1</v>
      </c>
      <c r="F268" s="108">
        <v>151603</v>
      </c>
      <c r="G268" s="108"/>
      <c r="H268" s="108"/>
      <c r="I268" s="108"/>
      <c r="J268" s="108"/>
      <c r="K268" s="108"/>
      <c r="L268" s="108"/>
      <c r="M268" s="108"/>
      <c r="N268" s="108"/>
      <c r="O268" s="108"/>
      <c r="P268" s="108"/>
      <c r="Q268" s="108">
        <f t="shared" si="22"/>
        <v>0</v>
      </c>
      <c r="R268" s="437" t="s">
        <v>1154</v>
      </c>
    </row>
    <row r="269" spans="1:18" ht="17.100000000000001" customHeight="1" x14ac:dyDescent="0.25">
      <c r="A269" s="129"/>
      <c r="B269" s="129"/>
      <c r="C269" s="145"/>
      <c r="D269" s="143" t="s">
        <v>496</v>
      </c>
      <c r="E269" s="108">
        <v>1</v>
      </c>
      <c r="F269" s="108">
        <v>151605</v>
      </c>
      <c r="G269" s="108"/>
      <c r="H269" s="108"/>
      <c r="I269" s="108">
        <v>1500</v>
      </c>
      <c r="J269" s="108"/>
      <c r="K269" s="108"/>
      <c r="L269" s="108"/>
      <c r="M269" s="108"/>
      <c r="N269" s="108"/>
      <c r="O269" s="108"/>
      <c r="P269" s="108"/>
      <c r="Q269" s="108">
        <f t="shared" si="22"/>
        <v>1500</v>
      </c>
      <c r="R269" s="437" t="s">
        <v>1154</v>
      </c>
    </row>
    <row r="270" spans="1:18" ht="17.100000000000001" hidden="1" customHeight="1" x14ac:dyDescent="0.25">
      <c r="A270" s="129"/>
      <c r="B270" s="129"/>
      <c r="C270" s="145"/>
      <c r="D270" s="143" t="s">
        <v>497</v>
      </c>
      <c r="E270" s="108">
        <v>1</v>
      </c>
      <c r="F270" s="108">
        <v>151608</v>
      </c>
      <c r="G270" s="108"/>
      <c r="H270" s="108"/>
      <c r="I270" s="108"/>
      <c r="J270" s="108"/>
      <c r="K270" s="108"/>
      <c r="L270" s="108"/>
      <c r="M270" s="108"/>
      <c r="N270" s="108"/>
      <c r="O270" s="108"/>
      <c r="P270" s="108"/>
      <c r="Q270" s="108">
        <f t="shared" si="22"/>
        <v>0</v>
      </c>
      <c r="R270" s="437"/>
    </row>
    <row r="271" spans="1:18" ht="17.100000000000001" hidden="1" customHeight="1" x14ac:dyDescent="0.25">
      <c r="A271" s="129"/>
      <c r="B271" s="129"/>
      <c r="C271" s="145"/>
      <c r="D271" s="143" t="s">
        <v>498</v>
      </c>
      <c r="E271" s="108">
        <v>2</v>
      </c>
      <c r="F271" s="108">
        <v>151624</v>
      </c>
      <c r="G271" s="10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>
        <f t="shared" si="22"/>
        <v>0</v>
      </c>
      <c r="R271" s="437"/>
    </row>
    <row r="272" spans="1:18" ht="17.100000000000001" hidden="1" customHeight="1" x14ac:dyDescent="0.25">
      <c r="A272" s="129"/>
      <c r="B272" s="129"/>
      <c r="C272" s="145"/>
      <c r="D272" s="143" t="s">
        <v>499</v>
      </c>
      <c r="E272" s="108">
        <v>1</v>
      </c>
      <c r="F272" s="108">
        <v>151631</v>
      </c>
      <c r="G272" s="108"/>
      <c r="H272" s="108"/>
      <c r="I272" s="108"/>
      <c r="J272" s="108"/>
      <c r="K272" s="108"/>
      <c r="L272" s="108"/>
      <c r="M272" s="108"/>
      <c r="N272" s="108"/>
      <c r="O272" s="108"/>
      <c r="P272" s="108"/>
      <c r="Q272" s="108">
        <f t="shared" si="22"/>
        <v>0</v>
      </c>
      <c r="R272" s="437"/>
    </row>
    <row r="273" spans="1:18" ht="24.75" hidden="1" customHeight="1" x14ac:dyDescent="0.25">
      <c r="A273" s="129"/>
      <c r="B273" s="129"/>
      <c r="C273" s="145"/>
      <c r="D273" s="110" t="s">
        <v>500</v>
      </c>
      <c r="E273" s="108">
        <v>1</v>
      </c>
      <c r="F273" s="108">
        <v>151635</v>
      </c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>
        <f t="shared" si="22"/>
        <v>0</v>
      </c>
      <c r="R273" s="437"/>
    </row>
    <row r="274" spans="1:18" ht="14.1" hidden="1" customHeight="1" x14ac:dyDescent="0.25">
      <c r="A274" s="129"/>
      <c r="B274" s="129"/>
      <c r="C274" s="145"/>
      <c r="D274" s="299" t="s">
        <v>501</v>
      </c>
      <c r="E274" s="108">
        <v>1</v>
      </c>
      <c r="F274" s="108">
        <v>151612</v>
      </c>
      <c r="G274" s="10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>
        <f t="shared" si="22"/>
        <v>0</v>
      </c>
      <c r="R274" s="437"/>
    </row>
    <row r="275" spans="1:18" ht="14.1" hidden="1" customHeight="1" x14ac:dyDescent="0.25">
      <c r="A275" s="129"/>
      <c r="B275" s="129"/>
      <c r="C275" s="145"/>
      <c r="D275" s="299" t="s">
        <v>502</v>
      </c>
      <c r="E275" s="108">
        <v>1</v>
      </c>
      <c r="F275" s="108">
        <v>151614</v>
      </c>
      <c r="G275" s="10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>
        <f t="shared" si="22"/>
        <v>0</v>
      </c>
      <c r="R275" s="437"/>
    </row>
    <row r="276" spans="1:18" ht="12.9" customHeight="1" x14ac:dyDescent="0.25">
      <c r="A276" s="129"/>
      <c r="B276" s="129"/>
      <c r="C276" s="145"/>
      <c r="D276" s="294" t="s">
        <v>447</v>
      </c>
      <c r="E276" s="108"/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/>
      <c r="R276" s="437"/>
    </row>
    <row r="277" spans="1:18" ht="17.25" customHeight="1" x14ac:dyDescent="0.25">
      <c r="A277" s="129"/>
      <c r="B277" s="129"/>
      <c r="C277" s="145"/>
      <c r="D277" s="150" t="s">
        <v>503</v>
      </c>
      <c r="E277" s="108">
        <v>1</v>
      </c>
      <c r="F277" s="108">
        <v>151505</v>
      </c>
      <c r="G277" s="108"/>
      <c r="H277" s="108"/>
      <c r="I277" s="108">
        <v>222</v>
      </c>
      <c r="J277" s="108"/>
      <c r="K277" s="108"/>
      <c r="L277" s="108"/>
      <c r="M277" s="108"/>
      <c r="N277" s="108"/>
      <c r="O277" s="108"/>
      <c r="P277" s="108"/>
      <c r="Q277" s="108">
        <f>SUM(G277:P277)</f>
        <v>222</v>
      </c>
      <c r="R277" s="437" t="s">
        <v>1154</v>
      </c>
    </row>
    <row r="278" spans="1:18" ht="16.5" hidden="1" customHeight="1" x14ac:dyDescent="0.25">
      <c r="A278" s="129"/>
      <c r="B278" s="129"/>
      <c r="C278" s="145"/>
      <c r="D278" s="142" t="s">
        <v>218</v>
      </c>
      <c r="E278" s="140"/>
      <c r="F278" s="140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/>
      <c r="R278" s="437"/>
    </row>
    <row r="279" spans="1:18" ht="16.5" hidden="1" customHeight="1" x14ac:dyDescent="0.25">
      <c r="A279" s="129"/>
      <c r="B279" s="129"/>
      <c r="C279" s="129"/>
      <c r="D279" s="143" t="s">
        <v>219</v>
      </c>
      <c r="E279" s="108">
        <v>2</v>
      </c>
      <c r="F279" s="108">
        <v>151906</v>
      </c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  <c r="Q279" s="108">
        <f>SUM(G279:P279)</f>
        <v>0</v>
      </c>
      <c r="R279" s="437"/>
    </row>
    <row r="280" spans="1:18" ht="16.5" hidden="1" customHeight="1" x14ac:dyDescent="0.25">
      <c r="A280" s="129"/>
      <c r="B280" s="129"/>
      <c r="C280" s="145"/>
      <c r="D280" s="143" t="s">
        <v>504</v>
      </c>
      <c r="E280" s="108">
        <v>2</v>
      </c>
      <c r="F280" s="108">
        <v>151915</v>
      </c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8">
        <f>SUM(G280:P280)</f>
        <v>0</v>
      </c>
      <c r="R280" s="437"/>
    </row>
    <row r="281" spans="1:18" ht="17.25" hidden="1" customHeight="1" x14ac:dyDescent="0.25">
      <c r="A281" s="129"/>
      <c r="B281" s="129"/>
      <c r="C281" s="145"/>
      <c r="D281" s="143" t="s">
        <v>220</v>
      </c>
      <c r="E281" s="108">
        <v>2</v>
      </c>
      <c r="F281" s="108">
        <v>151907</v>
      </c>
      <c r="G281" s="10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>
        <f>SUM(G281:P281)</f>
        <v>0</v>
      </c>
      <c r="R281" s="437"/>
    </row>
    <row r="282" spans="1:18" ht="15.6" hidden="1" customHeight="1" x14ac:dyDescent="0.25">
      <c r="A282" s="129"/>
      <c r="B282" s="129"/>
      <c r="C282" s="145"/>
      <c r="D282" s="551" t="s">
        <v>977</v>
      </c>
      <c r="E282" s="552">
        <v>2</v>
      </c>
      <c r="F282" s="552">
        <v>151909</v>
      </c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>
        <f>SUM(G282:P282)</f>
        <v>0</v>
      </c>
      <c r="R282" s="437"/>
    </row>
    <row r="283" spans="1:18" ht="17.100000000000001" customHeight="1" x14ac:dyDescent="0.25">
      <c r="A283" s="129"/>
      <c r="B283" s="129"/>
      <c r="C283" s="145"/>
      <c r="D283" s="142" t="s">
        <v>505</v>
      </c>
      <c r="E283" s="140"/>
      <c r="F283" s="140"/>
      <c r="G283" s="10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/>
      <c r="R283" s="437"/>
    </row>
    <row r="284" spans="1:18" ht="17.100000000000001" customHeight="1" x14ac:dyDescent="0.25">
      <c r="A284" s="129"/>
      <c r="B284" s="129"/>
      <c r="C284" s="145"/>
      <c r="D284" s="142" t="s">
        <v>506</v>
      </c>
      <c r="E284" s="140">
        <v>1</v>
      </c>
      <c r="F284" s="108">
        <v>151801</v>
      </c>
      <c r="G284" s="108"/>
      <c r="H284" s="108"/>
      <c r="I284" s="108"/>
      <c r="J284" s="108"/>
      <c r="K284" s="108">
        <v>3715</v>
      </c>
      <c r="L284" s="108"/>
      <c r="M284" s="108"/>
      <c r="N284" s="108"/>
      <c r="O284" s="108"/>
      <c r="P284" s="108"/>
      <c r="Q284" s="108">
        <f>SUM(G284:P284)</f>
        <v>3715</v>
      </c>
      <c r="R284" s="437" t="s">
        <v>1154</v>
      </c>
    </row>
    <row r="285" spans="1:18" ht="17.100000000000001" customHeight="1" x14ac:dyDescent="0.25">
      <c r="A285" s="129"/>
      <c r="B285" s="129"/>
      <c r="C285" s="145"/>
      <c r="D285" s="142" t="s">
        <v>507</v>
      </c>
      <c r="E285" s="140"/>
      <c r="F285" s="140"/>
      <c r="G285" s="10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  <c r="R285" s="437"/>
    </row>
    <row r="286" spans="1:18" ht="17.100000000000001" customHeight="1" x14ac:dyDescent="0.25">
      <c r="A286" s="129"/>
      <c r="B286" s="129"/>
      <c r="C286" s="145"/>
      <c r="D286" s="142" t="s">
        <v>508</v>
      </c>
      <c r="E286" s="108">
        <v>1</v>
      </c>
      <c r="F286" s="108">
        <v>151201</v>
      </c>
      <c r="G286" s="108"/>
      <c r="H286" s="108"/>
      <c r="I286" s="108">
        <v>98890</v>
      </c>
      <c r="J286" s="108"/>
      <c r="K286" s="108"/>
      <c r="L286" s="108"/>
      <c r="M286" s="108"/>
      <c r="N286" s="108"/>
      <c r="O286" s="108"/>
      <c r="P286" s="108"/>
      <c r="Q286" s="108">
        <f t="shared" ref="Q286:Q292" si="23">SUM(G286:P286)</f>
        <v>98890</v>
      </c>
      <c r="R286" s="437" t="s">
        <v>1152</v>
      </c>
    </row>
    <row r="287" spans="1:18" ht="17.100000000000001" hidden="1" customHeight="1" x14ac:dyDescent="0.25">
      <c r="A287" s="129"/>
      <c r="B287" s="129"/>
      <c r="C287" s="145"/>
      <c r="D287" s="142" t="s">
        <v>509</v>
      </c>
      <c r="E287" s="140">
        <v>1</v>
      </c>
      <c r="F287" s="108">
        <v>151204</v>
      </c>
      <c r="G287" s="108"/>
      <c r="H287" s="108"/>
      <c r="I287" s="108"/>
      <c r="J287" s="108"/>
      <c r="K287" s="108"/>
      <c r="L287" s="108"/>
      <c r="M287" s="108"/>
      <c r="N287" s="108"/>
      <c r="O287" s="108"/>
      <c r="P287" s="108"/>
      <c r="Q287" s="108">
        <f t="shared" si="23"/>
        <v>0</v>
      </c>
      <c r="R287" s="437"/>
    </row>
    <row r="288" spans="1:18" ht="17.100000000000001" hidden="1" customHeight="1" x14ac:dyDescent="0.25">
      <c r="A288" s="129"/>
      <c r="B288" s="129"/>
      <c r="C288" s="145"/>
      <c r="D288" s="142" t="s">
        <v>510</v>
      </c>
      <c r="E288" s="140">
        <v>1</v>
      </c>
      <c r="F288" s="108">
        <v>151202</v>
      </c>
      <c r="G288" s="10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>
        <f t="shared" si="23"/>
        <v>0</v>
      </c>
      <c r="R288" s="437"/>
    </row>
    <row r="289" spans="1:18" ht="22.95" hidden="1" customHeight="1" x14ac:dyDescent="0.25">
      <c r="A289" s="129"/>
      <c r="B289" s="129"/>
      <c r="C289" s="145"/>
      <c r="D289" s="162" t="s">
        <v>875</v>
      </c>
      <c r="E289" s="140">
        <v>1</v>
      </c>
      <c r="F289" s="108">
        <v>151208</v>
      </c>
      <c r="G289" s="108"/>
      <c r="H289" s="108"/>
      <c r="I289" s="108"/>
      <c r="J289" s="108"/>
      <c r="K289" s="108"/>
      <c r="L289" s="108"/>
      <c r="M289" s="108"/>
      <c r="N289" s="108"/>
      <c r="O289" s="108"/>
      <c r="P289" s="108"/>
      <c r="Q289" s="108">
        <f t="shared" si="23"/>
        <v>0</v>
      </c>
      <c r="R289" s="437"/>
    </row>
    <row r="290" spans="1:18" ht="17.100000000000001" hidden="1" customHeight="1" x14ac:dyDescent="0.25">
      <c r="A290" s="129"/>
      <c r="B290" s="129"/>
      <c r="C290" s="145"/>
      <c r="D290" s="142" t="s">
        <v>511</v>
      </c>
      <c r="E290" s="140">
        <v>1</v>
      </c>
      <c r="F290" s="108">
        <v>151205</v>
      </c>
      <c r="G290" s="108"/>
      <c r="H290" s="108"/>
      <c r="I290" s="108"/>
      <c r="J290" s="108"/>
      <c r="K290" s="108"/>
      <c r="L290" s="108"/>
      <c r="M290" s="108"/>
      <c r="N290" s="108"/>
      <c r="O290" s="108"/>
      <c r="P290" s="108"/>
      <c r="Q290" s="108">
        <f t="shared" si="23"/>
        <v>0</v>
      </c>
      <c r="R290" s="437"/>
    </row>
    <row r="291" spans="1:18" ht="14.1" customHeight="1" x14ac:dyDescent="0.25">
      <c r="A291" s="129"/>
      <c r="B291" s="129"/>
      <c r="C291" s="145"/>
      <c r="D291" s="142" t="s">
        <v>512</v>
      </c>
      <c r="E291" s="140">
        <v>1</v>
      </c>
      <c r="F291" s="108">
        <v>151902</v>
      </c>
      <c r="G291" s="108">
        <v>1398</v>
      </c>
      <c r="H291" s="108">
        <v>302</v>
      </c>
      <c r="I291" s="108">
        <v>850</v>
      </c>
      <c r="J291" s="108"/>
      <c r="K291" s="108"/>
      <c r="L291" s="108"/>
      <c r="M291" s="108">
        <v>4467</v>
      </c>
      <c r="N291" s="108"/>
      <c r="O291" s="108"/>
      <c r="P291" s="108"/>
      <c r="Q291" s="108">
        <f t="shared" si="23"/>
        <v>7017</v>
      </c>
      <c r="R291" s="437" t="s">
        <v>1154</v>
      </c>
    </row>
    <row r="292" spans="1:18" ht="25.5" hidden="1" customHeight="1" x14ac:dyDescent="0.25">
      <c r="A292" s="129"/>
      <c r="B292" s="129"/>
      <c r="C292" s="145"/>
      <c r="D292" s="162" t="s">
        <v>513</v>
      </c>
      <c r="E292" s="140"/>
      <c r="F292" s="108">
        <v>151925</v>
      </c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>
        <f t="shared" si="23"/>
        <v>0</v>
      </c>
      <c r="R292" s="437"/>
    </row>
    <row r="293" spans="1:18" ht="15" customHeight="1" x14ac:dyDescent="0.25">
      <c r="A293" s="129"/>
      <c r="B293" s="129"/>
      <c r="C293" s="145"/>
      <c r="D293" s="150" t="s">
        <v>230</v>
      </c>
      <c r="E293" s="165"/>
      <c r="F293" s="165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  <c r="R293" s="437"/>
    </row>
    <row r="294" spans="1:18" ht="24.9" customHeight="1" x14ac:dyDescent="0.25">
      <c r="A294" s="129"/>
      <c r="B294" s="129"/>
      <c r="C294" s="145"/>
      <c r="D294" s="150" t="s">
        <v>514</v>
      </c>
      <c r="E294" s="165">
        <v>2</v>
      </c>
      <c r="F294" s="167">
        <v>151910</v>
      </c>
      <c r="G294" s="108"/>
      <c r="H294" s="108"/>
      <c r="I294" s="108">
        <v>52007</v>
      </c>
      <c r="J294" s="108"/>
      <c r="K294" s="108"/>
      <c r="L294" s="108"/>
      <c r="M294" s="108"/>
      <c r="N294" s="108"/>
      <c r="O294" s="108"/>
      <c r="P294" s="108"/>
      <c r="Q294" s="108">
        <f>SUM(G294:P294)</f>
        <v>52007</v>
      </c>
      <c r="R294" s="437" t="s">
        <v>1152</v>
      </c>
    </row>
    <row r="295" spans="1:18" ht="16.5" hidden="1" customHeight="1" x14ac:dyDescent="0.25">
      <c r="A295" s="129"/>
      <c r="B295" s="129"/>
      <c r="C295" s="145"/>
      <c r="D295" s="150" t="s">
        <v>271</v>
      </c>
      <c r="E295" s="165"/>
      <c r="F295" s="165"/>
      <c r="G295" s="10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/>
      <c r="R295" s="437"/>
    </row>
    <row r="296" spans="1:18" ht="24.9" hidden="1" customHeight="1" x14ac:dyDescent="0.25">
      <c r="A296" s="129"/>
      <c r="B296" s="129"/>
      <c r="C296" s="145"/>
      <c r="D296" s="150" t="s">
        <v>515</v>
      </c>
      <c r="E296" s="165">
        <v>1</v>
      </c>
      <c r="F296" s="167">
        <v>152915</v>
      </c>
      <c r="G296" s="10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>
        <f>SUM(G296:P296)</f>
        <v>0</v>
      </c>
      <c r="R296" s="437"/>
    </row>
    <row r="297" spans="1:18" ht="17.100000000000001" hidden="1" customHeight="1" x14ac:dyDescent="0.25">
      <c r="A297" s="129"/>
      <c r="B297" s="129"/>
      <c r="C297" s="145"/>
      <c r="D297" s="142" t="s">
        <v>516</v>
      </c>
      <c r="E297" s="140"/>
      <c r="F297" s="140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  <c r="R297" s="437"/>
    </row>
    <row r="298" spans="1:18" ht="17.100000000000001" hidden="1" customHeight="1" x14ac:dyDescent="0.25">
      <c r="A298" s="129"/>
      <c r="B298" s="129"/>
      <c r="C298" s="145"/>
      <c r="D298" s="142" t="s">
        <v>517</v>
      </c>
      <c r="E298" s="108">
        <v>1</v>
      </c>
      <c r="F298" s="108">
        <v>151704</v>
      </c>
      <c r="G298" s="108"/>
      <c r="H298" s="108"/>
      <c r="I298" s="108"/>
      <c r="J298" s="108"/>
      <c r="K298" s="108"/>
      <c r="L298" s="108"/>
      <c r="M298" s="108"/>
      <c r="N298" s="108"/>
      <c r="O298" s="108"/>
      <c r="P298" s="108"/>
      <c r="Q298" s="108">
        <f>SUM(G298:P298)</f>
        <v>0</v>
      </c>
      <c r="R298" s="437"/>
    </row>
    <row r="299" spans="1:18" ht="20.25" customHeight="1" x14ac:dyDescent="0.25">
      <c r="A299" s="151"/>
      <c r="B299" s="151"/>
      <c r="C299" s="152"/>
      <c r="D299" s="300" t="s">
        <v>518</v>
      </c>
      <c r="E299" s="154"/>
      <c r="F299" s="155"/>
      <c r="G299" s="155">
        <f t="shared" ref="G299:Q299" si="24">SUM(G209:G298)</f>
        <v>1398</v>
      </c>
      <c r="H299" s="155">
        <f t="shared" si="24"/>
        <v>302</v>
      </c>
      <c r="I299" s="155">
        <f t="shared" si="24"/>
        <v>129398</v>
      </c>
      <c r="J299" s="155">
        <f t="shared" si="24"/>
        <v>0</v>
      </c>
      <c r="K299" s="155">
        <f t="shared" si="24"/>
        <v>3715</v>
      </c>
      <c r="L299" s="155">
        <f t="shared" si="24"/>
        <v>3077</v>
      </c>
      <c r="M299" s="155">
        <f t="shared" si="24"/>
        <v>32335</v>
      </c>
      <c r="N299" s="155">
        <f t="shared" si="24"/>
        <v>0</v>
      </c>
      <c r="O299" s="155">
        <f t="shared" si="24"/>
        <v>0</v>
      </c>
      <c r="P299" s="155">
        <f t="shared" si="24"/>
        <v>0</v>
      </c>
      <c r="Q299" s="155">
        <f t="shared" si="24"/>
        <v>170225</v>
      </c>
      <c r="R299" s="438"/>
    </row>
    <row r="300" spans="1:18" ht="17.100000000000001" customHeight="1" x14ac:dyDescent="0.25">
      <c r="A300" s="156"/>
      <c r="B300" s="156"/>
      <c r="C300" s="156"/>
      <c r="D300" s="175" t="s">
        <v>332</v>
      </c>
      <c r="E300" s="158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  <c r="R300" s="437"/>
    </row>
    <row r="301" spans="1:18" ht="17.25" hidden="1" customHeight="1" x14ac:dyDescent="0.25">
      <c r="A301" s="156"/>
      <c r="B301" s="156"/>
      <c r="C301" s="183" t="s">
        <v>90</v>
      </c>
      <c r="D301" s="301" t="s">
        <v>519</v>
      </c>
      <c r="E301" s="158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59"/>
      <c r="R301" s="437"/>
    </row>
    <row r="302" spans="1:18" ht="21.75" hidden="1" customHeight="1" x14ac:dyDescent="0.25">
      <c r="A302" s="156"/>
      <c r="B302" s="156"/>
      <c r="C302" s="579" t="s">
        <v>333</v>
      </c>
      <c r="D302" s="554" t="s">
        <v>888</v>
      </c>
      <c r="E302" s="410"/>
      <c r="F302" s="410">
        <v>152133</v>
      </c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>
        <f t="shared" ref="Q302:Q307" si="25">SUM(G302:P302)</f>
        <v>0</v>
      </c>
      <c r="R302" s="437"/>
    </row>
    <row r="303" spans="1:18" ht="17.100000000000001" hidden="1" customHeight="1" x14ac:dyDescent="0.25">
      <c r="A303" s="156"/>
      <c r="B303" s="156"/>
      <c r="C303" s="555"/>
      <c r="D303" s="528" t="s">
        <v>968</v>
      </c>
      <c r="E303" s="485"/>
      <c r="F303" s="485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>
        <f t="shared" si="25"/>
        <v>0</v>
      </c>
      <c r="R303" s="437"/>
    </row>
    <row r="304" spans="1:18" ht="17.100000000000001" hidden="1" customHeight="1" x14ac:dyDescent="0.25">
      <c r="A304" s="411"/>
      <c r="B304" s="411"/>
      <c r="C304" s="412" t="s">
        <v>335</v>
      </c>
      <c r="D304" s="545" t="s">
        <v>757</v>
      </c>
      <c r="E304" s="410"/>
      <c r="F304" s="410">
        <v>154103</v>
      </c>
      <c r="G304" s="408"/>
      <c r="H304" s="408"/>
      <c r="I304" s="408"/>
      <c r="J304" s="408"/>
      <c r="K304" s="408"/>
      <c r="L304" s="408"/>
      <c r="M304" s="408"/>
      <c r="N304" s="408"/>
      <c r="O304" s="408"/>
      <c r="P304" s="408"/>
      <c r="Q304" s="108">
        <f t="shared" si="25"/>
        <v>0</v>
      </c>
      <c r="R304" s="437"/>
    </row>
    <row r="305" spans="1:18" ht="17.100000000000001" hidden="1" customHeight="1" x14ac:dyDescent="0.25">
      <c r="A305" s="156"/>
      <c r="B305" s="156"/>
      <c r="C305" s="556" t="s">
        <v>523</v>
      </c>
      <c r="D305" s="538" t="s">
        <v>524</v>
      </c>
      <c r="E305" s="485"/>
      <c r="F305" s="410">
        <v>152129</v>
      </c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>
        <f t="shared" si="25"/>
        <v>0</v>
      </c>
      <c r="R305" s="437"/>
    </row>
    <row r="306" spans="1:18" ht="17.100000000000001" hidden="1" customHeight="1" x14ac:dyDescent="0.25">
      <c r="A306" s="156"/>
      <c r="B306" s="183"/>
      <c r="C306" s="556" t="s">
        <v>525</v>
      </c>
      <c r="D306" s="557" t="s">
        <v>526</v>
      </c>
      <c r="E306" s="410"/>
      <c r="F306" s="410">
        <v>152122</v>
      </c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>
        <f t="shared" si="25"/>
        <v>0</v>
      </c>
      <c r="R306" s="437"/>
    </row>
    <row r="307" spans="1:18" ht="17.100000000000001" hidden="1" customHeight="1" x14ac:dyDescent="0.25">
      <c r="A307" s="156"/>
      <c r="B307" s="183"/>
      <c r="C307" s="556" t="s">
        <v>527</v>
      </c>
      <c r="D307" s="558" t="s">
        <v>978</v>
      </c>
      <c r="E307" s="559"/>
      <c r="F307" s="559">
        <v>152102</v>
      </c>
      <c r="G307" s="10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>
        <f t="shared" si="25"/>
        <v>0</v>
      </c>
      <c r="R307" s="437"/>
    </row>
    <row r="308" spans="1:18" ht="26.25" hidden="1" customHeight="1" x14ac:dyDescent="0.25">
      <c r="A308" s="156"/>
      <c r="B308" s="183"/>
      <c r="C308" s="556" t="s">
        <v>853</v>
      </c>
      <c r="D308" s="560" t="s">
        <v>522</v>
      </c>
      <c r="E308" s="410"/>
      <c r="F308" s="410">
        <v>152112</v>
      </c>
      <c r="G308" s="10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>
        <f>SUM(G308:P308)</f>
        <v>0</v>
      </c>
      <c r="R308" s="437"/>
    </row>
    <row r="309" spans="1:18" ht="17.100000000000001" hidden="1" customHeight="1" x14ac:dyDescent="0.25">
      <c r="A309" s="156"/>
      <c r="B309" s="156"/>
      <c r="C309" s="561" t="s">
        <v>89</v>
      </c>
      <c r="D309" s="580" t="s">
        <v>528</v>
      </c>
      <c r="E309" s="485"/>
      <c r="F309" s="410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>
        <f>SUM(G309:P309)</f>
        <v>0</v>
      </c>
      <c r="R309" s="437"/>
    </row>
    <row r="310" spans="1:18" ht="17.100000000000001" hidden="1" customHeight="1" x14ac:dyDescent="0.25">
      <c r="A310" s="156"/>
      <c r="B310" s="156"/>
      <c r="C310" s="565" t="s">
        <v>91</v>
      </c>
      <c r="D310" s="766" t="s">
        <v>529</v>
      </c>
      <c r="E310" s="485"/>
      <c r="F310" s="485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  <c r="R310" s="437"/>
    </row>
    <row r="311" spans="1:18" ht="17.100000000000001" hidden="1" customHeight="1" x14ac:dyDescent="0.25">
      <c r="A311" s="156"/>
      <c r="B311" s="156"/>
      <c r="C311" s="565"/>
      <c r="D311" s="767" t="s">
        <v>968</v>
      </c>
      <c r="E311" s="485"/>
      <c r="F311" s="410"/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>
        <f t="shared" ref="Q311:Q312" si="26">SUM(G311:P311)</f>
        <v>0</v>
      </c>
      <c r="R311" s="437"/>
    </row>
    <row r="312" spans="1:18" ht="17.100000000000001" hidden="1" customHeight="1" x14ac:dyDescent="0.25">
      <c r="A312" s="156"/>
      <c r="B312" s="156"/>
      <c r="C312" s="555" t="s">
        <v>530</v>
      </c>
      <c r="D312" s="768" t="s">
        <v>531</v>
      </c>
      <c r="E312" s="485"/>
      <c r="F312" s="410">
        <v>152301</v>
      </c>
      <c r="G312" s="108"/>
      <c r="H312" s="108"/>
      <c r="I312" s="108"/>
      <c r="J312" s="108"/>
      <c r="K312" s="108"/>
      <c r="L312" s="108"/>
      <c r="M312" s="108"/>
      <c r="N312" s="108"/>
      <c r="O312" s="108"/>
      <c r="P312" s="108"/>
      <c r="Q312" s="108">
        <f t="shared" si="26"/>
        <v>0</v>
      </c>
      <c r="R312" s="437"/>
    </row>
    <row r="313" spans="1:18" ht="17.100000000000001" hidden="1" customHeight="1" x14ac:dyDescent="0.25">
      <c r="A313" s="156"/>
      <c r="B313" s="156"/>
      <c r="C313" s="555" t="s">
        <v>854</v>
      </c>
      <c r="D313" s="769" t="s">
        <v>889</v>
      </c>
      <c r="E313" s="410"/>
      <c r="F313" s="410">
        <v>152314</v>
      </c>
      <c r="G313" s="108"/>
      <c r="H313" s="108"/>
      <c r="I313" s="108"/>
      <c r="J313" s="108"/>
      <c r="K313" s="108"/>
      <c r="L313" s="108"/>
      <c r="M313" s="108"/>
      <c r="N313" s="108"/>
      <c r="O313" s="108"/>
      <c r="P313" s="108"/>
      <c r="Q313" s="108">
        <f t="shared" ref="Q313:Q314" si="27">SUM(G313:P313)</f>
        <v>0</v>
      </c>
      <c r="R313" s="437"/>
    </row>
    <row r="314" spans="1:18" ht="25.5" hidden="1" customHeight="1" x14ac:dyDescent="0.25">
      <c r="A314" s="156"/>
      <c r="B314" s="156"/>
      <c r="C314" s="555" t="s">
        <v>855</v>
      </c>
      <c r="D314" s="769" t="s">
        <v>856</v>
      </c>
      <c r="E314" s="410"/>
      <c r="F314" s="410">
        <v>154302</v>
      </c>
      <c r="G314" s="10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>
        <f t="shared" si="27"/>
        <v>0</v>
      </c>
      <c r="R314" s="437"/>
    </row>
    <row r="315" spans="1:18" ht="14.25" customHeight="1" x14ac:dyDescent="0.25">
      <c r="A315" s="156"/>
      <c r="B315" s="156"/>
      <c r="C315" s="565" t="s">
        <v>92</v>
      </c>
      <c r="D315" s="569" t="s">
        <v>532</v>
      </c>
      <c r="E315" s="410"/>
      <c r="F315" s="410"/>
      <c r="G315" s="10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  <c r="R315" s="437"/>
    </row>
    <row r="316" spans="1:18" ht="14.25" hidden="1" customHeight="1" x14ac:dyDescent="0.25">
      <c r="A316" s="156"/>
      <c r="B316" s="156"/>
      <c r="C316" s="566" t="s">
        <v>533</v>
      </c>
      <c r="D316" s="570" t="s">
        <v>896</v>
      </c>
      <c r="E316" s="410"/>
      <c r="F316" s="410">
        <v>152414</v>
      </c>
      <c r="G316" s="108"/>
      <c r="H316" s="108"/>
      <c r="I316" s="108"/>
      <c r="J316" s="108"/>
      <c r="K316" s="108"/>
      <c r="L316" s="108"/>
      <c r="M316" s="108"/>
      <c r="N316" s="108"/>
      <c r="O316" s="108"/>
      <c r="P316" s="108"/>
      <c r="Q316" s="108">
        <f>SUM(G316:P316)</f>
        <v>0</v>
      </c>
      <c r="R316" s="437"/>
    </row>
    <row r="317" spans="1:18" ht="17.100000000000001" hidden="1" customHeight="1" x14ac:dyDescent="0.25">
      <c r="A317" s="156"/>
      <c r="B317" s="156"/>
      <c r="C317" s="566" t="s">
        <v>534</v>
      </c>
      <c r="D317" s="554" t="s">
        <v>540</v>
      </c>
      <c r="E317" s="410"/>
      <c r="F317" s="537">
        <v>152426</v>
      </c>
      <c r="G317" s="108"/>
      <c r="H317" s="108"/>
      <c r="I317" s="108"/>
      <c r="J317" s="108"/>
      <c r="K317" s="108"/>
      <c r="L317" s="108"/>
      <c r="M317" s="108"/>
      <c r="N317" s="108"/>
      <c r="O317" s="108"/>
      <c r="P317" s="108"/>
      <c r="Q317" s="108">
        <f>SUM(G317:P317)</f>
        <v>0</v>
      </c>
      <c r="R317" s="437"/>
    </row>
    <row r="318" spans="1:18" ht="17.100000000000001" hidden="1" customHeight="1" x14ac:dyDescent="0.25">
      <c r="A318" s="156"/>
      <c r="B318" s="156"/>
      <c r="C318" s="566" t="s">
        <v>535</v>
      </c>
      <c r="D318" s="554" t="s">
        <v>541</v>
      </c>
      <c r="E318" s="410"/>
      <c r="F318" s="410">
        <v>155430</v>
      </c>
      <c r="G318" s="108"/>
      <c r="H318" s="108"/>
      <c r="I318" s="108"/>
      <c r="J318" s="108"/>
      <c r="K318" s="108"/>
      <c r="L318" s="108"/>
      <c r="M318" s="108"/>
      <c r="N318" s="108"/>
      <c r="O318" s="108"/>
      <c r="P318" s="108"/>
      <c r="Q318" s="108">
        <f>SUM(G318:P318)</f>
        <v>0</v>
      </c>
      <c r="R318" s="437"/>
    </row>
    <row r="319" spans="1:18" ht="17.100000000000001" customHeight="1" x14ac:dyDescent="0.25">
      <c r="A319" s="156"/>
      <c r="B319" s="156"/>
      <c r="C319" s="566" t="s">
        <v>536</v>
      </c>
      <c r="D319" s="554" t="s">
        <v>890</v>
      </c>
      <c r="E319" s="410"/>
      <c r="F319" s="410">
        <v>155433</v>
      </c>
      <c r="G319" s="108"/>
      <c r="H319" s="108"/>
      <c r="I319" s="108"/>
      <c r="J319" s="108"/>
      <c r="K319" s="108"/>
      <c r="L319" s="108"/>
      <c r="M319" s="108">
        <v>-1000</v>
      </c>
      <c r="N319" s="108"/>
      <c r="O319" s="108"/>
      <c r="P319" s="108"/>
      <c r="Q319" s="108">
        <f t="shared" ref="Q319:Q336" si="28">SUM(G319:P319)</f>
        <v>-1000</v>
      </c>
      <c r="R319" s="437" t="s">
        <v>1154</v>
      </c>
    </row>
    <row r="320" spans="1:18" ht="17.100000000000001" hidden="1" customHeight="1" x14ac:dyDescent="0.25">
      <c r="A320" s="156"/>
      <c r="B320" s="156"/>
      <c r="C320" s="566" t="s">
        <v>537</v>
      </c>
      <c r="D320" s="571" t="s">
        <v>979</v>
      </c>
      <c r="E320" s="410"/>
      <c r="F320" s="410">
        <v>152450</v>
      </c>
      <c r="G320" s="108"/>
      <c r="H320" s="108"/>
      <c r="I320" s="108"/>
      <c r="J320" s="108"/>
      <c r="K320" s="108"/>
      <c r="L320" s="108"/>
      <c r="M320" s="108"/>
      <c r="N320" s="108"/>
      <c r="O320" s="108"/>
      <c r="P320" s="108"/>
      <c r="Q320" s="108">
        <f t="shared" si="28"/>
        <v>0</v>
      </c>
      <c r="R320" s="437"/>
    </row>
    <row r="321" spans="1:18" ht="17.100000000000001" hidden="1" customHeight="1" x14ac:dyDescent="0.25">
      <c r="A321" s="539"/>
      <c r="B321" s="539"/>
      <c r="C321" s="705" t="s">
        <v>1050</v>
      </c>
      <c r="D321" s="571" t="s">
        <v>1051</v>
      </c>
      <c r="E321" s="410"/>
      <c r="F321" s="410">
        <v>154447</v>
      </c>
      <c r="G321" s="537"/>
      <c r="H321" s="537"/>
      <c r="I321" s="537"/>
      <c r="J321" s="537"/>
      <c r="K321" s="537"/>
      <c r="L321" s="537"/>
      <c r="M321" s="537"/>
      <c r="N321" s="537"/>
      <c r="O321" s="537"/>
      <c r="P321" s="537"/>
      <c r="Q321" s="108">
        <f t="shared" si="28"/>
        <v>0</v>
      </c>
      <c r="R321" s="535"/>
    </row>
    <row r="322" spans="1:18" ht="17.100000000000001" customHeight="1" x14ac:dyDescent="0.25">
      <c r="A322" s="539"/>
      <c r="B322" s="539"/>
      <c r="C322" s="705" t="s">
        <v>1071</v>
      </c>
      <c r="D322" s="571" t="s">
        <v>1072</v>
      </c>
      <c r="E322" s="742"/>
      <c r="F322" s="742">
        <v>154448</v>
      </c>
      <c r="G322" s="537"/>
      <c r="H322" s="537"/>
      <c r="I322" s="537"/>
      <c r="J322" s="537"/>
      <c r="K322" s="537"/>
      <c r="L322" s="537"/>
      <c r="M322" s="537">
        <v>1807</v>
      </c>
      <c r="N322" s="537"/>
      <c r="O322" s="537"/>
      <c r="P322" s="537"/>
      <c r="Q322" s="108">
        <f t="shared" si="28"/>
        <v>1807</v>
      </c>
      <c r="R322" s="535" t="s">
        <v>1154</v>
      </c>
    </row>
    <row r="323" spans="1:18" ht="17.100000000000001" hidden="1" customHeight="1" x14ac:dyDescent="0.25">
      <c r="A323" s="539"/>
      <c r="B323" s="539"/>
      <c r="C323" s="705" t="s">
        <v>1079</v>
      </c>
      <c r="D323" s="571" t="s">
        <v>1080</v>
      </c>
      <c r="E323" s="742"/>
      <c r="F323" s="742">
        <v>152451</v>
      </c>
      <c r="G323" s="537"/>
      <c r="H323" s="537"/>
      <c r="I323" s="537"/>
      <c r="J323" s="537"/>
      <c r="K323" s="537"/>
      <c r="L323" s="537"/>
      <c r="M323" s="537"/>
      <c r="N323" s="537"/>
      <c r="O323" s="537"/>
      <c r="P323" s="537"/>
      <c r="Q323" s="108">
        <f t="shared" si="28"/>
        <v>0</v>
      </c>
      <c r="R323" s="535"/>
    </row>
    <row r="324" spans="1:18" ht="17.100000000000001" customHeight="1" x14ac:dyDescent="0.25">
      <c r="A324" s="539"/>
      <c r="B324" s="539"/>
      <c r="C324" s="705" t="s">
        <v>1099</v>
      </c>
      <c r="D324" s="571" t="s">
        <v>1100</v>
      </c>
      <c r="E324" s="742"/>
      <c r="F324" s="742">
        <v>164430</v>
      </c>
      <c r="G324" s="537"/>
      <c r="H324" s="537"/>
      <c r="I324" s="537"/>
      <c r="J324" s="537"/>
      <c r="K324" s="537"/>
      <c r="L324" s="537"/>
      <c r="M324" s="537">
        <v>2288</v>
      </c>
      <c r="N324" s="537"/>
      <c r="O324" s="537"/>
      <c r="P324" s="537"/>
      <c r="Q324" s="108">
        <f t="shared" si="28"/>
        <v>2288</v>
      </c>
      <c r="R324" s="535" t="s">
        <v>1154</v>
      </c>
    </row>
    <row r="325" spans="1:18" ht="17.100000000000001" hidden="1" customHeight="1" x14ac:dyDescent="0.25">
      <c r="A325" s="539"/>
      <c r="B325" s="539"/>
      <c r="C325" s="705" t="s">
        <v>1101</v>
      </c>
      <c r="D325" s="571" t="s">
        <v>1102</v>
      </c>
      <c r="E325" s="742"/>
      <c r="F325" s="742">
        <v>154438</v>
      </c>
      <c r="G325" s="537"/>
      <c r="H325" s="537"/>
      <c r="I325" s="537"/>
      <c r="J325" s="537"/>
      <c r="K325" s="537"/>
      <c r="L325" s="537"/>
      <c r="M325" s="537"/>
      <c r="N325" s="537"/>
      <c r="O325" s="537"/>
      <c r="P325" s="537"/>
      <c r="Q325" s="108">
        <f t="shared" si="28"/>
        <v>0</v>
      </c>
      <c r="R325" s="535"/>
    </row>
    <row r="326" spans="1:18" ht="17.100000000000001" hidden="1" customHeight="1" x14ac:dyDescent="0.25">
      <c r="A326" s="539"/>
      <c r="B326" s="539"/>
      <c r="C326" s="705" t="s">
        <v>1103</v>
      </c>
      <c r="D326" s="571" t="s">
        <v>1104</v>
      </c>
      <c r="E326" s="742"/>
      <c r="F326" s="742">
        <v>152455</v>
      </c>
      <c r="G326" s="537"/>
      <c r="H326" s="537"/>
      <c r="I326" s="537"/>
      <c r="J326" s="537"/>
      <c r="K326" s="537"/>
      <c r="L326" s="537"/>
      <c r="M326" s="537"/>
      <c r="N326" s="537"/>
      <c r="O326" s="537"/>
      <c r="P326" s="537"/>
      <c r="Q326" s="108">
        <f t="shared" si="28"/>
        <v>0</v>
      </c>
      <c r="R326" s="535"/>
    </row>
    <row r="327" spans="1:18" ht="17.100000000000001" hidden="1" customHeight="1" x14ac:dyDescent="0.25">
      <c r="A327" s="539"/>
      <c r="B327" s="539"/>
      <c r="C327" s="705" t="s">
        <v>1105</v>
      </c>
      <c r="D327" s="571" t="s">
        <v>1106</v>
      </c>
      <c r="E327" s="742"/>
      <c r="F327" s="742">
        <v>152456</v>
      </c>
      <c r="G327" s="537"/>
      <c r="H327" s="537"/>
      <c r="I327" s="537"/>
      <c r="J327" s="537"/>
      <c r="K327" s="537"/>
      <c r="L327" s="537"/>
      <c r="M327" s="537"/>
      <c r="N327" s="537"/>
      <c r="O327" s="537"/>
      <c r="P327" s="537"/>
      <c r="Q327" s="108">
        <f t="shared" si="28"/>
        <v>0</v>
      </c>
      <c r="R327" s="535"/>
    </row>
    <row r="328" spans="1:18" ht="17.100000000000001" hidden="1" customHeight="1" x14ac:dyDescent="0.25">
      <c r="A328" s="539"/>
      <c r="B328" s="539"/>
      <c r="C328" s="705" t="s">
        <v>1115</v>
      </c>
      <c r="D328" s="571" t="s">
        <v>1126</v>
      </c>
      <c r="E328" s="742"/>
      <c r="F328" s="742">
        <v>154453</v>
      </c>
      <c r="G328" s="537"/>
      <c r="H328" s="537"/>
      <c r="I328" s="537"/>
      <c r="J328" s="537"/>
      <c r="K328" s="537"/>
      <c r="L328" s="537"/>
      <c r="M328" s="537"/>
      <c r="N328" s="537"/>
      <c r="O328" s="537"/>
      <c r="P328" s="537"/>
      <c r="Q328" s="108">
        <f t="shared" si="28"/>
        <v>0</v>
      </c>
      <c r="R328" s="535"/>
    </row>
    <row r="329" spans="1:18" ht="17.100000000000001" customHeight="1" x14ac:dyDescent="0.25">
      <c r="A329" s="539"/>
      <c r="B329" s="539"/>
      <c r="C329" s="705" t="s">
        <v>1116</v>
      </c>
      <c r="D329" s="571" t="s">
        <v>1117</v>
      </c>
      <c r="E329" s="742"/>
      <c r="F329" s="742">
        <v>154454</v>
      </c>
      <c r="G329" s="537"/>
      <c r="H329" s="537"/>
      <c r="I329" s="537"/>
      <c r="J329" s="537"/>
      <c r="K329" s="537"/>
      <c r="L329" s="537"/>
      <c r="M329" s="537">
        <v>1532</v>
      </c>
      <c r="N329" s="537"/>
      <c r="O329" s="537"/>
      <c r="P329" s="537"/>
      <c r="Q329" s="108">
        <f t="shared" si="28"/>
        <v>1532</v>
      </c>
      <c r="R329" s="535" t="s">
        <v>1154</v>
      </c>
    </row>
    <row r="330" spans="1:18" ht="17.100000000000001" customHeight="1" x14ac:dyDescent="0.25">
      <c r="A330" s="539"/>
      <c r="B330" s="539"/>
      <c r="C330" s="705" t="s">
        <v>1118</v>
      </c>
      <c r="D330" s="571" t="s">
        <v>1119</v>
      </c>
      <c r="E330" s="742"/>
      <c r="F330" s="742">
        <v>154455</v>
      </c>
      <c r="G330" s="537"/>
      <c r="H330" s="537"/>
      <c r="I330" s="537"/>
      <c r="J330" s="537"/>
      <c r="K330" s="537"/>
      <c r="L330" s="537"/>
      <c r="M330" s="537">
        <v>6541</v>
      </c>
      <c r="N330" s="537"/>
      <c r="O330" s="537"/>
      <c r="P330" s="537"/>
      <c r="Q330" s="537">
        <f t="shared" si="28"/>
        <v>6541</v>
      </c>
      <c r="R330" s="535" t="s">
        <v>1154</v>
      </c>
    </row>
    <row r="331" spans="1:18" ht="22.5" customHeight="1" x14ac:dyDescent="0.25">
      <c r="A331" s="793"/>
      <c r="B331" s="793"/>
      <c r="C331" s="705" t="s">
        <v>1158</v>
      </c>
      <c r="D331" s="823" t="s">
        <v>1161</v>
      </c>
      <c r="E331" s="730"/>
      <c r="F331" s="730">
        <v>154457</v>
      </c>
      <c r="G331" s="736"/>
      <c r="H331" s="736"/>
      <c r="I331" s="736"/>
      <c r="J331" s="736"/>
      <c r="K331" s="736"/>
      <c r="L331" s="736"/>
      <c r="M331" s="736">
        <v>2583</v>
      </c>
      <c r="N331" s="736"/>
      <c r="O331" s="736"/>
      <c r="P331" s="736"/>
      <c r="Q331" s="537">
        <f t="shared" si="28"/>
        <v>2583</v>
      </c>
      <c r="R331" s="535" t="s">
        <v>1154</v>
      </c>
    </row>
    <row r="332" spans="1:18" ht="17.100000000000001" customHeight="1" x14ac:dyDescent="0.25">
      <c r="A332" s="793"/>
      <c r="B332" s="793"/>
      <c r="C332" s="705" t="s">
        <v>1159</v>
      </c>
      <c r="D332" s="822" t="s">
        <v>1162</v>
      </c>
      <c r="E332" s="730"/>
      <c r="F332" s="730">
        <v>154458</v>
      </c>
      <c r="G332" s="736"/>
      <c r="H332" s="736"/>
      <c r="I332" s="736"/>
      <c r="J332" s="736"/>
      <c r="K332" s="736"/>
      <c r="L332" s="736"/>
      <c r="M332" s="736">
        <v>4394</v>
      </c>
      <c r="N332" s="736"/>
      <c r="O332" s="736"/>
      <c r="P332" s="736"/>
      <c r="Q332" s="537">
        <f t="shared" si="28"/>
        <v>4394</v>
      </c>
      <c r="R332" s="535" t="s">
        <v>1154</v>
      </c>
    </row>
    <row r="333" spans="1:18" ht="17.100000000000001" customHeight="1" x14ac:dyDescent="0.25">
      <c r="A333" s="793"/>
      <c r="B333" s="793"/>
      <c r="C333" s="705" t="s">
        <v>1160</v>
      </c>
      <c r="D333" s="822" t="s">
        <v>1163</v>
      </c>
      <c r="E333" s="730"/>
      <c r="F333" s="730">
        <v>152457</v>
      </c>
      <c r="G333" s="736"/>
      <c r="H333" s="736"/>
      <c r="I333" s="736"/>
      <c r="J333" s="736"/>
      <c r="K333" s="736"/>
      <c r="L333" s="736">
        <v>648</v>
      </c>
      <c r="M333" s="736"/>
      <c r="N333" s="736"/>
      <c r="O333" s="736"/>
      <c r="P333" s="736"/>
      <c r="Q333" s="537">
        <f t="shared" si="28"/>
        <v>648</v>
      </c>
      <c r="R333" s="535" t="s">
        <v>1154</v>
      </c>
    </row>
    <row r="334" spans="1:18" ht="17.100000000000001" customHeight="1" x14ac:dyDescent="0.25">
      <c r="A334" s="793"/>
      <c r="B334" s="793"/>
      <c r="C334" s="705" t="s">
        <v>1166</v>
      </c>
      <c r="D334" s="822" t="s">
        <v>1167</v>
      </c>
      <c r="E334" s="730"/>
      <c r="F334" s="730">
        <v>154460</v>
      </c>
      <c r="G334" s="736"/>
      <c r="H334" s="736"/>
      <c r="I334" s="736"/>
      <c r="J334" s="736"/>
      <c r="K334" s="736"/>
      <c r="L334" s="736"/>
      <c r="M334" s="736">
        <v>5420</v>
      </c>
      <c r="N334" s="736"/>
      <c r="O334" s="736"/>
      <c r="P334" s="736"/>
      <c r="Q334" s="537">
        <f t="shared" si="28"/>
        <v>5420</v>
      </c>
      <c r="R334" s="535" t="s">
        <v>1154</v>
      </c>
    </row>
    <row r="335" spans="1:18" ht="17.100000000000001" hidden="1" customHeight="1" x14ac:dyDescent="0.25">
      <c r="A335" s="156"/>
      <c r="B335" s="156"/>
      <c r="C335" s="572"/>
      <c r="D335" s="528" t="s">
        <v>968</v>
      </c>
      <c r="E335" s="410"/>
      <c r="F335" s="537"/>
      <c r="G335" s="108"/>
      <c r="H335" s="108"/>
      <c r="I335" s="108"/>
      <c r="J335" s="108"/>
      <c r="K335" s="108"/>
      <c r="L335" s="108"/>
      <c r="M335" s="108"/>
      <c r="N335" s="108"/>
      <c r="O335" s="108"/>
      <c r="P335" s="108"/>
      <c r="Q335" s="108">
        <f t="shared" si="28"/>
        <v>0</v>
      </c>
      <c r="R335" s="437"/>
    </row>
    <row r="336" spans="1:18" ht="17.100000000000001" hidden="1" customHeight="1" x14ac:dyDescent="0.25">
      <c r="A336" s="156"/>
      <c r="B336" s="156"/>
      <c r="C336" s="555" t="s">
        <v>543</v>
      </c>
      <c r="D336" s="545" t="s">
        <v>544</v>
      </c>
      <c r="E336" s="410"/>
      <c r="F336" s="537">
        <v>155420</v>
      </c>
      <c r="G336" s="10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>
        <f t="shared" si="28"/>
        <v>0</v>
      </c>
      <c r="R336" s="437"/>
    </row>
    <row r="337" spans="1:18" ht="25.5" hidden="1" customHeight="1" x14ac:dyDescent="0.25">
      <c r="A337" s="156"/>
      <c r="B337" s="156"/>
      <c r="C337" s="555" t="s">
        <v>545</v>
      </c>
      <c r="D337" s="573" t="s">
        <v>552</v>
      </c>
      <c r="E337" s="410"/>
      <c r="F337" s="537">
        <v>152405</v>
      </c>
      <c r="G337" s="108"/>
      <c r="H337" s="108"/>
      <c r="I337" s="108"/>
      <c r="J337" s="108"/>
      <c r="K337" s="108"/>
      <c r="L337" s="108"/>
      <c r="M337" s="108"/>
      <c r="N337" s="108"/>
      <c r="O337" s="108"/>
      <c r="P337" s="108"/>
      <c r="Q337" s="108">
        <f t="shared" ref="Q337:Q360" si="29">SUM(G337:P337)</f>
        <v>0</v>
      </c>
      <c r="R337" s="437"/>
    </row>
    <row r="338" spans="1:18" ht="17.100000000000001" hidden="1" customHeight="1" x14ac:dyDescent="0.25">
      <c r="A338" s="156"/>
      <c r="B338" s="156"/>
      <c r="C338" s="555" t="s">
        <v>546</v>
      </c>
      <c r="D338" s="554" t="s">
        <v>539</v>
      </c>
      <c r="E338" s="410"/>
      <c r="F338" s="537">
        <v>155426</v>
      </c>
      <c r="G338" s="108"/>
      <c r="H338" s="108"/>
      <c r="I338" s="108"/>
      <c r="J338" s="108"/>
      <c r="K338" s="108"/>
      <c r="L338" s="108"/>
      <c r="M338" s="108"/>
      <c r="N338" s="108"/>
      <c r="O338" s="108"/>
      <c r="P338" s="108"/>
      <c r="Q338" s="108">
        <f t="shared" si="29"/>
        <v>0</v>
      </c>
      <c r="R338" s="437"/>
    </row>
    <row r="339" spans="1:18" ht="17.100000000000001" customHeight="1" x14ac:dyDescent="0.25">
      <c r="A339" s="397"/>
      <c r="B339" s="397"/>
      <c r="C339" s="555" t="s">
        <v>547</v>
      </c>
      <c r="D339" s="554" t="s">
        <v>542</v>
      </c>
      <c r="E339" s="410"/>
      <c r="F339" s="537">
        <v>155427</v>
      </c>
      <c r="G339" s="374"/>
      <c r="H339" s="374"/>
      <c r="I339" s="374"/>
      <c r="J339" s="374"/>
      <c r="K339" s="374"/>
      <c r="L339" s="374"/>
      <c r="M339" s="374">
        <v>961</v>
      </c>
      <c r="N339" s="374"/>
      <c r="O339" s="374"/>
      <c r="P339" s="374"/>
      <c r="Q339" s="108">
        <f t="shared" si="29"/>
        <v>961</v>
      </c>
      <c r="R339" s="437" t="s">
        <v>1154</v>
      </c>
    </row>
    <row r="340" spans="1:18" ht="17.100000000000001" hidden="1" customHeight="1" x14ac:dyDescent="0.25">
      <c r="A340" s="397"/>
      <c r="B340" s="397"/>
      <c r="C340" s="555" t="s">
        <v>548</v>
      </c>
      <c r="D340" s="554" t="s">
        <v>758</v>
      </c>
      <c r="E340" s="410"/>
      <c r="F340" s="410">
        <v>151422</v>
      </c>
      <c r="G340" s="374"/>
      <c r="H340" s="374"/>
      <c r="I340" s="374"/>
      <c r="J340" s="374"/>
      <c r="K340" s="374"/>
      <c r="L340" s="374"/>
      <c r="M340" s="374"/>
      <c r="N340" s="374"/>
      <c r="O340" s="374"/>
      <c r="P340" s="374"/>
      <c r="Q340" s="108">
        <f t="shared" si="29"/>
        <v>0</v>
      </c>
      <c r="R340" s="437"/>
    </row>
    <row r="341" spans="1:18" ht="17.100000000000001" hidden="1" customHeight="1" x14ac:dyDescent="0.25">
      <c r="A341" s="397"/>
      <c r="B341" s="397"/>
      <c r="C341" s="555" t="s">
        <v>549</v>
      </c>
      <c r="D341" s="574" t="s">
        <v>759</v>
      </c>
      <c r="E341" s="410"/>
      <c r="F341" s="537">
        <v>155436</v>
      </c>
      <c r="G341" s="374"/>
      <c r="H341" s="374"/>
      <c r="I341" s="374"/>
      <c r="J341" s="374"/>
      <c r="K341" s="374"/>
      <c r="L341" s="374"/>
      <c r="M341" s="374"/>
      <c r="N341" s="374"/>
      <c r="O341" s="374"/>
      <c r="P341" s="374"/>
      <c r="Q341" s="108">
        <f t="shared" si="29"/>
        <v>0</v>
      </c>
      <c r="R341" s="437"/>
    </row>
    <row r="342" spans="1:18" ht="17.100000000000001" hidden="1" customHeight="1" x14ac:dyDescent="0.25">
      <c r="A342" s="397"/>
      <c r="B342" s="397"/>
      <c r="C342" s="555" t="s">
        <v>550</v>
      </c>
      <c r="D342" s="568" t="s">
        <v>538</v>
      </c>
      <c r="E342" s="410"/>
      <c r="F342" s="410">
        <v>152420</v>
      </c>
      <c r="G342" s="374"/>
      <c r="H342" s="374"/>
      <c r="I342" s="374"/>
      <c r="J342" s="374"/>
      <c r="K342" s="374"/>
      <c r="L342" s="374"/>
      <c r="M342" s="374"/>
      <c r="N342" s="374"/>
      <c r="O342" s="374"/>
      <c r="P342" s="374"/>
      <c r="Q342" s="108">
        <f t="shared" si="29"/>
        <v>0</v>
      </c>
      <c r="R342" s="437"/>
    </row>
    <row r="343" spans="1:18" ht="17.100000000000001" hidden="1" customHeight="1" x14ac:dyDescent="0.25">
      <c r="A343" s="397"/>
      <c r="B343" s="397"/>
      <c r="C343" s="555" t="s">
        <v>551</v>
      </c>
      <c r="D343" s="568" t="s">
        <v>891</v>
      </c>
      <c r="E343" s="410"/>
      <c r="F343" s="410">
        <v>155403</v>
      </c>
      <c r="G343" s="374"/>
      <c r="H343" s="374"/>
      <c r="I343" s="374"/>
      <c r="J343" s="374"/>
      <c r="K343" s="374"/>
      <c r="L343" s="374"/>
      <c r="M343" s="374"/>
      <c r="N343" s="374"/>
      <c r="O343" s="374"/>
      <c r="P343" s="374"/>
      <c r="Q343" s="108">
        <f t="shared" si="29"/>
        <v>0</v>
      </c>
      <c r="R343" s="437"/>
    </row>
    <row r="344" spans="1:18" ht="17.100000000000001" hidden="1" customHeight="1" x14ac:dyDescent="0.25">
      <c r="A344" s="397"/>
      <c r="B344" s="397"/>
      <c r="C344" s="555" t="s">
        <v>761</v>
      </c>
      <c r="D344" s="575" t="s">
        <v>858</v>
      </c>
      <c r="E344" s="410"/>
      <c r="F344" s="410">
        <v>152442</v>
      </c>
      <c r="G344" s="374"/>
      <c r="H344" s="374"/>
      <c r="I344" s="374"/>
      <c r="J344" s="374"/>
      <c r="K344" s="374"/>
      <c r="L344" s="374"/>
      <c r="M344" s="374"/>
      <c r="N344" s="374"/>
      <c r="O344" s="374"/>
      <c r="P344" s="374"/>
      <c r="Q344" s="108">
        <f t="shared" si="29"/>
        <v>0</v>
      </c>
      <c r="R344" s="437"/>
    </row>
    <row r="345" spans="1:18" ht="17.100000000000001" hidden="1" customHeight="1" x14ac:dyDescent="0.25">
      <c r="A345" s="397"/>
      <c r="B345" s="397"/>
      <c r="C345" s="555" t="s">
        <v>762</v>
      </c>
      <c r="D345" s="576" t="s">
        <v>859</v>
      </c>
      <c r="E345" s="410"/>
      <c r="F345" s="410">
        <v>164411</v>
      </c>
      <c r="G345" s="374"/>
      <c r="H345" s="374"/>
      <c r="I345" s="374"/>
      <c r="J345" s="374"/>
      <c r="K345" s="374"/>
      <c r="L345" s="374"/>
      <c r="M345" s="374"/>
      <c r="N345" s="374"/>
      <c r="O345" s="374"/>
      <c r="P345" s="374"/>
      <c r="Q345" s="108">
        <f t="shared" si="29"/>
        <v>0</v>
      </c>
      <c r="R345" s="437"/>
    </row>
    <row r="346" spans="1:18" ht="17.100000000000001" hidden="1" customHeight="1" x14ac:dyDescent="0.25">
      <c r="A346" s="397"/>
      <c r="B346" s="397"/>
      <c r="C346" s="555" t="s">
        <v>763</v>
      </c>
      <c r="D346" s="577" t="s">
        <v>860</v>
      </c>
      <c r="E346" s="410"/>
      <c r="F346" s="410">
        <v>154459</v>
      </c>
      <c r="G346" s="374"/>
      <c r="H346" s="374"/>
      <c r="I346" s="374"/>
      <c r="J346" s="374"/>
      <c r="K346" s="374"/>
      <c r="L346" s="374"/>
      <c r="M346" s="374"/>
      <c r="N346" s="374"/>
      <c r="O346" s="374"/>
      <c r="P346" s="374"/>
      <c r="Q346" s="108">
        <f t="shared" si="29"/>
        <v>0</v>
      </c>
      <c r="R346" s="437"/>
    </row>
    <row r="347" spans="1:18" ht="17.100000000000001" hidden="1" customHeight="1" x14ac:dyDescent="0.25">
      <c r="A347" s="397"/>
      <c r="B347" s="397"/>
      <c r="C347" s="555" t="s">
        <v>764</v>
      </c>
      <c r="D347" s="568" t="s">
        <v>892</v>
      </c>
      <c r="E347" s="410"/>
      <c r="F347" s="410">
        <v>154446</v>
      </c>
      <c r="G347" s="374"/>
      <c r="H347" s="374"/>
      <c r="I347" s="374"/>
      <c r="J347" s="374"/>
      <c r="K347" s="374"/>
      <c r="L347" s="374"/>
      <c r="M347" s="374"/>
      <c r="N347" s="374"/>
      <c r="O347" s="374"/>
      <c r="P347" s="374"/>
      <c r="Q347" s="108">
        <f t="shared" si="29"/>
        <v>0</v>
      </c>
      <c r="R347" s="437"/>
    </row>
    <row r="348" spans="1:18" ht="17.100000000000001" hidden="1" customHeight="1" x14ac:dyDescent="0.25">
      <c r="A348" s="397"/>
      <c r="B348" s="397"/>
      <c r="C348" s="555" t="s">
        <v>765</v>
      </c>
      <c r="D348" s="567" t="s">
        <v>893</v>
      </c>
      <c r="E348" s="410"/>
      <c r="F348" s="410">
        <v>154413</v>
      </c>
      <c r="G348" s="374"/>
      <c r="H348" s="374"/>
      <c r="I348" s="374"/>
      <c r="J348" s="374"/>
      <c r="K348" s="374"/>
      <c r="L348" s="374"/>
      <c r="M348" s="374"/>
      <c r="N348" s="374"/>
      <c r="O348" s="374"/>
      <c r="P348" s="374"/>
      <c r="Q348" s="108">
        <f t="shared" si="29"/>
        <v>0</v>
      </c>
      <c r="R348" s="437"/>
    </row>
    <row r="349" spans="1:18" ht="17.100000000000001" hidden="1" customHeight="1" x14ac:dyDescent="0.25">
      <c r="A349" s="397"/>
      <c r="B349" s="397"/>
      <c r="C349" s="555" t="s">
        <v>766</v>
      </c>
      <c r="D349" s="567" t="s">
        <v>894</v>
      </c>
      <c r="E349" s="410"/>
      <c r="F349" s="410">
        <v>155484</v>
      </c>
      <c r="G349" s="374"/>
      <c r="H349" s="374"/>
      <c r="I349" s="374"/>
      <c r="J349" s="374"/>
      <c r="K349" s="374"/>
      <c r="L349" s="374"/>
      <c r="M349" s="374"/>
      <c r="N349" s="374"/>
      <c r="O349" s="374"/>
      <c r="P349" s="374"/>
      <c r="Q349" s="108">
        <f t="shared" si="29"/>
        <v>0</v>
      </c>
      <c r="R349" s="437"/>
    </row>
    <row r="350" spans="1:18" ht="17.100000000000001" hidden="1" customHeight="1" x14ac:dyDescent="0.25">
      <c r="A350" s="397"/>
      <c r="B350" s="397"/>
      <c r="C350" s="555" t="s">
        <v>767</v>
      </c>
      <c r="D350" s="578" t="s">
        <v>895</v>
      </c>
      <c r="E350" s="410"/>
      <c r="F350" s="410">
        <v>152438</v>
      </c>
      <c r="G350" s="374"/>
      <c r="H350" s="374"/>
      <c r="I350" s="374"/>
      <c r="J350" s="374"/>
      <c r="K350" s="374"/>
      <c r="L350" s="374"/>
      <c r="M350" s="374"/>
      <c r="N350" s="374"/>
      <c r="O350" s="374"/>
      <c r="P350" s="374"/>
      <c r="Q350" s="108">
        <f t="shared" si="29"/>
        <v>0</v>
      </c>
      <c r="R350" s="437"/>
    </row>
    <row r="351" spans="1:18" ht="17.100000000000001" hidden="1" customHeight="1" x14ac:dyDescent="0.25">
      <c r="A351" s="397"/>
      <c r="B351" s="397"/>
      <c r="C351" s="555" t="s">
        <v>768</v>
      </c>
      <c r="D351" s="574" t="s">
        <v>760</v>
      </c>
      <c r="E351" s="410"/>
      <c r="F351" s="537">
        <v>155451</v>
      </c>
      <c r="G351" s="374"/>
      <c r="H351" s="374"/>
      <c r="I351" s="374"/>
      <c r="J351" s="374"/>
      <c r="K351" s="374"/>
      <c r="L351" s="374"/>
      <c r="M351" s="374"/>
      <c r="N351" s="374"/>
      <c r="O351" s="374"/>
      <c r="P351" s="374"/>
      <c r="Q351" s="108">
        <f t="shared" si="29"/>
        <v>0</v>
      </c>
      <c r="R351" s="437"/>
    </row>
    <row r="352" spans="1:18" ht="17.100000000000001" hidden="1" customHeight="1" x14ac:dyDescent="0.25">
      <c r="A352" s="397"/>
      <c r="B352" s="397"/>
      <c r="C352" s="555" t="s">
        <v>769</v>
      </c>
      <c r="D352" s="545" t="s">
        <v>912</v>
      </c>
      <c r="E352" s="410"/>
      <c r="F352" s="410">
        <v>154440</v>
      </c>
      <c r="G352" s="374"/>
      <c r="H352" s="374"/>
      <c r="I352" s="374"/>
      <c r="J352" s="374"/>
      <c r="K352" s="374"/>
      <c r="L352" s="374"/>
      <c r="M352" s="374"/>
      <c r="N352" s="374"/>
      <c r="O352" s="374"/>
      <c r="P352" s="374"/>
      <c r="Q352" s="108">
        <f t="shared" si="29"/>
        <v>0</v>
      </c>
      <c r="R352" s="437"/>
    </row>
    <row r="353" spans="1:18" ht="23.4" hidden="1" customHeight="1" x14ac:dyDescent="0.25">
      <c r="A353" s="397"/>
      <c r="B353" s="397"/>
      <c r="C353" s="555" t="s">
        <v>857</v>
      </c>
      <c r="D353" s="568" t="s">
        <v>980</v>
      </c>
      <c r="E353" s="410"/>
      <c r="F353" s="410">
        <v>155471</v>
      </c>
      <c r="G353" s="374"/>
      <c r="H353" s="374"/>
      <c r="I353" s="374"/>
      <c r="J353" s="374"/>
      <c r="K353" s="374"/>
      <c r="L353" s="374"/>
      <c r="M353" s="374"/>
      <c r="N353" s="374"/>
      <c r="O353" s="374"/>
      <c r="P353" s="374"/>
      <c r="Q353" s="108">
        <f t="shared" si="29"/>
        <v>0</v>
      </c>
      <c r="R353" s="437"/>
    </row>
    <row r="354" spans="1:18" ht="17.100000000000001" hidden="1" customHeight="1" x14ac:dyDescent="0.25">
      <c r="A354" s="397"/>
      <c r="B354" s="812"/>
      <c r="C354" s="813" t="s">
        <v>80</v>
      </c>
      <c r="D354" s="304" t="s">
        <v>553</v>
      </c>
      <c r="E354" s="485"/>
      <c r="F354" s="543"/>
      <c r="G354" s="374"/>
      <c r="H354" s="374"/>
      <c r="I354" s="374"/>
      <c r="J354" s="374"/>
      <c r="K354" s="374"/>
      <c r="L354" s="374"/>
      <c r="M354" s="374"/>
      <c r="N354" s="374"/>
      <c r="O354" s="374"/>
      <c r="P354" s="374"/>
      <c r="Q354" s="108"/>
      <c r="R354" s="437"/>
    </row>
    <row r="355" spans="1:18" ht="17.100000000000001" hidden="1" customHeight="1" x14ac:dyDescent="0.25">
      <c r="A355" s="539"/>
      <c r="B355" s="539"/>
      <c r="C355" s="555" t="s">
        <v>1120</v>
      </c>
      <c r="D355" s="781" t="s">
        <v>1140</v>
      </c>
      <c r="E355" s="756"/>
      <c r="F355" s="537">
        <v>154519</v>
      </c>
      <c r="G355" s="537"/>
      <c r="H355" s="537"/>
      <c r="I355" s="537"/>
      <c r="J355" s="537"/>
      <c r="K355" s="537"/>
      <c r="L355" s="537"/>
      <c r="M355" s="537"/>
      <c r="N355" s="537"/>
      <c r="O355" s="537"/>
      <c r="P355" s="537"/>
      <c r="Q355" s="108">
        <f t="shared" si="29"/>
        <v>0</v>
      </c>
      <c r="R355" s="535"/>
    </row>
    <row r="356" spans="1:18" ht="17.100000000000001" hidden="1" customHeight="1" x14ac:dyDescent="0.25">
      <c r="A356" s="156"/>
      <c r="B356" s="156"/>
      <c r="C356" s="539"/>
      <c r="D356" s="528" t="s">
        <v>968</v>
      </c>
      <c r="E356" s="485"/>
      <c r="F356" s="543"/>
      <c r="G356" s="108"/>
      <c r="H356" s="108"/>
      <c r="I356" s="108"/>
      <c r="J356" s="108"/>
      <c r="K356" s="108"/>
      <c r="L356" s="108"/>
      <c r="M356" s="108"/>
      <c r="N356" s="108"/>
      <c r="O356" s="108"/>
      <c r="P356" s="108"/>
      <c r="Q356" s="108">
        <f t="shared" si="29"/>
        <v>0</v>
      </c>
      <c r="R356" s="437"/>
    </row>
    <row r="357" spans="1:18" ht="17.100000000000001" hidden="1" customHeight="1" x14ac:dyDescent="0.25">
      <c r="A357" s="156"/>
      <c r="B357" s="156"/>
      <c r="C357" s="184" t="s">
        <v>554</v>
      </c>
      <c r="D357" s="545" t="s">
        <v>555</v>
      </c>
      <c r="E357" s="581"/>
      <c r="F357" s="537">
        <v>152562</v>
      </c>
      <c r="G357" s="108"/>
      <c r="H357" s="108"/>
      <c r="I357" s="108"/>
      <c r="J357" s="108"/>
      <c r="K357" s="108"/>
      <c r="L357" s="108"/>
      <c r="M357" s="108"/>
      <c r="N357" s="108"/>
      <c r="O357" s="108"/>
      <c r="P357" s="108"/>
      <c r="Q357" s="108">
        <f t="shared" si="29"/>
        <v>0</v>
      </c>
      <c r="R357" s="437"/>
    </row>
    <row r="358" spans="1:18" ht="17.100000000000001" hidden="1" customHeight="1" x14ac:dyDescent="0.25">
      <c r="A358" s="397"/>
      <c r="B358" s="397"/>
      <c r="C358" s="582" t="s">
        <v>81</v>
      </c>
      <c r="D358" s="580" t="s">
        <v>556</v>
      </c>
      <c r="E358" s="485"/>
      <c r="F358" s="543"/>
      <c r="G358" s="374"/>
      <c r="H358" s="374"/>
      <c r="I358" s="374"/>
      <c r="J358" s="374"/>
      <c r="K358" s="374"/>
      <c r="L358" s="374"/>
      <c r="M358" s="374"/>
      <c r="N358" s="374"/>
      <c r="O358" s="374"/>
      <c r="P358" s="374"/>
      <c r="Q358" s="374">
        <f t="shared" si="29"/>
        <v>0</v>
      </c>
      <c r="R358" s="437"/>
    </row>
    <row r="359" spans="1:18" ht="17.100000000000001" customHeight="1" x14ac:dyDescent="0.25">
      <c r="A359" s="397"/>
      <c r="B359" s="397"/>
      <c r="C359" s="302" t="s">
        <v>82</v>
      </c>
      <c r="D359" s="305" t="s">
        <v>557</v>
      </c>
      <c r="E359" s="485"/>
      <c r="F359" s="543"/>
      <c r="G359" s="374"/>
      <c r="H359" s="374"/>
      <c r="I359" s="374"/>
      <c r="J359" s="374"/>
      <c r="K359" s="374"/>
      <c r="L359" s="374"/>
      <c r="M359" s="374"/>
      <c r="N359" s="374"/>
      <c r="O359" s="374"/>
      <c r="P359" s="374"/>
      <c r="Q359" s="374"/>
      <c r="R359" s="437"/>
    </row>
    <row r="360" spans="1:18" ht="17.100000000000001" customHeight="1" x14ac:dyDescent="0.25">
      <c r="A360" s="397"/>
      <c r="B360" s="397"/>
      <c r="C360" s="555" t="s">
        <v>770</v>
      </c>
      <c r="D360" s="583" t="s">
        <v>558</v>
      </c>
      <c r="E360" s="485"/>
      <c r="F360" s="537">
        <v>152801</v>
      </c>
      <c r="G360" s="374"/>
      <c r="H360" s="374"/>
      <c r="I360" s="374">
        <v>-158</v>
      </c>
      <c r="J360" s="374"/>
      <c r="K360" s="374"/>
      <c r="L360" s="374">
        <v>-3557</v>
      </c>
      <c r="M360" s="374"/>
      <c r="N360" s="374"/>
      <c r="O360" s="374"/>
      <c r="P360" s="374"/>
      <c r="Q360" s="374">
        <f t="shared" si="29"/>
        <v>-3715</v>
      </c>
      <c r="R360" s="437" t="s">
        <v>1154</v>
      </c>
    </row>
    <row r="361" spans="1:18" ht="17.100000000000001" customHeight="1" x14ac:dyDescent="0.25">
      <c r="A361" s="397"/>
      <c r="B361" s="397"/>
      <c r="C361" s="584" t="s">
        <v>83</v>
      </c>
      <c r="D361" s="585" t="s">
        <v>559</v>
      </c>
      <c r="E361" s="410"/>
      <c r="F361" s="537"/>
      <c r="G361" s="396"/>
      <c r="H361" s="396"/>
      <c r="I361" s="396"/>
      <c r="J361" s="396"/>
      <c r="K361" s="396"/>
      <c r="L361" s="396"/>
      <c r="M361" s="396"/>
      <c r="N361" s="396"/>
      <c r="O361" s="396"/>
      <c r="P361" s="396"/>
      <c r="Q361" s="374"/>
      <c r="R361" s="437"/>
    </row>
    <row r="362" spans="1:18" ht="17.100000000000001" hidden="1" customHeight="1" x14ac:dyDescent="0.25">
      <c r="A362" s="397"/>
      <c r="B362" s="397"/>
      <c r="C362" s="555" t="s">
        <v>560</v>
      </c>
      <c r="D362" s="291" t="s">
        <v>562</v>
      </c>
      <c r="E362" s="410"/>
      <c r="F362" s="537">
        <v>152947</v>
      </c>
      <c r="G362" s="108"/>
      <c r="H362" s="108"/>
      <c r="I362" s="108"/>
      <c r="J362" s="108"/>
      <c r="K362" s="108"/>
      <c r="L362" s="108"/>
      <c r="M362" s="108"/>
      <c r="N362" s="108"/>
      <c r="O362" s="108"/>
      <c r="P362" s="108"/>
      <c r="Q362" s="108">
        <f t="shared" ref="Q362:Q366" si="30">SUM(G362:P362)</f>
        <v>0</v>
      </c>
      <c r="R362" s="437"/>
    </row>
    <row r="363" spans="1:18" ht="17.100000000000001" hidden="1" customHeight="1" x14ac:dyDescent="0.25">
      <c r="A363" s="411"/>
      <c r="B363" s="411"/>
      <c r="C363" s="542"/>
      <c r="D363" s="528" t="s">
        <v>968</v>
      </c>
      <c r="E363" s="410"/>
      <c r="F363" s="537"/>
      <c r="G363" s="408"/>
      <c r="H363" s="408"/>
      <c r="I363" s="408"/>
      <c r="J363" s="408"/>
      <c r="K363" s="408"/>
      <c r="L363" s="408"/>
      <c r="M363" s="408"/>
      <c r="N363" s="408"/>
      <c r="O363" s="408"/>
      <c r="P363" s="408"/>
      <c r="Q363" s="108">
        <f t="shared" si="30"/>
        <v>0</v>
      </c>
      <c r="R363" s="437"/>
    </row>
    <row r="364" spans="1:18" ht="24.75" customHeight="1" x14ac:dyDescent="0.25">
      <c r="A364" s="411"/>
      <c r="B364" s="411"/>
      <c r="C364" s="544" t="s">
        <v>563</v>
      </c>
      <c r="D364" s="586" t="s">
        <v>771</v>
      </c>
      <c r="E364" s="410"/>
      <c r="F364" s="537">
        <v>152937</v>
      </c>
      <c r="G364" s="408"/>
      <c r="H364" s="408"/>
      <c r="I364" s="408">
        <v>1500</v>
      </c>
      <c r="J364" s="408"/>
      <c r="K364" s="408"/>
      <c r="L364" s="408">
        <v>-6353</v>
      </c>
      <c r="M364" s="408"/>
      <c r="N364" s="408"/>
      <c r="O364" s="408"/>
      <c r="P364" s="408"/>
      <c r="Q364" s="408">
        <f t="shared" si="30"/>
        <v>-4853</v>
      </c>
      <c r="R364" s="437" t="s">
        <v>1154</v>
      </c>
    </row>
    <row r="365" spans="1:18" ht="17.100000000000001" hidden="1" customHeight="1" x14ac:dyDescent="0.25">
      <c r="A365" s="411"/>
      <c r="B365" s="411"/>
      <c r="C365" s="544" t="s">
        <v>564</v>
      </c>
      <c r="D365" s="545" t="s">
        <v>566</v>
      </c>
      <c r="E365" s="410"/>
      <c r="F365" s="537">
        <v>152942</v>
      </c>
      <c r="G365" s="408"/>
      <c r="H365" s="408"/>
      <c r="I365" s="408"/>
      <c r="J365" s="408"/>
      <c r="K365" s="408"/>
      <c r="L365" s="408"/>
      <c r="M365" s="408"/>
      <c r="N365" s="408"/>
      <c r="O365" s="408"/>
      <c r="P365" s="408"/>
      <c r="Q365" s="408">
        <f t="shared" si="30"/>
        <v>0</v>
      </c>
      <c r="R365" s="437"/>
    </row>
    <row r="366" spans="1:18" ht="17.100000000000001" customHeight="1" x14ac:dyDescent="0.25">
      <c r="A366" s="466"/>
      <c r="B366" s="466"/>
      <c r="C366" s="544" t="s">
        <v>565</v>
      </c>
      <c r="D366" s="568" t="s">
        <v>861</v>
      </c>
      <c r="E366" s="410"/>
      <c r="F366" s="410">
        <v>152950</v>
      </c>
      <c r="G366" s="468"/>
      <c r="H366" s="468"/>
      <c r="I366" s="468"/>
      <c r="J366" s="468"/>
      <c r="K366" s="468"/>
      <c r="L366" s="468">
        <v>-2277</v>
      </c>
      <c r="M366" s="468"/>
      <c r="N366" s="468"/>
      <c r="O366" s="468"/>
      <c r="P366" s="468"/>
      <c r="Q366" s="408">
        <f t="shared" si="30"/>
        <v>-2277</v>
      </c>
      <c r="R366" s="470" t="s">
        <v>1154</v>
      </c>
    </row>
    <row r="367" spans="1:18" ht="20.25" customHeight="1" x14ac:dyDescent="0.25">
      <c r="A367" s="151"/>
      <c r="B367" s="151"/>
      <c r="C367" s="152"/>
      <c r="D367" s="862" t="s">
        <v>571</v>
      </c>
      <c r="E367" s="863"/>
      <c r="F367" s="155"/>
      <c r="G367" s="155">
        <f t="shared" ref="G367:Q367" si="31">SUM(G299:G366)</f>
        <v>1398</v>
      </c>
      <c r="H367" s="155">
        <f t="shared" si="31"/>
        <v>302</v>
      </c>
      <c r="I367" s="155">
        <f t="shared" si="31"/>
        <v>130740</v>
      </c>
      <c r="J367" s="155">
        <f t="shared" si="31"/>
        <v>0</v>
      </c>
      <c r="K367" s="155">
        <f t="shared" si="31"/>
        <v>3715</v>
      </c>
      <c r="L367" s="155">
        <f t="shared" si="31"/>
        <v>-8462</v>
      </c>
      <c r="M367" s="155">
        <f t="shared" si="31"/>
        <v>56861</v>
      </c>
      <c r="N367" s="155">
        <f t="shared" si="31"/>
        <v>0</v>
      </c>
      <c r="O367" s="155">
        <f t="shared" si="31"/>
        <v>0</v>
      </c>
      <c r="P367" s="155">
        <f t="shared" si="31"/>
        <v>0</v>
      </c>
      <c r="Q367" s="155">
        <f t="shared" si="31"/>
        <v>184554</v>
      </c>
      <c r="R367" s="438"/>
    </row>
    <row r="368" spans="1:18" ht="15" customHeight="1" x14ac:dyDescent="0.25">
      <c r="A368" s="129">
        <v>1</v>
      </c>
      <c r="B368" s="129">
        <v>16</v>
      </c>
      <c r="C368" s="145"/>
      <c r="D368" s="178" t="s">
        <v>572</v>
      </c>
      <c r="E368" s="157"/>
      <c r="F368" s="108"/>
      <c r="G368" s="108"/>
      <c r="H368" s="134"/>
      <c r="I368" s="134"/>
      <c r="J368" s="134"/>
      <c r="K368" s="134"/>
      <c r="L368" s="134"/>
      <c r="M368" s="108"/>
      <c r="N368" s="108"/>
      <c r="O368" s="108"/>
      <c r="P368" s="108"/>
      <c r="Q368" s="108"/>
      <c r="R368" s="437"/>
    </row>
    <row r="369" spans="1:18" ht="15" customHeight="1" x14ac:dyDescent="0.25">
      <c r="A369" s="129"/>
      <c r="B369" s="129"/>
      <c r="C369" s="145"/>
      <c r="D369" s="146" t="s">
        <v>215</v>
      </c>
      <c r="E369" s="157"/>
      <c r="F369" s="108"/>
      <c r="G369" s="108"/>
      <c r="H369" s="134"/>
      <c r="I369" s="134"/>
      <c r="J369" s="134"/>
      <c r="K369" s="134"/>
      <c r="L369" s="134"/>
      <c r="M369" s="108"/>
      <c r="N369" s="108"/>
      <c r="O369" s="108"/>
      <c r="P369" s="108"/>
      <c r="Q369" s="108"/>
      <c r="R369" s="437"/>
    </row>
    <row r="370" spans="1:18" ht="15" customHeight="1" x14ac:dyDescent="0.25">
      <c r="A370" s="129"/>
      <c r="B370" s="129"/>
      <c r="C370" s="145"/>
      <c r="D370" s="143" t="s">
        <v>573</v>
      </c>
      <c r="E370" s="108">
        <v>2</v>
      </c>
      <c r="F370" s="108">
        <v>161910</v>
      </c>
      <c r="G370" s="108"/>
      <c r="H370" s="108"/>
      <c r="I370" s="108">
        <v>-143</v>
      </c>
      <c r="J370" s="108"/>
      <c r="K370" s="108"/>
      <c r="L370" s="108">
        <v>143</v>
      </c>
      <c r="M370" s="108"/>
      <c r="N370" s="108"/>
      <c r="O370" s="108"/>
      <c r="P370" s="108"/>
      <c r="Q370" s="108">
        <f t="shared" ref="Q370:Q373" si="32">SUM(G370:P370)</f>
        <v>0</v>
      </c>
      <c r="R370" s="437" t="s">
        <v>1154</v>
      </c>
    </row>
    <row r="371" spans="1:18" ht="15" customHeight="1" x14ac:dyDescent="0.25">
      <c r="A371" s="129"/>
      <c r="B371" s="129"/>
      <c r="C371" s="145"/>
      <c r="D371" s="143" t="s">
        <v>574</v>
      </c>
      <c r="E371" s="108">
        <v>1</v>
      </c>
      <c r="F371" s="108">
        <v>161908</v>
      </c>
      <c r="G371" s="108"/>
      <c r="H371" s="108"/>
      <c r="I371" s="108">
        <v>-307</v>
      </c>
      <c r="J371" s="108"/>
      <c r="K371" s="108"/>
      <c r="L371" s="108"/>
      <c r="M371" s="108"/>
      <c r="N371" s="108">
        <v>1050</v>
      </c>
      <c r="O371" s="108"/>
      <c r="P371" s="108"/>
      <c r="Q371" s="108">
        <f t="shared" si="32"/>
        <v>743</v>
      </c>
      <c r="R371" s="437" t="s">
        <v>1154</v>
      </c>
    </row>
    <row r="372" spans="1:18" ht="21.6" customHeight="1" x14ac:dyDescent="0.25">
      <c r="A372" s="129"/>
      <c r="B372" s="129"/>
      <c r="C372" s="145"/>
      <c r="D372" s="150" t="s">
        <v>575</v>
      </c>
      <c r="E372" s="108">
        <v>2</v>
      </c>
      <c r="F372" s="108">
        <v>161911</v>
      </c>
      <c r="G372" s="108"/>
      <c r="H372" s="108"/>
      <c r="I372" s="108">
        <v>2367</v>
      </c>
      <c r="J372" s="108"/>
      <c r="K372" s="108"/>
      <c r="L372" s="108">
        <v>914</v>
      </c>
      <c r="M372" s="108"/>
      <c r="N372" s="108"/>
      <c r="O372" s="108"/>
      <c r="P372" s="108"/>
      <c r="Q372" s="108">
        <f t="shared" si="32"/>
        <v>3281</v>
      </c>
      <c r="R372" s="437" t="s">
        <v>1154</v>
      </c>
    </row>
    <row r="373" spans="1:18" ht="24" hidden="1" customHeight="1" x14ac:dyDescent="0.25">
      <c r="A373" s="129"/>
      <c r="B373" s="129"/>
      <c r="C373" s="145"/>
      <c r="D373" s="162" t="s">
        <v>576</v>
      </c>
      <c r="E373" s="108">
        <v>2</v>
      </c>
      <c r="F373" s="108">
        <v>161904</v>
      </c>
      <c r="G373" s="108"/>
      <c r="H373" s="108"/>
      <c r="I373" s="108"/>
      <c r="J373" s="108"/>
      <c r="K373" s="108"/>
      <c r="L373" s="108"/>
      <c r="M373" s="108"/>
      <c r="N373" s="108"/>
      <c r="O373" s="108"/>
      <c r="P373" s="108"/>
      <c r="Q373" s="108">
        <f t="shared" si="32"/>
        <v>0</v>
      </c>
      <c r="R373" s="437"/>
    </row>
    <row r="374" spans="1:18" ht="14.1" hidden="1" customHeight="1" x14ac:dyDescent="0.25">
      <c r="A374" s="129"/>
      <c r="B374" s="129"/>
      <c r="C374" s="145"/>
      <c r="D374" s="142" t="s">
        <v>229</v>
      </c>
      <c r="E374" s="186"/>
      <c r="F374" s="108"/>
      <c r="G374" s="108"/>
      <c r="H374" s="134"/>
      <c r="I374" s="134"/>
      <c r="J374" s="134"/>
      <c r="K374" s="134"/>
      <c r="L374" s="134"/>
      <c r="M374" s="108"/>
      <c r="N374" s="108"/>
      <c r="O374" s="108"/>
      <c r="P374" s="108"/>
      <c r="Q374" s="108"/>
      <c r="R374" s="437"/>
    </row>
    <row r="375" spans="1:18" ht="14.1" hidden="1" customHeight="1" x14ac:dyDescent="0.25">
      <c r="A375" s="129"/>
      <c r="B375" s="129"/>
      <c r="C375" s="145"/>
      <c r="D375" s="306" t="s">
        <v>577</v>
      </c>
      <c r="E375" s="108">
        <v>2</v>
      </c>
      <c r="F375" s="108">
        <v>151606</v>
      </c>
      <c r="G375" s="108"/>
      <c r="H375" s="108"/>
      <c r="I375" s="108"/>
      <c r="J375" s="108"/>
      <c r="K375" s="108"/>
      <c r="L375" s="108"/>
      <c r="M375" s="108"/>
      <c r="N375" s="108"/>
      <c r="O375" s="108"/>
      <c r="P375" s="108"/>
      <c r="Q375" s="108">
        <f>SUM(G375:P375)</f>
        <v>0</v>
      </c>
      <c r="R375" s="437"/>
    </row>
    <row r="376" spans="1:18" ht="16.5" customHeight="1" x14ac:dyDescent="0.25">
      <c r="A376" s="129"/>
      <c r="B376" s="129"/>
      <c r="C376" s="145"/>
      <c r="D376" s="142" t="s">
        <v>507</v>
      </c>
      <c r="E376" s="186"/>
      <c r="F376" s="108"/>
      <c r="G376" s="108"/>
      <c r="H376" s="134"/>
      <c r="I376" s="134"/>
      <c r="J376" s="134"/>
      <c r="K376" s="134"/>
      <c r="L376" s="134"/>
      <c r="M376" s="108"/>
      <c r="N376" s="108"/>
      <c r="O376" s="108"/>
      <c r="P376" s="108"/>
      <c r="Q376" s="108"/>
      <c r="R376" s="437"/>
    </row>
    <row r="377" spans="1:18" ht="21.75" customHeight="1" x14ac:dyDescent="0.25">
      <c r="A377" s="129"/>
      <c r="B377" s="129"/>
      <c r="C377" s="145"/>
      <c r="D377" s="162" t="s">
        <v>917</v>
      </c>
      <c r="E377" s="108">
        <v>2</v>
      </c>
      <c r="F377" s="108">
        <v>151203</v>
      </c>
      <c r="G377" s="108"/>
      <c r="H377" s="108"/>
      <c r="I377" s="108">
        <v>2133</v>
      </c>
      <c r="J377" s="108"/>
      <c r="K377" s="108"/>
      <c r="L377" s="108">
        <v>9959</v>
      </c>
      <c r="M377" s="108"/>
      <c r="N377" s="108"/>
      <c r="O377" s="108"/>
      <c r="P377" s="108"/>
      <c r="Q377" s="108">
        <f>SUM(G377:P377)</f>
        <v>12092</v>
      </c>
      <c r="R377" s="437" t="s">
        <v>1154</v>
      </c>
    </row>
    <row r="378" spans="1:18" ht="14.1" customHeight="1" x14ac:dyDescent="0.25">
      <c r="A378" s="187"/>
      <c r="B378" s="187"/>
      <c r="C378" s="188"/>
      <c r="D378" s="300" t="s">
        <v>578</v>
      </c>
      <c r="E378" s="180"/>
      <c r="F378" s="182"/>
      <c r="G378" s="182">
        <f t="shared" ref="G378:Q378" si="33">SUM(G370:G377)</f>
        <v>0</v>
      </c>
      <c r="H378" s="182">
        <f t="shared" si="33"/>
        <v>0</v>
      </c>
      <c r="I378" s="182">
        <f t="shared" si="33"/>
        <v>4050</v>
      </c>
      <c r="J378" s="182">
        <f t="shared" si="33"/>
        <v>0</v>
      </c>
      <c r="K378" s="182">
        <f t="shared" si="33"/>
        <v>0</v>
      </c>
      <c r="L378" s="182">
        <f t="shared" si="33"/>
        <v>11016</v>
      </c>
      <c r="M378" s="182">
        <f t="shared" si="33"/>
        <v>0</v>
      </c>
      <c r="N378" s="182">
        <f t="shared" si="33"/>
        <v>1050</v>
      </c>
      <c r="O378" s="182">
        <f t="shared" si="33"/>
        <v>0</v>
      </c>
      <c r="P378" s="182">
        <f t="shared" si="33"/>
        <v>0</v>
      </c>
      <c r="Q378" s="182">
        <f t="shared" si="33"/>
        <v>16116</v>
      </c>
      <c r="R378" s="438"/>
    </row>
    <row r="379" spans="1:18" ht="14.1" customHeight="1" x14ac:dyDescent="0.25">
      <c r="A379" s="129"/>
      <c r="B379" s="129"/>
      <c r="C379" s="145"/>
      <c r="D379" s="175" t="s">
        <v>579</v>
      </c>
      <c r="E379" s="157"/>
      <c r="F379" s="108"/>
      <c r="G379" s="134"/>
      <c r="H379" s="134"/>
      <c r="I379" s="134"/>
      <c r="J379" s="108"/>
      <c r="K379" s="108"/>
      <c r="L379" s="108"/>
      <c r="M379" s="108"/>
      <c r="N379" s="108"/>
      <c r="O379" s="108"/>
      <c r="P379" s="108"/>
      <c r="Q379" s="108"/>
      <c r="R379" s="437"/>
    </row>
    <row r="380" spans="1:18" ht="15.45" customHeight="1" x14ac:dyDescent="0.25">
      <c r="A380" s="129"/>
      <c r="B380" s="129"/>
      <c r="C380" s="307" t="s">
        <v>90</v>
      </c>
      <c r="D380" s="308" t="s">
        <v>519</v>
      </c>
      <c r="E380" s="157"/>
      <c r="F380" s="108"/>
      <c r="G380" s="134"/>
      <c r="H380" s="134"/>
      <c r="I380" s="134"/>
      <c r="J380" s="108"/>
      <c r="K380" s="108"/>
      <c r="L380" s="108"/>
      <c r="M380" s="108"/>
      <c r="N380" s="108"/>
      <c r="O380" s="108"/>
      <c r="P380" s="108"/>
      <c r="Q380" s="108"/>
      <c r="R380" s="437"/>
    </row>
    <row r="381" spans="1:18" ht="15.45" customHeight="1" x14ac:dyDescent="0.25">
      <c r="A381" s="129"/>
      <c r="B381" s="129"/>
      <c r="C381" s="587" t="s">
        <v>333</v>
      </c>
      <c r="D381" s="588" t="s">
        <v>580</v>
      </c>
      <c r="E381" s="410"/>
      <c r="F381" s="410">
        <v>164106</v>
      </c>
      <c r="G381" s="134"/>
      <c r="H381" s="134"/>
      <c r="I381" s="134"/>
      <c r="J381" s="134"/>
      <c r="K381" s="134"/>
      <c r="L381" s="134"/>
      <c r="M381" s="134">
        <v>-23033</v>
      </c>
      <c r="N381" s="134"/>
      <c r="O381" s="134"/>
      <c r="P381" s="134"/>
      <c r="Q381" s="108">
        <f>SUM(G381:P381)</f>
        <v>-23033</v>
      </c>
      <c r="R381" s="437" t="s">
        <v>1152</v>
      </c>
    </row>
    <row r="382" spans="1:18" ht="15.45" hidden="1" customHeight="1" x14ac:dyDescent="0.25">
      <c r="A382" s="129"/>
      <c r="B382" s="129"/>
      <c r="C382" s="587" t="s">
        <v>520</v>
      </c>
      <c r="D382" s="588" t="s">
        <v>772</v>
      </c>
      <c r="E382" s="410"/>
      <c r="F382" s="410">
        <v>161909</v>
      </c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08">
        <f>SUM(G382:P382)</f>
        <v>0</v>
      </c>
      <c r="R382" s="437"/>
    </row>
    <row r="383" spans="1:18" ht="15.45" hidden="1" customHeight="1" x14ac:dyDescent="0.25">
      <c r="A383" s="372"/>
      <c r="B383" s="372"/>
      <c r="C383" s="587" t="s">
        <v>521</v>
      </c>
      <c r="D383" s="588" t="s">
        <v>981</v>
      </c>
      <c r="E383" s="410"/>
      <c r="F383" s="410">
        <v>162170</v>
      </c>
      <c r="G383" s="396"/>
      <c r="H383" s="396"/>
      <c r="I383" s="396"/>
      <c r="J383" s="396"/>
      <c r="K383" s="396"/>
      <c r="L383" s="396"/>
      <c r="M383" s="396"/>
      <c r="N383" s="396"/>
      <c r="O383" s="396"/>
      <c r="P383" s="396"/>
      <c r="Q383" s="108">
        <f>SUM(G383:P383)</f>
        <v>0</v>
      </c>
      <c r="R383" s="437"/>
    </row>
    <row r="384" spans="1:18" ht="15.45" hidden="1" customHeight="1" x14ac:dyDescent="0.25">
      <c r="A384" s="372"/>
      <c r="B384" s="372"/>
      <c r="C384" s="544"/>
      <c r="D384" s="528" t="s">
        <v>968</v>
      </c>
      <c r="E384" s="410"/>
      <c r="F384" s="410"/>
      <c r="G384" s="396"/>
      <c r="H384" s="396"/>
      <c r="I384" s="396"/>
      <c r="J384" s="396"/>
      <c r="K384" s="396"/>
      <c r="L384" s="396"/>
      <c r="M384" s="396"/>
      <c r="N384" s="396"/>
      <c r="O384" s="396"/>
      <c r="P384" s="396"/>
      <c r="Q384" s="108">
        <f t="shared" ref="Q384:Q393" si="34">SUM(G384:P384)</f>
        <v>0</v>
      </c>
      <c r="R384" s="437"/>
    </row>
    <row r="385" spans="1:18" ht="15.45" hidden="1" customHeight="1" x14ac:dyDescent="0.25">
      <c r="A385" s="372"/>
      <c r="B385" s="372"/>
      <c r="C385" s="544" t="s">
        <v>335</v>
      </c>
      <c r="D385" s="541" t="s">
        <v>581</v>
      </c>
      <c r="E385" s="410"/>
      <c r="F385" s="410">
        <v>162107</v>
      </c>
      <c r="G385" s="396"/>
      <c r="H385" s="396"/>
      <c r="I385" s="396"/>
      <c r="J385" s="396"/>
      <c r="K385" s="396"/>
      <c r="L385" s="396"/>
      <c r="M385" s="396"/>
      <c r="N385" s="396"/>
      <c r="O385" s="396"/>
      <c r="P385" s="396"/>
      <c r="Q385" s="108">
        <f t="shared" si="34"/>
        <v>0</v>
      </c>
      <c r="R385" s="437"/>
    </row>
    <row r="386" spans="1:18" ht="22.2" customHeight="1" x14ac:dyDescent="0.25">
      <c r="A386" s="129"/>
      <c r="B386" s="129"/>
      <c r="C386" s="544" t="s">
        <v>337</v>
      </c>
      <c r="D386" s="545" t="s">
        <v>915</v>
      </c>
      <c r="E386" s="410"/>
      <c r="F386" s="410">
        <v>164207</v>
      </c>
      <c r="G386" s="134"/>
      <c r="H386" s="134"/>
      <c r="I386" s="134"/>
      <c r="J386" s="134"/>
      <c r="K386" s="134"/>
      <c r="L386" s="134"/>
      <c r="M386" s="134"/>
      <c r="N386" s="134">
        <v>23033</v>
      </c>
      <c r="O386" s="134"/>
      <c r="P386" s="134"/>
      <c r="Q386" s="108">
        <f t="shared" si="34"/>
        <v>23033</v>
      </c>
      <c r="R386" s="437" t="s">
        <v>1152</v>
      </c>
    </row>
    <row r="387" spans="1:18" ht="15.45" hidden="1" customHeight="1" x14ac:dyDescent="0.25">
      <c r="A387" s="129"/>
      <c r="B387" s="129"/>
      <c r="C387" s="544" t="s">
        <v>523</v>
      </c>
      <c r="D387" s="545" t="s">
        <v>904</v>
      </c>
      <c r="E387" s="410"/>
      <c r="F387" s="410">
        <v>162141</v>
      </c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08">
        <f t="shared" si="34"/>
        <v>0</v>
      </c>
      <c r="R387" s="437"/>
    </row>
    <row r="388" spans="1:18" ht="15.45" hidden="1" customHeight="1" x14ac:dyDescent="0.25">
      <c r="A388" s="129"/>
      <c r="B388" s="129"/>
      <c r="C388" s="544" t="s">
        <v>525</v>
      </c>
      <c r="D388" s="545" t="s">
        <v>905</v>
      </c>
      <c r="E388" s="410"/>
      <c r="F388" s="410">
        <v>162169</v>
      </c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08">
        <f t="shared" si="34"/>
        <v>0</v>
      </c>
      <c r="R388" s="437"/>
    </row>
    <row r="389" spans="1:18" ht="15.45" customHeight="1" x14ac:dyDescent="0.25">
      <c r="A389" s="129"/>
      <c r="B389" s="129"/>
      <c r="C389" s="580" t="s">
        <v>89</v>
      </c>
      <c r="D389" s="580" t="s">
        <v>528</v>
      </c>
      <c r="E389" s="410"/>
      <c r="F389" s="410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08"/>
      <c r="R389" s="437"/>
    </row>
    <row r="390" spans="1:18" ht="15.45" hidden="1" customHeight="1" x14ac:dyDescent="0.25">
      <c r="A390" s="129"/>
      <c r="B390" s="129"/>
      <c r="C390" s="587" t="s">
        <v>432</v>
      </c>
      <c r="D390" s="589" t="s">
        <v>582</v>
      </c>
      <c r="E390" s="410"/>
      <c r="F390" s="410">
        <v>164204</v>
      </c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08">
        <f t="shared" si="34"/>
        <v>0</v>
      </c>
      <c r="R390" s="437"/>
    </row>
    <row r="391" spans="1:18" ht="15.45" customHeight="1" x14ac:dyDescent="0.25">
      <c r="A391" s="511"/>
      <c r="B391" s="511"/>
      <c r="C391" s="587" t="s">
        <v>1061</v>
      </c>
      <c r="D391" s="589" t="s">
        <v>1062</v>
      </c>
      <c r="E391" s="729"/>
      <c r="F391" s="729">
        <v>162221</v>
      </c>
      <c r="G391" s="534"/>
      <c r="H391" s="534"/>
      <c r="I391" s="534"/>
      <c r="J391" s="534"/>
      <c r="K391" s="534"/>
      <c r="L391" s="534">
        <v>-11945</v>
      </c>
      <c r="M391" s="534">
        <v>14082</v>
      </c>
      <c r="N391" s="534"/>
      <c r="O391" s="534"/>
      <c r="P391" s="534"/>
      <c r="Q391" s="108">
        <f t="shared" si="34"/>
        <v>2137</v>
      </c>
      <c r="R391" s="535" t="s">
        <v>1154</v>
      </c>
    </row>
    <row r="392" spans="1:18" ht="15.45" hidden="1" customHeight="1" x14ac:dyDescent="0.25">
      <c r="A392" s="372"/>
      <c r="B392" s="372"/>
      <c r="C392" s="544"/>
      <c r="D392" s="528" t="s">
        <v>968</v>
      </c>
      <c r="E392" s="410"/>
      <c r="F392" s="410"/>
      <c r="G392" s="396"/>
      <c r="H392" s="396"/>
      <c r="I392" s="396"/>
      <c r="J392" s="396"/>
      <c r="K392" s="396"/>
      <c r="L392" s="396"/>
      <c r="M392" s="396"/>
      <c r="N392" s="396"/>
      <c r="O392" s="396"/>
      <c r="P392" s="396"/>
      <c r="Q392" s="108">
        <f t="shared" si="34"/>
        <v>0</v>
      </c>
      <c r="R392" s="437"/>
    </row>
    <row r="393" spans="1:18" ht="22.2" hidden="1" customHeight="1" x14ac:dyDescent="0.25">
      <c r="A393" s="129"/>
      <c r="B393" s="129"/>
      <c r="C393" s="544" t="s">
        <v>583</v>
      </c>
      <c r="D393" s="545" t="s">
        <v>584</v>
      </c>
      <c r="E393" s="410"/>
      <c r="F393" s="410">
        <v>164205</v>
      </c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08">
        <f t="shared" si="34"/>
        <v>0</v>
      </c>
      <c r="R393" s="437"/>
    </row>
    <row r="394" spans="1:18" ht="23.4" hidden="1" customHeight="1" x14ac:dyDescent="0.25">
      <c r="A394" s="129"/>
      <c r="B394" s="129"/>
      <c r="C394" s="544" t="s">
        <v>585</v>
      </c>
      <c r="D394" s="545" t="s">
        <v>586</v>
      </c>
      <c r="E394" s="410"/>
      <c r="F394" s="410">
        <v>164206</v>
      </c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08">
        <f>SUM(G394:P394)</f>
        <v>0</v>
      </c>
      <c r="R394" s="437"/>
    </row>
    <row r="395" spans="1:18" ht="15.45" hidden="1" customHeight="1" x14ac:dyDescent="0.25">
      <c r="A395" s="129"/>
      <c r="B395" s="129"/>
      <c r="C395" s="590" t="s">
        <v>91</v>
      </c>
      <c r="D395" s="580" t="s">
        <v>587</v>
      </c>
      <c r="E395" s="410"/>
      <c r="F395" s="410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08">
        <f>SUM(G395:P395)</f>
        <v>0</v>
      </c>
      <c r="R395" s="437"/>
    </row>
    <row r="396" spans="1:18" ht="15.45" hidden="1" customHeight="1" x14ac:dyDescent="0.25">
      <c r="A396" s="129"/>
      <c r="B396" s="129"/>
      <c r="C396" s="591" t="s">
        <v>433</v>
      </c>
      <c r="D396" s="571" t="s">
        <v>982</v>
      </c>
      <c r="E396" s="410"/>
      <c r="F396" s="410">
        <v>162309</v>
      </c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08">
        <f>SUM(G396:P396)</f>
        <v>0</v>
      </c>
      <c r="R396" s="437"/>
    </row>
    <row r="397" spans="1:18" ht="15.45" hidden="1" customHeight="1" x14ac:dyDescent="0.25">
      <c r="A397" s="129"/>
      <c r="B397" s="129"/>
      <c r="C397" s="592" t="s">
        <v>92</v>
      </c>
      <c r="D397" s="580" t="s">
        <v>588</v>
      </c>
      <c r="E397" s="410"/>
      <c r="F397" s="410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08">
        <f t="shared" ref="Q397:Q400" si="35">SUM(G397:P397)</f>
        <v>0</v>
      </c>
      <c r="R397" s="437"/>
    </row>
    <row r="398" spans="1:18" ht="15.45" hidden="1" customHeight="1" x14ac:dyDescent="0.25">
      <c r="A398" s="129"/>
      <c r="B398" s="189"/>
      <c r="C398" s="592"/>
      <c r="D398" s="528" t="s">
        <v>968</v>
      </c>
      <c r="E398" s="410"/>
      <c r="F398" s="410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08">
        <f t="shared" si="35"/>
        <v>0</v>
      </c>
      <c r="R398" s="437"/>
    </row>
    <row r="399" spans="1:18" ht="15.45" hidden="1" customHeight="1" x14ac:dyDescent="0.25">
      <c r="A399" s="129"/>
      <c r="B399" s="189"/>
      <c r="C399" s="592" t="s">
        <v>543</v>
      </c>
      <c r="D399" s="568" t="s">
        <v>731</v>
      </c>
      <c r="E399" s="410"/>
      <c r="F399" s="410">
        <v>162431</v>
      </c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08">
        <f t="shared" si="35"/>
        <v>0</v>
      </c>
      <c r="R399" s="437"/>
    </row>
    <row r="400" spans="1:18" ht="15.45" hidden="1" customHeight="1" x14ac:dyDescent="0.25">
      <c r="A400" s="129"/>
      <c r="B400" s="189"/>
      <c r="C400" s="592" t="s">
        <v>545</v>
      </c>
      <c r="D400" s="570" t="s">
        <v>903</v>
      </c>
      <c r="E400" s="410"/>
      <c r="F400" s="410">
        <v>162402</v>
      </c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08">
        <f t="shared" si="35"/>
        <v>0</v>
      </c>
      <c r="R400" s="437"/>
    </row>
    <row r="401" spans="1:18" ht="15.45" hidden="1" customHeight="1" x14ac:dyDescent="0.25">
      <c r="A401" s="129"/>
      <c r="B401" s="189"/>
      <c r="C401" s="592" t="s">
        <v>546</v>
      </c>
      <c r="D401" s="568" t="s">
        <v>906</v>
      </c>
      <c r="E401" s="26"/>
      <c r="F401" s="537">
        <v>164424</v>
      </c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08">
        <f t="shared" ref="Q401:Q422" si="36">SUM(G401:P401)</f>
        <v>0</v>
      </c>
      <c r="R401" s="437"/>
    </row>
    <row r="402" spans="1:18" ht="15.45" hidden="1" customHeight="1" x14ac:dyDescent="0.25">
      <c r="A402" s="129"/>
      <c r="B402" s="189"/>
      <c r="C402" s="593" t="s">
        <v>80</v>
      </c>
      <c r="D402" s="542" t="s">
        <v>553</v>
      </c>
      <c r="E402" s="410"/>
      <c r="F402" s="410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08">
        <f t="shared" si="36"/>
        <v>0</v>
      </c>
      <c r="R402" s="437"/>
    </row>
    <row r="403" spans="1:18" ht="15.45" customHeight="1" x14ac:dyDescent="0.25">
      <c r="A403" s="129"/>
      <c r="B403" s="189"/>
      <c r="C403" s="590" t="s">
        <v>79</v>
      </c>
      <c r="D403" s="580" t="s">
        <v>589</v>
      </c>
      <c r="E403" s="410"/>
      <c r="F403" s="410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08"/>
      <c r="R403" s="437"/>
    </row>
    <row r="404" spans="1:18" ht="15.45" hidden="1" customHeight="1" x14ac:dyDescent="0.25">
      <c r="A404" s="129"/>
      <c r="B404" s="189"/>
      <c r="C404" s="590"/>
      <c r="D404" s="528" t="s">
        <v>968</v>
      </c>
      <c r="E404" s="410"/>
      <c r="F404" s="410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08">
        <f t="shared" si="36"/>
        <v>0</v>
      </c>
      <c r="R404" s="437"/>
    </row>
    <row r="405" spans="1:18" ht="15.45" customHeight="1" x14ac:dyDescent="0.25">
      <c r="A405" s="129"/>
      <c r="B405" s="189"/>
      <c r="C405" s="591" t="s">
        <v>434</v>
      </c>
      <c r="D405" s="594" t="s">
        <v>590</v>
      </c>
      <c r="E405" s="410"/>
      <c r="F405" s="410">
        <v>162601</v>
      </c>
      <c r="G405" s="134"/>
      <c r="H405" s="134"/>
      <c r="I405" s="134"/>
      <c r="J405" s="134"/>
      <c r="K405" s="134"/>
      <c r="L405" s="134">
        <v>-1137</v>
      </c>
      <c r="M405" s="134"/>
      <c r="N405" s="134"/>
      <c r="O405" s="134"/>
      <c r="P405" s="134"/>
      <c r="Q405" s="108">
        <f t="shared" si="36"/>
        <v>-1137</v>
      </c>
      <c r="R405" s="437" t="s">
        <v>1154</v>
      </c>
    </row>
    <row r="406" spans="1:18" ht="21" customHeight="1" x14ac:dyDescent="0.25">
      <c r="A406" s="129"/>
      <c r="B406" s="189"/>
      <c r="C406" s="591" t="s">
        <v>435</v>
      </c>
      <c r="D406" s="595" t="s">
        <v>902</v>
      </c>
      <c r="E406" s="410"/>
      <c r="F406" s="410">
        <v>162636</v>
      </c>
      <c r="G406" s="134"/>
      <c r="H406" s="134"/>
      <c r="I406" s="134"/>
      <c r="J406" s="134"/>
      <c r="K406" s="134"/>
      <c r="L406" s="134">
        <v>8587</v>
      </c>
      <c r="M406" s="134">
        <v>1232</v>
      </c>
      <c r="N406" s="134"/>
      <c r="O406" s="134"/>
      <c r="P406" s="134"/>
      <c r="Q406" s="108">
        <f t="shared" si="36"/>
        <v>9819</v>
      </c>
      <c r="R406" s="437" t="s">
        <v>1154</v>
      </c>
    </row>
    <row r="407" spans="1:18" ht="15.45" hidden="1" customHeight="1" x14ac:dyDescent="0.25">
      <c r="A407" s="129"/>
      <c r="B407" s="189"/>
      <c r="C407" s="591" t="s">
        <v>436</v>
      </c>
      <c r="D407" s="594" t="s">
        <v>591</v>
      </c>
      <c r="E407" s="410"/>
      <c r="F407" s="410">
        <v>162637</v>
      </c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08">
        <f t="shared" si="36"/>
        <v>0</v>
      </c>
      <c r="R407" s="437"/>
    </row>
    <row r="408" spans="1:18" ht="15.45" hidden="1" customHeight="1" x14ac:dyDescent="0.25">
      <c r="A408" s="372"/>
      <c r="B408" s="404"/>
      <c r="C408" s="590" t="s">
        <v>81</v>
      </c>
      <c r="D408" s="596" t="s">
        <v>556</v>
      </c>
      <c r="E408" s="410"/>
      <c r="F408" s="410"/>
      <c r="G408" s="396"/>
      <c r="H408" s="396"/>
      <c r="I408" s="396"/>
      <c r="J408" s="396"/>
      <c r="K408" s="396"/>
      <c r="L408" s="396"/>
      <c r="M408" s="396"/>
      <c r="N408" s="396"/>
      <c r="O408" s="396"/>
      <c r="P408" s="396"/>
      <c r="Q408" s="374">
        <f t="shared" si="36"/>
        <v>0</v>
      </c>
      <c r="R408" s="437"/>
    </row>
    <row r="409" spans="1:18" ht="15.45" hidden="1" customHeight="1" x14ac:dyDescent="0.25">
      <c r="A409" s="372"/>
      <c r="B409" s="404"/>
      <c r="C409" s="582" t="s">
        <v>82</v>
      </c>
      <c r="D409" s="597" t="s">
        <v>557</v>
      </c>
      <c r="E409" s="410"/>
      <c r="F409" s="410"/>
      <c r="G409" s="374"/>
      <c r="H409" s="374"/>
      <c r="I409" s="374"/>
      <c r="J409" s="374"/>
      <c r="K409" s="374"/>
      <c r="L409" s="374"/>
      <c r="M409" s="374"/>
      <c r="N409" s="374"/>
      <c r="O409" s="374"/>
      <c r="P409" s="374"/>
      <c r="Q409" s="374">
        <f t="shared" si="36"/>
        <v>0</v>
      </c>
      <c r="R409" s="437"/>
    </row>
    <row r="410" spans="1:18" ht="15.45" customHeight="1" x14ac:dyDescent="0.25">
      <c r="A410" s="129"/>
      <c r="B410" s="129"/>
      <c r="C410" s="598" t="s">
        <v>83</v>
      </c>
      <c r="D410" s="597" t="s">
        <v>559</v>
      </c>
      <c r="E410" s="410"/>
      <c r="F410" s="410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374"/>
      <c r="R410" s="437"/>
    </row>
    <row r="411" spans="1:18" ht="15.45" hidden="1" customHeight="1" x14ac:dyDescent="0.25">
      <c r="A411" s="129"/>
      <c r="B411" s="129"/>
      <c r="C411" s="599" t="s">
        <v>560</v>
      </c>
      <c r="D411" s="600" t="s">
        <v>983</v>
      </c>
      <c r="E411" s="410"/>
      <c r="F411" s="410">
        <v>164427</v>
      </c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374">
        <f t="shared" si="36"/>
        <v>0</v>
      </c>
      <c r="R411" s="437"/>
    </row>
    <row r="412" spans="1:18" ht="15.45" hidden="1" customHeight="1" x14ac:dyDescent="0.25">
      <c r="A412" s="129"/>
      <c r="B412" s="129"/>
      <c r="C412" s="599" t="s">
        <v>561</v>
      </c>
      <c r="D412" s="600" t="s">
        <v>984</v>
      </c>
      <c r="E412" s="410"/>
      <c r="F412" s="410">
        <v>162982</v>
      </c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374">
        <f t="shared" si="36"/>
        <v>0</v>
      </c>
      <c r="R412" s="437"/>
    </row>
    <row r="413" spans="1:18" ht="15.45" hidden="1" customHeight="1" x14ac:dyDescent="0.25">
      <c r="A413" s="129"/>
      <c r="B413" s="129"/>
      <c r="C413" s="599" t="s">
        <v>592</v>
      </c>
      <c r="D413" s="600" t="s">
        <v>1076</v>
      </c>
      <c r="E413" s="410"/>
      <c r="F413" s="410">
        <v>162983</v>
      </c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374">
        <f t="shared" si="36"/>
        <v>0</v>
      </c>
      <c r="R413" s="437"/>
    </row>
    <row r="414" spans="1:18" ht="15.45" customHeight="1" x14ac:dyDescent="0.25">
      <c r="A414" s="511"/>
      <c r="B414" s="511"/>
      <c r="C414" s="599" t="s">
        <v>1063</v>
      </c>
      <c r="D414" s="731" t="s">
        <v>1064</v>
      </c>
      <c r="E414" s="730"/>
      <c r="F414" s="730">
        <v>164945</v>
      </c>
      <c r="G414" s="534"/>
      <c r="H414" s="534"/>
      <c r="I414" s="534"/>
      <c r="J414" s="534"/>
      <c r="K414" s="534"/>
      <c r="L414" s="534"/>
      <c r="M414" s="534">
        <v>17560</v>
      </c>
      <c r="N414" s="534"/>
      <c r="O414" s="534"/>
      <c r="P414" s="534"/>
      <c r="Q414" s="374">
        <f t="shared" si="36"/>
        <v>17560</v>
      </c>
      <c r="R414" s="437" t="s">
        <v>1152</v>
      </c>
    </row>
    <row r="415" spans="1:18" ht="15.45" hidden="1" customHeight="1" x14ac:dyDescent="0.25">
      <c r="A415" s="511"/>
      <c r="B415" s="511"/>
      <c r="C415" s="599" t="s">
        <v>1065</v>
      </c>
      <c r="D415" s="734" t="s">
        <v>1066</v>
      </c>
      <c r="E415" s="733"/>
      <c r="F415" s="733">
        <v>164946</v>
      </c>
      <c r="G415" s="534"/>
      <c r="H415" s="534"/>
      <c r="I415" s="534"/>
      <c r="J415" s="534"/>
      <c r="K415" s="534"/>
      <c r="L415" s="534"/>
      <c r="M415" s="534"/>
      <c r="N415" s="534"/>
      <c r="O415" s="534"/>
      <c r="P415" s="534"/>
      <c r="Q415" s="374">
        <f t="shared" si="36"/>
        <v>0</v>
      </c>
      <c r="R415" s="437"/>
    </row>
    <row r="416" spans="1:18" ht="15.45" hidden="1" customHeight="1" x14ac:dyDescent="0.25">
      <c r="A416" s="511"/>
      <c r="B416" s="511"/>
      <c r="C416" s="599" t="s">
        <v>1074</v>
      </c>
      <c r="D416" s="734" t="s">
        <v>1075</v>
      </c>
      <c r="E416" s="742"/>
      <c r="F416" s="742">
        <v>162984</v>
      </c>
      <c r="G416" s="534"/>
      <c r="H416" s="534"/>
      <c r="I416" s="534"/>
      <c r="J416" s="534"/>
      <c r="K416" s="534"/>
      <c r="L416" s="534"/>
      <c r="M416" s="534"/>
      <c r="N416" s="534"/>
      <c r="O416" s="534"/>
      <c r="P416" s="534"/>
      <c r="Q416" s="374">
        <f t="shared" si="36"/>
        <v>0</v>
      </c>
      <c r="R416" s="535"/>
    </row>
    <row r="417" spans="1:18" ht="15.45" hidden="1" customHeight="1" x14ac:dyDescent="0.25">
      <c r="A417" s="511"/>
      <c r="B417" s="511"/>
      <c r="C417" s="599" t="s">
        <v>1121</v>
      </c>
      <c r="D417" s="734" t="s">
        <v>1122</v>
      </c>
      <c r="E417" s="742"/>
      <c r="F417" s="742">
        <v>164947</v>
      </c>
      <c r="G417" s="534"/>
      <c r="H417" s="534"/>
      <c r="I417" s="534"/>
      <c r="J417" s="534"/>
      <c r="K417" s="534"/>
      <c r="L417" s="534"/>
      <c r="M417" s="534"/>
      <c r="N417" s="534"/>
      <c r="O417" s="534"/>
      <c r="P417" s="534"/>
      <c r="Q417" s="374">
        <f t="shared" si="36"/>
        <v>0</v>
      </c>
      <c r="R417" s="535"/>
    </row>
    <row r="418" spans="1:18" ht="15.45" hidden="1" customHeight="1" x14ac:dyDescent="0.25">
      <c r="A418" s="129"/>
      <c r="B418" s="129"/>
      <c r="C418" s="582"/>
      <c r="D418" s="601" t="s">
        <v>968</v>
      </c>
      <c r="E418" s="410"/>
      <c r="F418" s="410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374">
        <f t="shared" si="36"/>
        <v>0</v>
      </c>
      <c r="R418" s="437"/>
    </row>
    <row r="419" spans="1:18" ht="22.95" hidden="1" customHeight="1" x14ac:dyDescent="0.25">
      <c r="A419" s="129"/>
      <c r="B419" s="129"/>
      <c r="C419" s="511" t="s">
        <v>563</v>
      </c>
      <c r="D419" s="602" t="s">
        <v>773</v>
      </c>
      <c r="E419" s="410"/>
      <c r="F419" s="410">
        <v>174902</v>
      </c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374">
        <f t="shared" si="36"/>
        <v>0</v>
      </c>
      <c r="R419" s="437"/>
    </row>
    <row r="420" spans="1:18" ht="15.45" hidden="1" customHeight="1" x14ac:dyDescent="0.25">
      <c r="A420" s="129"/>
      <c r="B420" s="129"/>
      <c r="C420" s="511" t="s">
        <v>564</v>
      </c>
      <c r="D420" s="528" t="s">
        <v>882</v>
      </c>
      <c r="E420" s="410"/>
      <c r="F420" s="410">
        <v>162942</v>
      </c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374">
        <f t="shared" si="36"/>
        <v>0</v>
      </c>
      <c r="R420" s="437"/>
    </row>
    <row r="421" spans="1:18" ht="15.45" customHeight="1" x14ac:dyDescent="0.25">
      <c r="A421" s="129"/>
      <c r="B421" s="129"/>
      <c r="C421" s="511" t="s">
        <v>565</v>
      </c>
      <c r="D421" s="545" t="s">
        <v>1052</v>
      </c>
      <c r="E421" s="410"/>
      <c r="F421" s="410">
        <v>162903</v>
      </c>
      <c r="G421" s="134"/>
      <c r="H421" s="134"/>
      <c r="I421" s="134">
        <v>1439</v>
      </c>
      <c r="J421" s="134"/>
      <c r="K421" s="134"/>
      <c r="L421" s="134"/>
      <c r="M421" s="134">
        <v>57839</v>
      </c>
      <c r="N421" s="134"/>
      <c r="O421" s="134"/>
      <c r="P421" s="134"/>
      <c r="Q421" s="374">
        <f t="shared" si="36"/>
        <v>59278</v>
      </c>
      <c r="R421" s="437" t="s">
        <v>1155</v>
      </c>
    </row>
    <row r="422" spans="1:18" ht="21.6" hidden="1" customHeight="1" x14ac:dyDescent="0.25">
      <c r="A422" s="129"/>
      <c r="B422" s="129"/>
      <c r="C422" s="511" t="s">
        <v>567</v>
      </c>
      <c r="D422" s="568" t="s">
        <v>774</v>
      </c>
      <c r="E422" s="410"/>
      <c r="F422" s="410">
        <v>162967</v>
      </c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374">
        <f t="shared" si="36"/>
        <v>0</v>
      </c>
      <c r="R422" s="437"/>
    </row>
    <row r="423" spans="1:18" ht="15.45" hidden="1" customHeight="1" x14ac:dyDescent="0.25">
      <c r="A423" s="129"/>
      <c r="B423" s="129"/>
      <c r="C423" s="511" t="s">
        <v>568</v>
      </c>
      <c r="D423" s="568" t="s">
        <v>863</v>
      </c>
      <c r="E423" s="410"/>
      <c r="F423" s="410">
        <v>162976</v>
      </c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08">
        <f>SUM(G423:P423)</f>
        <v>0</v>
      </c>
      <c r="R423" s="437"/>
    </row>
    <row r="424" spans="1:18" ht="15.45" hidden="1" customHeight="1" x14ac:dyDescent="0.25">
      <c r="A424" s="129"/>
      <c r="B424" s="129"/>
      <c r="C424" s="511" t="s">
        <v>569</v>
      </c>
      <c r="D424" s="528" t="s">
        <v>898</v>
      </c>
      <c r="E424" s="603"/>
      <c r="F424" s="537">
        <v>164938</v>
      </c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08">
        <f>SUM(G424:P424)</f>
        <v>0</v>
      </c>
      <c r="R424" s="437"/>
    </row>
    <row r="425" spans="1:18" ht="15.45" hidden="1" customHeight="1" x14ac:dyDescent="0.25">
      <c r="A425" s="129"/>
      <c r="B425" s="129"/>
      <c r="C425" s="511" t="s">
        <v>570</v>
      </c>
      <c r="D425" s="26" t="s">
        <v>899</v>
      </c>
      <c r="E425" s="604"/>
      <c r="F425" s="537">
        <v>164940</v>
      </c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08">
        <f>SUM(G425:P425)</f>
        <v>0</v>
      </c>
      <c r="R425" s="437"/>
    </row>
    <row r="426" spans="1:18" ht="15.45" hidden="1" customHeight="1" x14ac:dyDescent="0.25">
      <c r="A426" s="129"/>
      <c r="B426" s="129"/>
      <c r="C426" s="511" t="s">
        <v>593</v>
      </c>
      <c r="D426" s="568" t="s">
        <v>900</v>
      </c>
      <c r="E426" s="605"/>
      <c r="F426" s="410">
        <v>162979</v>
      </c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08">
        <f>SUM(G426:P426)</f>
        <v>0</v>
      </c>
      <c r="R426" s="437"/>
    </row>
    <row r="427" spans="1:18" ht="15.45" customHeight="1" x14ac:dyDescent="0.25">
      <c r="A427" s="129"/>
      <c r="B427" s="129"/>
      <c r="C427" s="511" t="s">
        <v>862</v>
      </c>
      <c r="D427" s="606" t="s">
        <v>985</v>
      </c>
      <c r="E427" s="605"/>
      <c r="F427" s="410">
        <v>162981</v>
      </c>
      <c r="G427" s="134"/>
      <c r="H427" s="134"/>
      <c r="I427" s="134">
        <v>18241</v>
      </c>
      <c r="J427" s="134"/>
      <c r="K427" s="134"/>
      <c r="L427" s="134">
        <v>-23399</v>
      </c>
      <c r="M427" s="134"/>
      <c r="N427" s="134">
        <v>862</v>
      </c>
      <c r="O427" s="134"/>
      <c r="P427" s="134"/>
      <c r="Q427" s="108">
        <f t="shared" ref="Q427:Q431" si="37">SUM(G427:P427)</f>
        <v>-4296</v>
      </c>
      <c r="R427" s="437" t="s">
        <v>1154</v>
      </c>
    </row>
    <row r="428" spans="1:18" ht="15.45" customHeight="1" x14ac:dyDescent="0.25">
      <c r="A428" s="129"/>
      <c r="B428" s="129"/>
      <c r="C428" s="544" t="s">
        <v>21</v>
      </c>
      <c r="D428" s="607" t="s">
        <v>594</v>
      </c>
      <c r="E428" s="410"/>
      <c r="F428" s="410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08"/>
      <c r="R428" s="437"/>
    </row>
    <row r="429" spans="1:18" ht="15.45" customHeight="1" x14ac:dyDescent="0.25">
      <c r="A429" s="129"/>
      <c r="B429" s="129"/>
      <c r="C429" s="511" t="s">
        <v>595</v>
      </c>
      <c r="D429" s="608" t="s">
        <v>910</v>
      </c>
      <c r="E429" s="410"/>
      <c r="F429" s="410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08"/>
      <c r="R429" s="437"/>
    </row>
    <row r="430" spans="1:18" ht="15.45" customHeight="1" x14ac:dyDescent="0.25">
      <c r="A430" s="129"/>
      <c r="B430" s="129"/>
      <c r="C430" s="511"/>
      <c r="D430" s="601" t="s">
        <v>968</v>
      </c>
      <c r="E430" s="410"/>
      <c r="F430" s="410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08"/>
      <c r="R430" s="437"/>
    </row>
    <row r="431" spans="1:18" ht="48" customHeight="1" x14ac:dyDescent="0.25">
      <c r="A431" s="129"/>
      <c r="B431" s="129"/>
      <c r="C431" s="609" t="s">
        <v>883</v>
      </c>
      <c r="D431" s="610" t="s">
        <v>162</v>
      </c>
      <c r="E431" s="410"/>
      <c r="F431" s="410">
        <v>163607</v>
      </c>
      <c r="G431" s="134"/>
      <c r="H431" s="134"/>
      <c r="I431" s="134">
        <v>14082</v>
      </c>
      <c r="J431" s="134"/>
      <c r="K431" s="134"/>
      <c r="L431" s="134">
        <v>68128</v>
      </c>
      <c r="M431" s="134"/>
      <c r="N431" s="134"/>
      <c r="O431" s="134"/>
      <c r="P431" s="134"/>
      <c r="Q431" s="108">
        <f t="shared" si="37"/>
        <v>82210</v>
      </c>
      <c r="R431" s="437" t="s">
        <v>1155</v>
      </c>
    </row>
    <row r="432" spans="1:18" ht="24.6" customHeight="1" x14ac:dyDescent="0.25">
      <c r="A432" s="129"/>
      <c r="B432" s="129"/>
      <c r="C432" s="609" t="s">
        <v>884</v>
      </c>
      <c r="D432" s="610" t="s">
        <v>159</v>
      </c>
      <c r="E432" s="410"/>
      <c r="F432" s="410">
        <v>163608</v>
      </c>
      <c r="G432" s="134"/>
      <c r="H432" s="134"/>
      <c r="I432" s="134">
        <v>-2614</v>
      </c>
      <c r="J432" s="134"/>
      <c r="K432" s="134"/>
      <c r="L432" s="134">
        <v>-199</v>
      </c>
      <c r="M432" s="134"/>
      <c r="N432" s="134"/>
      <c r="O432" s="134"/>
      <c r="P432" s="134"/>
      <c r="Q432" s="108">
        <f t="shared" ref="Q432:Q441" si="38">SUM(G432:P432)</f>
        <v>-2813</v>
      </c>
      <c r="R432" s="437" t="s">
        <v>1154</v>
      </c>
    </row>
    <row r="433" spans="1:18" ht="22.5" hidden="1" customHeight="1" x14ac:dyDescent="0.25">
      <c r="A433" s="129"/>
      <c r="B433" s="129"/>
      <c r="C433" s="609" t="s">
        <v>596</v>
      </c>
      <c r="D433" s="610" t="s">
        <v>163</v>
      </c>
      <c r="E433" s="410"/>
      <c r="F433" s="410">
        <v>163609</v>
      </c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08">
        <f t="shared" si="38"/>
        <v>0</v>
      </c>
      <c r="R433" s="437"/>
    </row>
    <row r="434" spans="1:18" ht="27.6" hidden="1" customHeight="1" x14ac:dyDescent="0.25">
      <c r="A434" s="129"/>
      <c r="B434" s="129"/>
      <c r="C434" s="609" t="s">
        <v>597</v>
      </c>
      <c r="D434" s="611" t="s">
        <v>160</v>
      </c>
      <c r="E434" s="410"/>
      <c r="F434" s="410">
        <v>163611</v>
      </c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08">
        <f t="shared" si="38"/>
        <v>0</v>
      </c>
      <c r="R434" s="437"/>
    </row>
    <row r="435" spans="1:18" ht="24" hidden="1" customHeight="1" x14ac:dyDescent="0.25">
      <c r="A435" s="129"/>
      <c r="B435" s="129"/>
      <c r="C435" s="609" t="s">
        <v>598</v>
      </c>
      <c r="D435" s="612" t="s">
        <v>831</v>
      </c>
      <c r="E435" s="410"/>
      <c r="F435" s="410">
        <v>163652</v>
      </c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08">
        <f t="shared" si="38"/>
        <v>0</v>
      </c>
      <c r="R435" s="437"/>
    </row>
    <row r="436" spans="1:18" ht="25.95" customHeight="1" x14ac:dyDescent="0.25">
      <c r="A436" s="129"/>
      <c r="B436" s="129"/>
      <c r="C436" s="609" t="s">
        <v>599</v>
      </c>
      <c r="D436" s="512" t="s">
        <v>123</v>
      </c>
      <c r="E436" s="410"/>
      <c r="F436" s="410">
        <v>163612</v>
      </c>
      <c r="G436" s="134"/>
      <c r="H436" s="134"/>
      <c r="I436" s="134"/>
      <c r="J436" s="134"/>
      <c r="K436" s="134"/>
      <c r="L436" s="134">
        <v>-83675</v>
      </c>
      <c r="M436" s="134"/>
      <c r="N436" s="134"/>
      <c r="O436" s="134"/>
      <c r="P436" s="134"/>
      <c r="Q436" s="108">
        <f t="shared" si="38"/>
        <v>-83675</v>
      </c>
      <c r="R436" s="437" t="s">
        <v>1152</v>
      </c>
    </row>
    <row r="437" spans="1:18" ht="24" customHeight="1" x14ac:dyDescent="0.25">
      <c r="A437" s="372"/>
      <c r="B437" s="372"/>
      <c r="C437" s="609" t="s">
        <v>600</v>
      </c>
      <c r="D437" s="512" t="s">
        <v>604</v>
      </c>
      <c r="E437" s="410"/>
      <c r="F437" s="410">
        <v>163613</v>
      </c>
      <c r="G437" s="396"/>
      <c r="H437" s="396"/>
      <c r="I437" s="396"/>
      <c r="J437" s="396"/>
      <c r="K437" s="396"/>
      <c r="L437" s="396">
        <v>1380</v>
      </c>
      <c r="M437" s="396"/>
      <c r="N437" s="396"/>
      <c r="O437" s="396"/>
      <c r="P437" s="396"/>
      <c r="Q437" s="108">
        <f t="shared" si="38"/>
        <v>1380</v>
      </c>
      <c r="R437" s="437" t="s">
        <v>1154</v>
      </c>
    </row>
    <row r="438" spans="1:18" ht="39" hidden="1" customHeight="1" x14ac:dyDescent="0.25">
      <c r="A438" s="372"/>
      <c r="B438" s="372"/>
      <c r="C438" s="609" t="s">
        <v>601</v>
      </c>
      <c r="D438" s="512" t="s">
        <v>950</v>
      </c>
      <c r="E438" s="410"/>
      <c r="F438" s="410">
        <v>163615</v>
      </c>
      <c r="G438" s="396"/>
      <c r="H438" s="396"/>
      <c r="I438" s="396"/>
      <c r="J438" s="396"/>
      <c r="K438" s="396"/>
      <c r="L438" s="396"/>
      <c r="M438" s="396"/>
      <c r="N438" s="396"/>
      <c r="O438" s="396"/>
      <c r="P438" s="396"/>
      <c r="Q438" s="108">
        <f t="shared" si="38"/>
        <v>0</v>
      </c>
      <c r="R438" s="437"/>
    </row>
    <row r="439" spans="1:18" ht="22.5" hidden="1" customHeight="1" x14ac:dyDescent="0.25">
      <c r="A439" s="372"/>
      <c r="B439" s="372"/>
      <c r="C439" s="609" t="s">
        <v>602</v>
      </c>
      <c r="D439" s="512" t="s">
        <v>161</v>
      </c>
      <c r="E439" s="410"/>
      <c r="F439" s="410">
        <v>163616</v>
      </c>
      <c r="G439" s="396"/>
      <c r="H439" s="396"/>
      <c r="I439" s="396"/>
      <c r="J439" s="396"/>
      <c r="K439" s="396"/>
      <c r="L439" s="396"/>
      <c r="M439" s="396"/>
      <c r="N439" s="396"/>
      <c r="O439" s="396"/>
      <c r="P439" s="396"/>
      <c r="Q439" s="374">
        <f t="shared" si="38"/>
        <v>0</v>
      </c>
      <c r="R439" s="437"/>
    </row>
    <row r="440" spans="1:18" ht="24.75" customHeight="1" x14ac:dyDescent="0.25">
      <c r="A440" s="372"/>
      <c r="B440" s="372"/>
      <c r="C440" s="609" t="s">
        <v>603</v>
      </c>
      <c r="D440" s="546" t="s">
        <v>146</v>
      </c>
      <c r="E440" s="410"/>
      <c r="F440" s="410">
        <v>163625</v>
      </c>
      <c r="G440" s="396"/>
      <c r="H440" s="396"/>
      <c r="I440" s="396">
        <v>13000</v>
      </c>
      <c r="J440" s="396"/>
      <c r="K440" s="396"/>
      <c r="L440" s="396"/>
      <c r="M440" s="396"/>
      <c r="N440" s="396">
        <v>103735</v>
      </c>
      <c r="O440" s="396"/>
      <c r="P440" s="396"/>
      <c r="Q440" s="374">
        <f t="shared" si="38"/>
        <v>116735</v>
      </c>
      <c r="R440" s="437" t="s">
        <v>1152</v>
      </c>
    </row>
    <row r="441" spans="1:18" ht="22.5" hidden="1" customHeight="1" x14ac:dyDescent="0.25">
      <c r="A441" s="129"/>
      <c r="B441" s="129"/>
      <c r="C441" s="609" t="s">
        <v>885</v>
      </c>
      <c r="D441" s="613" t="s">
        <v>147</v>
      </c>
      <c r="E441" s="410"/>
      <c r="F441" s="410">
        <v>163626</v>
      </c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374">
        <f t="shared" si="38"/>
        <v>0</v>
      </c>
      <c r="R441" s="437"/>
    </row>
    <row r="442" spans="1:18" ht="15" hidden="1" customHeight="1" x14ac:dyDescent="0.25">
      <c r="A442" s="129"/>
      <c r="B442" s="129"/>
      <c r="C442" s="609" t="s">
        <v>605</v>
      </c>
      <c r="D442" s="614" t="s">
        <v>613</v>
      </c>
      <c r="E442" s="410"/>
      <c r="F442" s="410">
        <v>163629</v>
      </c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08">
        <f t="shared" ref="Q442:Q457" si="39">SUM(G442:P442)</f>
        <v>0</v>
      </c>
      <c r="R442" s="437"/>
    </row>
    <row r="443" spans="1:18" ht="22.5" hidden="1" customHeight="1" x14ac:dyDescent="0.25">
      <c r="A443" s="129"/>
      <c r="B443" s="129"/>
      <c r="C443" s="609" t="s">
        <v>886</v>
      </c>
      <c r="D443" s="612" t="s">
        <v>109</v>
      </c>
      <c r="E443" s="410"/>
      <c r="F443" s="410">
        <v>163633</v>
      </c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08">
        <f t="shared" si="39"/>
        <v>0</v>
      </c>
      <c r="R443" s="437"/>
    </row>
    <row r="444" spans="1:18" ht="23.4" customHeight="1" x14ac:dyDescent="0.25">
      <c r="A444" s="129"/>
      <c r="B444" s="129"/>
      <c r="C444" s="609" t="s">
        <v>606</v>
      </c>
      <c r="D444" s="613" t="s">
        <v>775</v>
      </c>
      <c r="E444" s="410"/>
      <c r="F444" s="410">
        <v>163637</v>
      </c>
      <c r="G444" s="134"/>
      <c r="H444" s="134"/>
      <c r="I444" s="134"/>
      <c r="J444" s="134"/>
      <c r="K444" s="134"/>
      <c r="L444" s="134">
        <v>5285</v>
      </c>
      <c r="M444" s="134"/>
      <c r="N444" s="134"/>
      <c r="O444" s="134"/>
      <c r="P444" s="134"/>
      <c r="Q444" s="108">
        <f t="shared" si="39"/>
        <v>5285</v>
      </c>
      <c r="R444" s="437" t="s">
        <v>1154</v>
      </c>
    </row>
    <row r="445" spans="1:18" ht="22.5" customHeight="1" x14ac:dyDescent="0.25">
      <c r="A445" s="129"/>
      <c r="B445" s="129"/>
      <c r="C445" s="609" t="s">
        <v>607</v>
      </c>
      <c r="D445" s="612" t="s">
        <v>40</v>
      </c>
      <c r="E445" s="410"/>
      <c r="F445" s="410">
        <v>163638</v>
      </c>
      <c r="G445" s="134">
        <v>-2818</v>
      </c>
      <c r="H445" s="134">
        <v>-453</v>
      </c>
      <c r="I445" s="134">
        <v>-495</v>
      </c>
      <c r="J445" s="134"/>
      <c r="K445" s="134"/>
      <c r="L445" s="134"/>
      <c r="M445" s="134"/>
      <c r="N445" s="134"/>
      <c r="O445" s="134"/>
      <c r="P445" s="134"/>
      <c r="Q445" s="108">
        <f t="shared" si="39"/>
        <v>-3766</v>
      </c>
      <c r="R445" s="437" t="s">
        <v>1154</v>
      </c>
    </row>
    <row r="446" spans="1:18" ht="22.5" hidden="1" customHeight="1" x14ac:dyDescent="0.25">
      <c r="A446" s="129"/>
      <c r="B446" s="129"/>
      <c r="C446" s="609" t="s">
        <v>608</v>
      </c>
      <c r="D446" s="612" t="s">
        <v>41</v>
      </c>
      <c r="E446" s="410"/>
      <c r="F446" s="410">
        <v>163639</v>
      </c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08">
        <f t="shared" si="39"/>
        <v>0</v>
      </c>
      <c r="R446" s="437"/>
    </row>
    <row r="447" spans="1:18" ht="22.5" customHeight="1" x14ac:dyDescent="0.25">
      <c r="A447" s="129"/>
      <c r="B447" s="129"/>
      <c r="C447" s="609" t="s">
        <v>609</v>
      </c>
      <c r="D447" s="612" t="s">
        <v>42</v>
      </c>
      <c r="E447" s="410"/>
      <c r="F447" s="410">
        <v>163640</v>
      </c>
      <c r="G447" s="134"/>
      <c r="H447" s="134"/>
      <c r="I447" s="134">
        <v>-1211</v>
      </c>
      <c r="J447" s="134"/>
      <c r="K447" s="134"/>
      <c r="L447" s="134"/>
      <c r="M447" s="134"/>
      <c r="N447" s="134"/>
      <c r="O447" s="134"/>
      <c r="P447" s="134"/>
      <c r="Q447" s="108">
        <f t="shared" si="39"/>
        <v>-1211</v>
      </c>
      <c r="R447" s="437" t="s">
        <v>1154</v>
      </c>
    </row>
    <row r="448" spans="1:18" ht="22.5" hidden="1" customHeight="1" x14ac:dyDescent="0.25">
      <c r="A448" s="129"/>
      <c r="B448" s="129"/>
      <c r="C448" s="609" t="s">
        <v>610</v>
      </c>
      <c r="D448" s="615" t="s">
        <v>776</v>
      </c>
      <c r="E448" s="410"/>
      <c r="F448" s="410">
        <v>163648</v>
      </c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08">
        <f t="shared" si="39"/>
        <v>0</v>
      </c>
      <c r="R448" s="437"/>
    </row>
    <row r="449" spans="1:18" ht="22.5" hidden="1" customHeight="1" x14ac:dyDescent="0.25">
      <c r="A449" s="129"/>
      <c r="B449" s="129"/>
      <c r="C449" s="616" t="s">
        <v>611</v>
      </c>
      <c r="D449" s="513" t="s">
        <v>919</v>
      </c>
      <c r="E449" s="410"/>
      <c r="F449" s="410">
        <v>163657</v>
      </c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08">
        <f t="shared" si="39"/>
        <v>0</v>
      </c>
      <c r="R449" s="437"/>
    </row>
    <row r="450" spans="1:18" ht="15" hidden="1" customHeight="1" x14ac:dyDescent="0.25">
      <c r="A450" s="129"/>
      <c r="B450" s="129"/>
      <c r="C450" s="609" t="s">
        <v>612</v>
      </c>
      <c r="D450" s="617" t="s">
        <v>986</v>
      </c>
      <c r="E450" s="410"/>
      <c r="F450" s="410">
        <v>163658</v>
      </c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08">
        <f t="shared" si="39"/>
        <v>0</v>
      </c>
      <c r="R450" s="437"/>
    </row>
    <row r="451" spans="1:18" ht="21.75" hidden="1" customHeight="1" x14ac:dyDescent="0.25">
      <c r="A451" s="129"/>
      <c r="B451" s="129"/>
      <c r="C451" s="609" t="s">
        <v>614</v>
      </c>
      <c r="D451" s="617" t="s">
        <v>987</v>
      </c>
      <c r="E451" s="410"/>
      <c r="F451" s="410">
        <v>163662</v>
      </c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08">
        <f t="shared" si="39"/>
        <v>0</v>
      </c>
      <c r="R451" s="437"/>
    </row>
    <row r="452" spans="1:18" ht="16.95" customHeight="1" x14ac:dyDescent="0.25">
      <c r="A452" s="129"/>
      <c r="B452" s="129"/>
      <c r="C452" s="618" t="s">
        <v>988</v>
      </c>
      <c r="D452" s="619" t="s">
        <v>616</v>
      </c>
      <c r="E452" s="410"/>
      <c r="F452" s="410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08"/>
      <c r="R452" s="437"/>
    </row>
    <row r="453" spans="1:18" ht="15" customHeight="1" x14ac:dyDescent="0.25">
      <c r="A453" s="129"/>
      <c r="B453" s="129"/>
      <c r="C453" s="609"/>
      <c r="D453" s="528" t="s">
        <v>968</v>
      </c>
      <c r="E453" s="410"/>
      <c r="F453" s="410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08"/>
      <c r="R453" s="437"/>
    </row>
    <row r="454" spans="1:18" ht="24.6" hidden="1" customHeight="1" x14ac:dyDescent="0.25">
      <c r="A454" s="129"/>
      <c r="B454" s="129"/>
      <c r="C454" s="609" t="s">
        <v>989</v>
      </c>
      <c r="D454" s="613" t="s">
        <v>618</v>
      </c>
      <c r="E454" s="410"/>
      <c r="F454" s="410">
        <v>163621</v>
      </c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08">
        <f t="shared" si="39"/>
        <v>0</v>
      </c>
      <c r="R454" s="437"/>
    </row>
    <row r="455" spans="1:18" ht="25.5" customHeight="1" x14ac:dyDescent="0.25">
      <c r="A455" s="129"/>
      <c r="B455" s="129"/>
      <c r="C455" s="609" t="s">
        <v>990</v>
      </c>
      <c r="D455" s="613" t="s">
        <v>621</v>
      </c>
      <c r="E455" s="410"/>
      <c r="F455" s="410">
        <v>163702</v>
      </c>
      <c r="G455" s="134"/>
      <c r="H455" s="134"/>
      <c r="I455" s="134">
        <v>32807</v>
      </c>
      <c r="J455" s="134"/>
      <c r="K455" s="134"/>
      <c r="L455" s="134">
        <v>-177259</v>
      </c>
      <c r="M455" s="134">
        <v>65917</v>
      </c>
      <c r="N455" s="134">
        <v>130000</v>
      </c>
      <c r="O455" s="134"/>
      <c r="P455" s="134"/>
      <c r="Q455" s="108">
        <f t="shared" si="39"/>
        <v>51465</v>
      </c>
      <c r="R455" s="437"/>
    </row>
    <row r="456" spans="1:18" ht="21.75" hidden="1" customHeight="1" x14ac:dyDescent="0.25">
      <c r="A456" s="409"/>
      <c r="B456" s="409"/>
      <c r="C456" s="609" t="s">
        <v>991</v>
      </c>
      <c r="D456" s="613" t="s">
        <v>624</v>
      </c>
      <c r="E456" s="410"/>
      <c r="F456" s="410">
        <v>163641</v>
      </c>
      <c r="G456" s="413"/>
      <c r="H456" s="413"/>
      <c r="I456" s="413"/>
      <c r="J456" s="413"/>
      <c r="K456" s="413"/>
      <c r="L456" s="413"/>
      <c r="M456" s="413"/>
      <c r="N456" s="413"/>
      <c r="O456" s="413"/>
      <c r="P456" s="413"/>
      <c r="Q456" s="108">
        <f t="shared" si="39"/>
        <v>0</v>
      </c>
      <c r="R456" s="437"/>
    </row>
    <row r="457" spans="1:18" ht="24" customHeight="1" x14ac:dyDescent="0.25">
      <c r="A457" s="129"/>
      <c r="B457" s="129"/>
      <c r="C457" s="609" t="s">
        <v>992</v>
      </c>
      <c r="D457" s="512" t="s">
        <v>626</v>
      </c>
      <c r="E457" s="410"/>
      <c r="F457" s="410">
        <v>163644</v>
      </c>
      <c r="G457" s="134"/>
      <c r="H457" s="134"/>
      <c r="I457" s="134">
        <v>12759</v>
      </c>
      <c r="J457" s="134"/>
      <c r="K457" s="134"/>
      <c r="L457" s="134">
        <v>-176884</v>
      </c>
      <c r="M457" s="134"/>
      <c r="N457" s="134">
        <v>185466</v>
      </c>
      <c r="O457" s="134"/>
      <c r="P457" s="134"/>
      <c r="Q457" s="108">
        <f t="shared" si="39"/>
        <v>21341</v>
      </c>
      <c r="R457" s="437" t="s">
        <v>1152</v>
      </c>
    </row>
    <row r="458" spans="1:18" ht="24" customHeight="1" x14ac:dyDescent="0.25">
      <c r="A458" s="129"/>
      <c r="B458" s="129"/>
      <c r="C458" s="609" t="s">
        <v>993</v>
      </c>
      <c r="D458" s="612" t="s">
        <v>994</v>
      </c>
      <c r="E458" s="410"/>
      <c r="F458" s="410">
        <v>163650</v>
      </c>
      <c r="G458" s="134"/>
      <c r="H458" s="134"/>
      <c r="I458" s="134">
        <v>26122</v>
      </c>
      <c r="J458" s="134"/>
      <c r="K458" s="134"/>
      <c r="L458" s="134">
        <v>96747</v>
      </c>
      <c r="M458" s="134">
        <v>155785</v>
      </c>
      <c r="N458" s="134"/>
      <c r="O458" s="134"/>
      <c r="P458" s="134"/>
      <c r="Q458" s="108">
        <f t="shared" ref="Q458:Q478" si="40">SUM(G458:P458)</f>
        <v>278654</v>
      </c>
      <c r="R458" s="437" t="s">
        <v>1152</v>
      </c>
    </row>
    <row r="459" spans="1:18" ht="15" customHeight="1" x14ac:dyDescent="0.25">
      <c r="A459" s="129"/>
      <c r="B459" s="129"/>
      <c r="C459" s="618" t="s">
        <v>615</v>
      </c>
      <c r="D459" s="620" t="s">
        <v>628</v>
      </c>
      <c r="E459" s="410"/>
      <c r="F459" s="410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08"/>
      <c r="R459" s="437"/>
    </row>
    <row r="460" spans="1:18" ht="21.75" hidden="1" customHeight="1" x14ac:dyDescent="0.25">
      <c r="A460" s="511"/>
      <c r="B460" s="511"/>
      <c r="C460" s="609" t="s">
        <v>1043</v>
      </c>
      <c r="D460" s="545" t="s">
        <v>974</v>
      </c>
      <c r="E460" s="410"/>
      <c r="F460" s="537">
        <v>132937</v>
      </c>
      <c r="G460" s="534"/>
      <c r="H460" s="534"/>
      <c r="I460" s="534"/>
      <c r="J460" s="534"/>
      <c r="K460" s="534"/>
      <c r="L460" s="534"/>
      <c r="M460" s="534"/>
      <c r="N460" s="534"/>
      <c r="O460" s="534"/>
      <c r="P460" s="534"/>
      <c r="Q460" s="108">
        <f t="shared" si="40"/>
        <v>0</v>
      </c>
      <c r="R460" s="535"/>
    </row>
    <row r="461" spans="1:18" ht="21.75" hidden="1" customHeight="1" x14ac:dyDescent="0.25">
      <c r="A461" s="511"/>
      <c r="B461" s="511"/>
      <c r="C461" s="735" t="s">
        <v>1067</v>
      </c>
      <c r="D461" s="739" t="s">
        <v>1068</v>
      </c>
      <c r="E461" s="733"/>
      <c r="F461" s="733">
        <v>163663</v>
      </c>
      <c r="G461" s="534"/>
      <c r="H461" s="534"/>
      <c r="I461" s="534"/>
      <c r="J461" s="534"/>
      <c r="K461" s="534"/>
      <c r="L461" s="534"/>
      <c r="M461" s="534"/>
      <c r="N461" s="534"/>
      <c r="O461" s="534"/>
      <c r="P461" s="534"/>
      <c r="Q461" s="108">
        <f t="shared" si="40"/>
        <v>0</v>
      </c>
      <c r="R461" s="535"/>
    </row>
    <row r="462" spans="1:18" ht="21.75" customHeight="1" x14ac:dyDescent="0.25">
      <c r="A462" s="511"/>
      <c r="B462" s="511"/>
      <c r="C462" s="826" t="s">
        <v>1168</v>
      </c>
      <c r="D462" s="550" t="s">
        <v>1169</v>
      </c>
      <c r="E462" s="730"/>
      <c r="F462" s="730">
        <v>163664</v>
      </c>
      <c r="G462" s="534"/>
      <c r="H462" s="534"/>
      <c r="I462" s="534">
        <v>19335</v>
      </c>
      <c r="J462" s="534"/>
      <c r="K462" s="534"/>
      <c r="L462" s="534">
        <v>408927</v>
      </c>
      <c r="M462" s="534"/>
      <c r="N462" s="534"/>
      <c r="O462" s="534"/>
      <c r="P462" s="534"/>
      <c r="Q462" s="108">
        <f t="shared" si="40"/>
        <v>428262</v>
      </c>
      <c r="R462" s="535" t="s">
        <v>1152</v>
      </c>
    </row>
    <row r="463" spans="1:18" ht="15" hidden="1" customHeight="1" x14ac:dyDescent="0.25">
      <c r="A463" s="129"/>
      <c r="B463" s="129"/>
      <c r="C463" s="618"/>
      <c r="D463" s="528" t="s">
        <v>968</v>
      </c>
      <c r="E463" s="410"/>
      <c r="F463" s="410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08"/>
      <c r="R463" s="437"/>
    </row>
    <row r="464" spans="1:18" ht="35.4" hidden="1" customHeight="1" x14ac:dyDescent="0.25">
      <c r="A464" s="129"/>
      <c r="B464" s="129"/>
      <c r="C464" s="609" t="s">
        <v>617</v>
      </c>
      <c r="D464" s="621" t="s">
        <v>995</v>
      </c>
      <c r="E464" s="622"/>
      <c r="F464" s="623">
        <v>163654</v>
      </c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08">
        <f t="shared" si="40"/>
        <v>0</v>
      </c>
      <c r="R464" s="437"/>
    </row>
    <row r="465" spans="1:18" ht="38.4" hidden="1" customHeight="1" x14ac:dyDescent="0.25">
      <c r="A465" s="129"/>
      <c r="B465" s="129"/>
      <c r="C465" s="609" t="s">
        <v>619</v>
      </c>
      <c r="D465" s="613" t="s">
        <v>996</v>
      </c>
      <c r="E465" s="410"/>
      <c r="F465" s="410">
        <v>163659</v>
      </c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08">
        <f t="shared" si="40"/>
        <v>0</v>
      </c>
      <c r="R465" s="437"/>
    </row>
    <row r="466" spans="1:18" ht="37.200000000000003" customHeight="1" x14ac:dyDescent="0.25">
      <c r="A466" s="372"/>
      <c r="B466" s="372"/>
      <c r="C466" s="609" t="s">
        <v>620</v>
      </c>
      <c r="D466" s="613" t="s">
        <v>997</v>
      </c>
      <c r="E466" s="410"/>
      <c r="F466" s="410">
        <v>163661</v>
      </c>
      <c r="G466" s="134"/>
      <c r="H466" s="134"/>
      <c r="I466" s="134"/>
      <c r="J466" s="134"/>
      <c r="K466" s="134"/>
      <c r="L466" s="134">
        <v>-3778</v>
      </c>
      <c r="M466" s="134"/>
      <c r="N466" s="134"/>
      <c r="O466" s="134"/>
      <c r="P466" s="134"/>
      <c r="Q466" s="108">
        <f t="shared" si="40"/>
        <v>-3778</v>
      </c>
      <c r="R466" s="437" t="s">
        <v>1154</v>
      </c>
    </row>
    <row r="467" spans="1:18" ht="36" hidden="1" customHeight="1" x14ac:dyDescent="0.25">
      <c r="A467" s="129"/>
      <c r="B467" s="129"/>
      <c r="C467" s="609" t="s">
        <v>622</v>
      </c>
      <c r="D467" s="613" t="s">
        <v>631</v>
      </c>
      <c r="E467" s="410"/>
      <c r="F467" s="410">
        <v>163645</v>
      </c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08">
        <f t="shared" si="40"/>
        <v>0</v>
      </c>
      <c r="R467" s="437"/>
    </row>
    <row r="468" spans="1:18" ht="15.6" hidden="1" customHeight="1" x14ac:dyDescent="0.25">
      <c r="A468" s="129"/>
      <c r="B468" s="129"/>
      <c r="C468" s="609" t="s">
        <v>623</v>
      </c>
      <c r="D468" s="613" t="s">
        <v>195</v>
      </c>
      <c r="E468" s="410"/>
      <c r="F468" s="410">
        <v>162607</v>
      </c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08">
        <f t="shared" si="40"/>
        <v>0</v>
      </c>
      <c r="R468" s="437"/>
    </row>
    <row r="469" spans="1:18" ht="16.2" hidden="1" customHeight="1" x14ac:dyDescent="0.25">
      <c r="A469" s="129"/>
      <c r="B469" s="129"/>
      <c r="C469" s="609" t="s">
        <v>625</v>
      </c>
      <c r="D469" s="613" t="s">
        <v>864</v>
      </c>
      <c r="E469" s="410"/>
      <c r="F469" s="410">
        <v>163655</v>
      </c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08">
        <f t="shared" si="40"/>
        <v>0</v>
      </c>
      <c r="R469" s="437"/>
    </row>
    <row r="470" spans="1:18" ht="28.5" hidden="1" customHeight="1" x14ac:dyDescent="0.25">
      <c r="A470" s="129"/>
      <c r="B470" s="129"/>
      <c r="C470" s="609" t="s">
        <v>998</v>
      </c>
      <c r="D470" s="613" t="s">
        <v>634</v>
      </c>
      <c r="E470" s="410"/>
      <c r="F470" s="410">
        <v>162640</v>
      </c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08">
        <f t="shared" si="40"/>
        <v>0</v>
      </c>
      <c r="R470" s="437"/>
    </row>
    <row r="471" spans="1:18" ht="15.6" hidden="1" customHeight="1" x14ac:dyDescent="0.25">
      <c r="A471" s="129"/>
      <c r="B471" s="129"/>
      <c r="C471" s="609" t="s">
        <v>999</v>
      </c>
      <c r="D471" s="546" t="s">
        <v>748</v>
      </c>
      <c r="E471" s="410"/>
      <c r="F471" s="410">
        <v>163651</v>
      </c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08">
        <f t="shared" si="40"/>
        <v>0</v>
      </c>
      <c r="R471" s="437"/>
    </row>
    <row r="472" spans="1:18" ht="18" customHeight="1" x14ac:dyDescent="0.25">
      <c r="A472" s="129"/>
      <c r="B472" s="129"/>
      <c r="C472" s="624" t="s">
        <v>627</v>
      </c>
      <c r="D472" s="625" t="s">
        <v>633</v>
      </c>
      <c r="E472" s="410"/>
      <c r="F472" s="410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08"/>
      <c r="R472" s="437"/>
    </row>
    <row r="473" spans="1:18" ht="12.6" hidden="1" customHeight="1" x14ac:dyDescent="0.25">
      <c r="A473" s="129"/>
      <c r="B473" s="129"/>
      <c r="C473" s="544" t="s">
        <v>1000</v>
      </c>
      <c r="D473" s="626" t="s">
        <v>1001</v>
      </c>
      <c r="E473" s="601"/>
      <c r="F473" s="537">
        <v>162699</v>
      </c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08">
        <f t="shared" si="40"/>
        <v>0</v>
      </c>
      <c r="R473" s="437"/>
    </row>
    <row r="474" spans="1:18" ht="16.2" hidden="1" customHeight="1" x14ac:dyDescent="0.25">
      <c r="A474" s="129"/>
      <c r="B474" s="129"/>
      <c r="C474" s="624"/>
      <c r="D474" s="528" t="s">
        <v>968</v>
      </c>
      <c r="E474" s="601"/>
      <c r="F474" s="537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08">
        <f t="shared" si="40"/>
        <v>0</v>
      </c>
      <c r="R474" s="437"/>
    </row>
    <row r="475" spans="1:18" ht="15" hidden="1" customHeight="1" x14ac:dyDescent="0.25">
      <c r="A475" s="129"/>
      <c r="B475" s="129"/>
      <c r="C475" s="511" t="s">
        <v>629</v>
      </c>
      <c r="D475" s="627" t="s">
        <v>777</v>
      </c>
      <c r="E475" s="26"/>
      <c r="F475" s="537">
        <v>162612</v>
      </c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08">
        <f t="shared" si="40"/>
        <v>0</v>
      </c>
      <c r="R475" s="437"/>
    </row>
    <row r="476" spans="1:18" ht="15.6" customHeight="1" x14ac:dyDescent="0.25">
      <c r="A476" s="129"/>
      <c r="B476" s="129"/>
      <c r="C476" s="511" t="s">
        <v>630</v>
      </c>
      <c r="D476" s="546" t="s">
        <v>635</v>
      </c>
      <c r="E476" s="410"/>
      <c r="F476" s="410">
        <v>162633</v>
      </c>
      <c r="G476" s="134"/>
      <c r="H476" s="134"/>
      <c r="I476" s="134">
        <v>10159</v>
      </c>
      <c r="J476" s="134"/>
      <c r="K476" s="134"/>
      <c r="L476" s="134">
        <v>-1630</v>
      </c>
      <c r="M476" s="134"/>
      <c r="N476" s="134"/>
      <c r="O476" s="134"/>
      <c r="P476" s="134"/>
      <c r="Q476" s="108">
        <f t="shared" si="40"/>
        <v>8529</v>
      </c>
      <c r="R476" s="437" t="s">
        <v>1154</v>
      </c>
    </row>
    <row r="477" spans="1:18" ht="33" customHeight="1" x14ac:dyDescent="0.25">
      <c r="A477" s="129"/>
      <c r="B477" s="129"/>
      <c r="C477" s="511" t="s">
        <v>632</v>
      </c>
      <c r="D477" s="546" t="s">
        <v>1123</v>
      </c>
      <c r="E477" s="410"/>
      <c r="F477" s="410">
        <v>163631</v>
      </c>
      <c r="G477" s="134"/>
      <c r="H477" s="134"/>
      <c r="I477" s="134">
        <v>-3481</v>
      </c>
      <c r="J477" s="134"/>
      <c r="K477" s="134"/>
      <c r="L477" s="134"/>
      <c r="M477" s="134"/>
      <c r="N477" s="134"/>
      <c r="O477" s="134"/>
      <c r="P477" s="134"/>
      <c r="Q477" s="108">
        <f t="shared" si="40"/>
        <v>-3481</v>
      </c>
      <c r="R477" s="437" t="s">
        <v>1154</v>
      </c>
    </row>
    <row r="478" spans="1:18" ht="26.4" hidden="1" customHeight="1" x14ac:dyDescent="0.25">
      <c r="A478" s="129"/>
      <c r="B478" s="129"/>
      <c r="C478" s="511" t="s">
        <v>828</v>
      </c>
      <c r="D478" s="546" t="s">
        <v>778</v>
      </c>
      <c r="E478" s="410"/>
      <c r="F478" s="410">
        <v>163647</v>
      </c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08">
        <f t="shared" si="40"/>
        <v>0</v>
      </c>
      <c r="R478" s="437"/>
    </row>
    <row r="479" spans="1:18" ht="14.1" customHeight="1" x14ac:dyDescent="0.25">
      <c r="A479" s="309"/>
      <c r="B479" s="309"/>
      <c r="C479" s="310"/>
      <c r="D479" s="311" t="s">
        <v>636</v>
      </c>
      <c r="E479" s="312"/>
      <c r="F479" s="313"/>
      <c r="G479" s="314">
        <f t="shared" ref="G479:Q479" si="41">SUM(G378:G478)</f>
        <v>-2818</v>
      </c>
      <c r="H479" s="314">
        <f t="shared" si="41"/>
        <v>-453</v>
      </c>
      <c r="I479" s="314">
        <f t="shared" si="41"/>
        <v>144193</v>
      </c>
      <c r="J479" s="314">
        <f t="shared" si="41"/>
        <v>0</v>
      </c>
      <c r="K479" s="314">
        <f t="shared" si="41"/>
        <v>0</v>
      </c>
      <c r="L479" s="314">
        <f t="shared" si="41"/>
        <v>120164</v>
      </c>
      <c r="M479" s="314">
        <f t="shared" si="41"/>
        <v>289382</v>
      </c>
      <c r="N479" s="314">
        <f t="shared" si="41"/>
        <v>444146</v>
      </c>
      <c r="O479" s="314">
        <f t="shared" si="41"/>
        <v>0</v>
      </c>
      <c r="P479" s="314">
        <f t="shared" si="41"/>
        <v>0</v>
      </c>
      <c r="Q479" s="314">
        <f t="shared" si="41"/>
        <v>994614</v>
      </c>
      <c r="R479" s="438"/>
    </row>
    <row r="480" spans="1:18" ht="15" customHeight="1" x14ac:dyDescent="0.25">
      <c r="A480" s="129">
        <v>1</v>
      </c>
      <c r="B480" s="129">
        <v>17</v>
      </c>
      <c r="C480" s="145"/>
      <c r="D480" s="178" t="s">
        <v>637</v>
      </c>
      <c r="E480" s="157"/>
      <c r="F480" s="108"/>
      <c r="G480" s="108"/>
      <c r="H480" s="134"/>
      <c r="I480" s="134"/>
      <c r="J480" s="134"/>
      <c r="K480" s="134"/>
      <c r="L480" s="134"/>
      <c r="M480" s="108"/>
      <c r="N480" s="108"/>
      <c r="O480" s="108"/>
      <c r="P480" s="108"/>
      <c r="Q480" s="108"/>
      <c r="R480" s="437"/>
    </row>
    <row r="481" spans="1:18" ht="15" customHeight="1" x14ac:dyDescent="0.25">
      <c r="A481" s="129"/>
      <c r="B481" s="129"/>
      <c r="C481" s="145"/>
      <c r="D481" s="146" t="s">
        <v>215</v>
      </c>
      <c r="E481" s="161"/>
      <c r="F481" s="140"/>
      <c r="G481" s="108"/>
      <c r="H481" s="134"/>
      <c r="I481" s="134"/>
      <c r="J481" s="134"/>
      <c r="K481" s="134"/>
      <c r="L481" s="134"/>
      <c r="M481" s="108"/>
      <c r="N481" s="108"/>
      <c r="O481" s="108"/>
      <c r="P481" s="108"/>
      <c r="Q481" s="108"/>
      <c r="R481" s="437"/>
    </row>
    <row r="482" spans="1:18" ht="15" customHeight="1" x14ac:dyDescent="0.25">
      <c r="A482" s="129"/>
      <c r="B482" s="129"/>
      <c r="C482" s="145"/>
      <c r="D482" s="143" t="s">
        <v>638</v>
      </c>
      <c r="E482" s="108">
        <v>1</v>
      </c>
      <c r="F482" s="108">
        <v>171905</v>
      </c>
      <c r="G482" s="108"/>
      <c r="H482" s="108"/>
      <c r="I482" s="108">
        <v>14850</v>
      </c>
      <c r="J482" s="108"/>
      <c r="K482" s="108"/>
      <c r="L482" s="108"/>
      <c r="M482" s="108"/>
      <c r="N482" s="108"/>
      <c r="O482" s="108"/>
      <c r="P482" s="108"/>
      <c r="Q482" s="108">
        <f t="shared" ref="Q482:Q490" si="42">SUM(G482:P482)</f>
        <v>14850</v>
      </c>
      <c r="R482" s="437" t="s">
        <v>1152</v>
      </c>
    </row>
    <row r="483" spans="1:18" ht="15" hidden="1" customHeight="1" x14ac:dyDescent="0.25">
      <c r="A483" s="129"/>
      <c r="B483" s="129"/>
      <c r="C483" s="145"/>
      <c r="D483" s="143" t="s">
        <v>639</v>
      </c>
      <c r="E483" s="140">
        <v>1</v>
      </c>
      <c r="F483" s="108">
        <v>171920</v>
      </c>
      <c r="G483" s="108"/>
      <c r="H483" s="108"/>
      <c r="I483" s="108"/>
      <c r="J483" s="108"/>
      <c r="K483" s="108"/>
      <c r="L483" s="108"/>
      <c r="M483" s="108"/>
      <c r="N483" s="108"/>
      <c r="O483" s="108"/>
      <c r="P483" s="108"/>
      <c r="Q483" s="108">
        <f t="shared" si="42"/>
        <v>0</v>
      </c>
      <c r="R483" s="437"/>
    </row>
    <row r="484" spans="1:18" ht="15" hidden="1" customHeight="1" x14ac:dyDescent="0.25">
      <c r="A484" s="129"/>
      <c r="B484" s="129"/>
      <c r="C484" s="145"/>
      <c r="D484" s="150" t="s">
        <v>640</v>
      </c>
      <c r="E484" s="140">
        <v>1</v>
      </c>
      <c r="F484" s="108">
        <v>171956</v>
      </c>
      <c r="G484" s="108"/>
      <c r="H484" s="108"/>
      <c r="I484" s="108"/>
      <c r="J484" s="108"/>
      <c r="K484" s="108"/>
      <c r="L484" s="108"/>
      <c r="M484" s="108"/>
      <c r="N484" s="108"/>
      <c r="O484" s="108"/>
      <c r="P484" s="108"/>
      <c r="Q484" s="108">
        <f t="shared" si="42"/>
        <v>0</v>
      </c>
      <c r="R484" s="437"/>
    </row>
    <row r="485" spans="1:18" ht="15" hidden="1" customHeight="1" x14ac:dyDescent="0.25">
      <c r="A485" s="511"/>
      <c r="B485" s="511"/>
      <c r="C485" s="544"/>
      <c r="D485" s="754" t="s">
        <v>1095</v>
      </c>
      <c r="E485" s="532">
        <v>1</v>
      </c>
      <c r="F485" s="537">
        <v>172901</v>
      </c>
      <c r="G485" s="537"/>
      <c r="H485" s="537"/>
      <c r="I485" s="537"/>
      <c r="J485" s="537"/>
      <c r="K485" s="537"/>
      <c r="L485" s="537"/>
      <c r="M485" s="537"/>
      <c r="N485" s="537"/>
      <c r="O485" s="537"/>
      <c r="P485" s="537"/>
      <c r="Q485" s="108">
        <f t="shared" si="42"/>
        <v>0</v>
      </c>
      <c r="R485" s="535"/>
    </row>
    <row r="486" spans="1:18" ht="15" hidden="1" customHeight="1" x14ac:dyDescent="0.25">
      <c r="A486" s="129"/>
      <c r="B486" s="129"/>
      <c r="C486" s="145"/>
      <c r="D486" s="150" t="s">
        <v>641</v>
      </c>
      <c r="E486" s="140">
        <v>1</v>
      </c>
      <c r="F486" s="108">
        <v>171958</v>
      </c>
      <c r="G486" s="108"/>
      <c r="H486" s="108"/>
      <c r="I486" s="108"/>
      <c r="J486" s="108"/>
      <c r="K486" s="108"/>
      <c r="L486" s="108"/>
      <c r="M486" s="108"/>
      <c r="N486" s="108"/>
      <c r="O486" s="108"/>
      <c r="P486" s="108"/>
      <c r="Q486" s="108">
        <f t="shared" si="42"/>
        <v>0</v>
      </c>
      <c r="R486" s="437"/>
    </row>
    <row r="487" spans="1:18" ht="15" hidden="1" customHeight="1" x14ac:dyDescent="0.25">
      <c r="A487" s="129"/>
      <c r="B487" s="129"/>
      <c r="C487" s="145"/>
      <c r="D487" s="150" t="s">
        <v>642</v>
      </c>
      <c r="E487" s="140">
        <v>1</v>
      </c>
      <c r="F487" s="108">
        <v>171904</v>
      </c>
      <c r="G487" s="108"/>
      <c r="H487" s="108"/>
      <c r="I487" s="108"/>
      <c r="J487" s="108"/>
      <c r="K487" s="108"/>
      <c r="L487" s="108"/>
      <c r="M487" s="108"/>
      <c r="N487" s="108"/>
      <c r="O487" s="108"/>
      <c r="P487" s="108"/>
      <c r="Q487" s="108">
        <f t="shared" si="42"/>
        <v>0</v>
      </c>
      <c r="R487" s="437"/>
    </row>
    <row r="488" spans="1:18" ht="15" customHeight="1" x14ac:dyDescent="0.25">
      <c r="A488" s="129"/>
      <c r="B488" s="129"/>
      <c r="C488" s="145"/>
      <c r="D488" s="143" t="s">
        <v>643</v>
      </c>
      <c r="E488" s="108">
        <v>1</v>
      </c>
      <c r="F488" s="108">
        <v>171902</v>
      </c>
      <c r="G488" s="108"/>
      <c r="H488" s="108"/>
      <c r="I488" s="108">
        <v>-4807</v>
      </c>
      <c r="J488" s="108"/>
      <c r="K488" s="108"/>
      <c r="L488" s="108"/>
      <c r="M488" s="108"/>
      <c r="N488" s="108"/>
      <c r="O488" s="108"/>
      <c r="P488" s="108"/>
      <c r="Q488" s="108">
        <f t="shared" si="42"/>
        <v>-4807</v>
      </c>
      <c r="R488" s="437" t="s">
        <v>1154</v>
      </c>
    </row>
    <row r="489" spans="1:18" ht="15" hidden="1" customHeight="1" x14ac:dyDescent="0.25">
      <c r="A489" s="129"/>
      <c r="B489" s="129"/>
      <c r="C489" s="145"/>
      <c r="D489" s="143" t="s">
        <v>644</v>
      </c>
      <c r="E489" s="108">
        <v>1</v>
      </c>
      <c r="F489" s="108">
        <v>171925</v>
      </c>
      <c r="G489" s="108"/>
      <c r="H489" s="108"/>
      <c r="I489" s="108"/>
      <c r="J489" s="108"/>
      <c r="K489" s="108"/>
      <c r="L489" s="108"/>
      <c r="M489" s="108"/>
      <c r="N489" s="108"/>
      <c r="O489" s="108"/>
      <c r="P489" s="108"/>
      <c r="Q489" s="108">
        <f t="shared" si="42"/>
        <v>0</v>
      </c>
      <c r="R489" s="437"/>
    </row>
    <row r="490" spans="1:18" ht="24.75" hidden="1" customHeight="1" x14ac:dyDescent="0.25">
      <c r="A490" s="129"/>
      <c r="B490" s="129"/>
      <c r="C490" s="145"/>
      <c r="D490" s="315" t="s">
        <v>779</v>
      </c>
      <c r="E490" s="316">
        <v>1</v>
      </c>
      <c r="F490" s="108">
        <v>171911</v>
      </c>
      <c r="G490" s="108"/>
      <c r="H490" s="108"/>
      <c r="I490" s="108"/>
      <c r="J490" s="108"/>
      <c r="K490" s="108"/>
      <c r="L490" s="108"/>
      <c r="M490" s="108"/>
      <c r="N490" s="108"/>
      <c r="O490" s="108"/>
      <c r="P490" s="108"/>
      <c r="Q490" s="108">
        <f t="shared" si="42"/>
        <v>0</v>
      </c>
      <c r="R490" s="437"/>
    </row>
    <row r="491" spans="1:18" ht="15" hidden="1" customHeight="1" x14ac:dyDescent="0.25">
      <c r="A491" s="129"/>
      <c r="B491" s="129"/>
      <c r="C491" s="129"/>
      <c r="D491" s="108" t="s">
        <v>645</v>
      </c>
      <c r="E491" s="157"/>
      <c r="F491" s="108"/>
      <c r="G491" s="108"/>
      <c r="H491" s="134"/>
      <c r="I491" s="108"/>
      <c r="J491" s="134"/>
      <c r="K491" s="134"/>
      <c r="L491" s="134"/>
      <c r="M491" s="108"/>
      <c r="N491" s="108"/>
      <c r="O491" s="108"/>
      <c r="P491" s="108"/>
      <c r="Q491" s="108"/>
      <c r="R491" s="437"/>
    </row>
    <row r="492" spans="1:18" ht="15" hidden="1" customHeight="1" x14ac:dyDescent="0.25">
      <c r="A492" s="129"/>
      <c r="B492" s="129"/>
      <c r="C492" s="129"/>
      <c r="D492" s="108" t="s">
        <v>646</v>
      </c>
      <c r="E492" s="157">
        <v>1</v>
      </c>
      <c r="F492" s="108">
        <v>171954</v>
      </c>
      <c r="G492" s="108"/>
      <c r="H492" s="108"/>
      <c r="I492" s="108"/>
      <c r="J492" s="108"/>
      <c r="K492" s="108"/>
      <c r="L492" s="108"/>
      <c r="M492" s="108"/>
      <c r="N492" s="108"/>
      <c r="O492" s="108"/>
      <c r="P492" s="108"/>
      <c r="Q492" s="108">
        <f>SUM(G492:P492)</f>
        <v>0</v>
      </c>
      <c r="R492" s="437"/>
    </row>
    <row r="493" spans="1:18" ht="15" hidden="1" customHeight="1" x14ac:dyDescent="0.25">
      <c r="A493" s="738"/>
      <c r="B493" s="738"/>
      <c r="C493" s="737"/>
      <c r="D493" s="528" t="s">
        <v>1069</v>
      </c>
      <c r="E493" s="741">
        <v>1</v>
      </c>
      <c r="F493" s="537">
        <v>172958</v>
      </c>
      <c r="G493" s="736"/>
      <c r="H493" s="736"/>
      <c r="I493" s="736"/>
      <c r="J493" s="736"/>
      <c r="K493" s="736"/>
      <c r="L493" s="736"/>
      <c r="M493" s="736"/>
      <c r="N493" s="736"/>
      <c r="O493" s="736"/>
      <c r="P493" s="736"/>
      <c r="Q493" s="108">
        <f>SUM(G493:P493)</f>
        <v>0</v>
      </c>
      <c r="R493" s="720"/>
    </row>
    <row r="494" spans="1:18" ht="15" customHeight="1" x14ac:dyDescent="0.25">
      <c r="A494" s="151"/>
      <c r="B494" s="151"/>
      <c r="C494" s="317"/>
      <c r="D494" s="153" t="s">
        <v>647</v>
      </c>
      <c r="E494" s="154"/>
      <c r="F494" s="155"/>
      <c r="G494" s="155">
        <f>SUM(G481:G493)</f>
        <v>0</v>
      </c>
      <c r="H494" s="155">
        <f t="shared" ref="H494:Q494" si="43">SUM(H481:H493)</f>
        <v>0</v>
      </c>
      <c r="I494" s="155">
        <f t="shared" si="43"/>
        <v>10043</v>
      </c>
      <c r="J494" s="155">
        <f t="shared" si="43"/>
        <v>0</v>
      </c>
      <c r="K494" s="155">
        <f t="shared" si="43"/>
        <v>0</v>
      </c>
      <c r="L494" s="155">
        <f t="shared" si="43"/>
        <v>0</v>
      </c>
      <c r="M494" s="155">
        <f t="shared" si="43"/>
        <v>0</v>
      </c>
      <c r="N494" s="155">
        <f t="shared" si="43"/>
        <v>0</v>
      </c>
      <c r="O494" s="155">
        <f t="shared" si="43"/>
        <v>0</v>
      </c>
      <c r="P494" s="155">
        <f t="shared" si="43"/>
        <v>0</v>
      </c>
      <c r="Q494" s="155">
        <f t="shared" si="43"/>
        <v>10043</v>
      </c>
      <c r="R494" s="438"/>
    </row>
    <row r="495" spans="1:18" ht="14.1" customHeight="1" x14ac:dyDescent="0.25">
      <c r="A495" s="156"/>
      <c r="B495" s="156"/>
      <c r="C495" s="174"/>
      <c r="D495" s="175" t="s">
        <v>648</v>
      </c>
      <c r="E495" s="158"/>
      <c r="F495" s="159"/>
      <c r="G495" s="159"/>
      <c r="H495" s="159"/>
      <c r="I495" s="159"/>
      <c r="J495" s="159"/>
      <c r="K495" s="159"/>
      <c r="L495" s="159"/>
      <c r="M495" s="159"/>
      <c r="N495" s="159"/>
      <c r="O495" s="159"/>
      <c r="P495" s="159"/>
      <c r="Q495" s="159"/>
      <c r="R495" s="437"/>
    </row>
    <row r="496" spans="1:18" ht="27" hidden="1" customHeight="1" x14ac:dyDescent="0.25">
      <c r="A496" s="156"/>
      <c r="B496" s="156"/>
      <c r="C496" s="145" t="s">
        <v>90</v>
      </c>
      <c r="D496" s="318" t="s">
        <v>649</v>
      </c>
      <c r="E496" s="190"/>
      <c r="F496" s="191">
        <v>171980</v>
      </c>
      <c r="G496" s="108"/>
      <c r="H496" s="108"/>
      <c r="I496" s="108"/>
      <c r="J496" s="108"/>
      <c r="K496" s="108"/>
      <c r="L496" s="108"/>
      <c r="M496" s="108"/>
      <c r="N496" s="108"/>
      <c r="O496" s="108"/>
      <c r="P496" s="108"/>
      <c r="Q496" s="108">
        <f>SUM(G496:P496)</f>
        <v>0</v>
      </c>
      <c r="R496" s="437"/>
    </row>
    <row r="497" spans="1:18" ht="15.9" hidden="1" customHeight="1" x14ac:dyDescent="0.25">
      <c r="A497" s="156"/>
      <c r="B497" s="156"/>
      <c r="C497" s="145"/>
      <c r="D497" s="143" t="s">
        <v>968</v>
      </c>
      <c r="E497" s="190"/>
      <c r="F497" s="191"/>
      <c r="G497" s="108"/>
      <c r="H497" s="159"/>
      <c r="I497" s="159"/>
      <c r="J497" s="159"/>
      <c r="K497" s="159"/>
      <c r="L497" s="108"/>
      <c r="M497" s="108"/>
      <c r="N497" s="108"/>
      <c r="O497" s="108"/>
      <c r="P497" s="108"/>
      <c r="Q497" s="108"/>
      <c r="R497" s="437"/>
    </row>
    <row r="498" spans="1:18" ht="16.5" customHeight="1" x14ac:dyDescent="0.25">
      <c r="A498" s="156"/>
      <c r="B498" s="156"/>
      <c r="C498" s="145" t="s">
        <v>335</v>
      </c>
      <c r="D498" s="403" t="s">
        <v>650</v>
      </c>
      <c r="E498" s="319"/>
      <c r="F498" s="108">
        <v>162603</v>
      </c>
      <c r="G498" s="108"/>
      <c r="H498" s="108"/>
      <c r="I498" s="108"/>
      <c r="J498" s="108"/>
      <c r="K498" s="108"/>
      <c r="L498" s="108">
        <v>400</v>
      </c>
      <c r="M498" s="108"/>
      <c r="N498" s="108"/>
      <c r="O498" s="108"/>
      <c r="P498" s="108"/>
      <c r="Q498" s="108">
        <f>SUM(G498:P498)</f>
        <v>400</v>
      </c>
      <c r="R498" s="437" t="s">
        <v>1154</v>
      </c>
    </row>
    <row r="499" spans="1:18" ht="15.9" customHeight="1" x14ac:dyDescent="0.25">
      <c r="A499" s="151"/>
      <c r="B499" s="151"/>
      <c r="C499" s="152"/>
      <c r="D499" s="153" t="s">
        <v>275</v>
      </c>
      <c r="E499" s="154"/>
      <c r="F499" s="155"/>
      <c r="G499" s="155">
        <f t="shared" ref="G499:Q499" si="44">SUM(G494:G498)</f>
        <v>0</v>
      </c>
      <c r="H499" s="155">
        <f t="shared" si="44"/>
        <v>0</v>
      </c>
      <c r="I499" s="155">
        <f t="shared" si="44"/>
        <v>10043</v>
      </c>
      <c r="J499" s="155">
        <f t="shared" si="44"/>
        <v>0</v>
      </c>
      <c r="K499" s="155">
        <f t="shared" si="44"/>
        <v>0</v>
      </c>
      <c r="L499" s="155">
        <f t="shared" si="44"/>
        <v>400</v>
      </c>
      <c r="M499" s="155">
        <f t="shared" si="44"/>
        <v>0</v>
      </c>
      <c r="N499" s="155">
        <f t="shared" si="44"/>
        <v>0</v>
      </c>
      <c r="O499" s="155">
        <f t="shared" si="44"/>
        <v>0</v>
      </c>
      <c r="P499" s="155">
        <f t="shared" si="44"/>
        <v>0</v>
      </c>
      <c r="Q499" s="155">
        <f t="shared" si="44"/>
        <v>10443</v>
      </c>
      <c r="R499" s="438"/>
    </row>
    <row r="500" spans="1:18" ht="15" customHeight="1" x14ac:dyDescent="0.25">
      <c r="A500" s="129">
        <v>1</v>
      </c>
      <c r="B500" s="129">
        <v>18</v>
      </c>
      <c r="C500" s="145"/>
      <c r="D500" s="178" t="s">
        <v>651</v>
      </c>
      <c r="E500" s="158"/>
      <c r="F500" s="158"/>
      <c r="G500" s="108"/>
      <c r="H500" s="134"/>
      <c r="I500" s="134"/>
      <c r="J500" s="134"/>
      <c r="K500" s="134"/>
      <c r="L500" s="134"/>
      <c r="M500" s="108"/>
      <c r="N500" s="108"/>
      <c r="O500" s="108"/>
      <c r="P500" s="108"/>
      <c r="Q500" s="108"/>
      <c r="R500" s="437"/>
    </row>
    <row r="501" spans="1:18" ht="15.75" customHeight="1" x14ac:dyDescent="0.25">
      <c r="A501" s="129"/>
      <c r="B501" s="129"/>
      <c r="C501" s="145"/>
      <c r="D501" s="143" t="s">
        <v>215</v>
      </c>
      <c r="E501" s="161"/>
      <c r="F501" s="161"/>
      <c r="G501" s="108"/>
      <c r="H501" s="134"/>
      <c r="I501" s="134"/>
      <c r="J501" s="134"/>
      <c r="K501" s="134"/>
      <c r="L501" s="134"/>
      <c r="M501" s="108"/>
      <c r="N501" s="108"/>
      <c r="O501" s="108"/>
      <c r="P501" s="108"/>
      <c r="Q501" s="108"/>
      <c r="R501" s="437"/>
    </row>
    <row r="502" spans="1:18" ht="17.25" hidden="1" customHeight="1" x14ac:dyDescent="0.25">
      <c r="A502" s="129"/>
      <c r="B502" s="129"/>
      <c r="C502" s="145"/>
      <c r="D502" s="143" t="s">
        <v>652</v>
      </c>
      <c r="E502" s="108">
        <v>2</v>
      </c>
      <c r="F502" s="108">
        <v>181905</v>
      </c>
      <c r="G502" s="108"/>
      <c r="H502" s="108"/>
      <c r="I502" s="108"/>
      <c r="J502" s="108"/>
      <c r="K502" s="108"/>
      <c r="L502" s="108"/>
      <c r="M502" s="108"/>
      <c r="N502" s="108"/>
      <c r="O502" s="108"/>
      <c r="P502" s="108"/>
      <c r="Q502" s="108">
        <f>SUM(G502:P502)</f>
        <v>0</v>
      </c>
      <c r="R502" s="437"/>
    </row>
    <row r="503" spans="1:18" ht="27.75" customHeight="1" x14ac:dyDescent="0.25">
      <c r="A503" s="129"/>
      <c r="B503" s="129"/>
      <c r="C503" s="145"/>
      <c r="D503" s="150" t="s">
        <v>653</v>
      </c>
      <c r="E503" s="108">
        <v>1</v>
      </c>
      <c r="F503" s="108" t="s">
        <v>278</v>
      </c>
      <c r="G503" s="108"/>
      <c r="H503" s="108"/>
      <c r="I503" s="108">
        <v>7000</v>
      </c>
      <c r="J503" s="108"/>
      <c r="K503" s="108"/>
      <c r="L503" s="108"/>
      <c r="M503" s="108"/>
      <c r="N503" s="108"/>
      <c r="O503" s="108"/>
      <c r="P503" s="108"/>
      <c r="Q503" s="108">
        <f>SUM(G503:P503)</f>
        <v>7000</v>
      </c>
      <c r="R503" s="437" t="s">
        <v>1152</v>
      </c>
    </row>
    <row r="504" spans="1:18" ht="14.1" hidden="1" customHeight="1" x14ac:dyDescent="0.25">
      <c r="A504" s="129"/>
      <c r="B504" s="129"/>
      <c r="C504" s="145"/>
      <c r="D504" s="143" t="s">
        <v>654</v>
      </c>
      <c r="E504" s="108">
        <v>1</v>
      </c>
      <c r="F504" s="108">
        <v>181906</v>
      </c>
      <c r="G504" s="108"/>
      <c r="H504" s="108"/>
      <c r="I504" s="108"/>
      <c r="J504" s="108"/>
      <c r="K504" s="108"/>
      <c r="L504" s="108"/>
      <c r="M504" s="108"/>
      <c r="N504" s="108"/>
      <c r="O504" s="108"/>
      <c r="P504" s="108"/>
      <c r="Q504" s="108">
        <f>SUM(G504:P504)</f>
        <v>0</v>
      </c>
      <c r="R504" s="437"/>
    </row>
    <row r="505" spans="1:18" ht="14.1" hidden="1" customHeight="1" x14ac:dyDescent="0.25">
      <c r="A505" s="129"/>
      <c r="B505" s="129"/>
      <c r="C505" s="145"/>
      <c r="D505" s="143" t="s">
        <v>865</v>
      </c>
      <c r="E505" s="108">
        <v>1</v>
      </c>
      <c r="F505" s="108">
        <v>181915</v>
      </c>
      <c r="G505" s="108"/>
      <c r="H505" s="108"/>
      <c r="I505" s="108"/>
      <c r="J505" s="108"/>
      <c r="K505" s="108"/>
      <c r="L505" s="108"/>
      <c r="M505" s="108"/>
      <c r="N505" s="108"/>
      <c r="O505" s="108"/>
      <c r="P505" s="108"/>
      <c r="Q505" s="108">
        <f>SUM(G505:P505)</f>
        <v>0</v>
      </c>
      <c r="R505" s="437"/>
    </row>
    <row r="506" spans="1:18" ht="15" customHeight="1" x14ac:dyDescent="0.25">
      <c r="A506" s="129"/>
      <c r="B506" s="129"/>
      <c r="C506" s="145"/>
      <c r="D506" s="146" t="s">
        <v>206</v>
      </c>
      <c r="E506" s="165"/>
      <c r="F506" s="165"/>
      <c r="G506" s="108"/>
      <c r="H506" s="108"/>
      <c r="I506" s="108"/>
      <c r="J506" s="108"/>
      <c r="K506" s="108"/>
      <c r="L506" s="108"/>
      <c r="M506" s="108"/>
      <c r="N506" s="108"/>
      <c r="O506" s="108"/>
      <c r="P506" s="108"/>
      <c r="Q506" s="108"/>
      <c r="R506" s="437"/>
    </row>
    <row r="507" spans="1:18" ht="15" hidden="1" customHeight="1" x14ac:dyDescent="0.25">
      <c r="A507" s="129"/>
      <c r="B507" s="129"/>
      <c r="C507" s="145"/>
      <c r="D507" s="143" t="s">
        <v>655</v>
      </c>
      <c r="E507" s="149">
        <v>1</v>
      </c>
      <c r="F507" s="108">
        <v>221950</v>
      </c>
      <c r="G507" s="108"/>
      <c r="H507" s="108"/>
      <c r="I507" s="108"/>
      <c r="J507" s="108"/>
      <c r="K507" s="108"/>
      <c r="L507" s="108"/>
      <c r="M507" s="108"/>
      <c r="N507" s="108"/>
      <c r="O507" s="108"/>
      <c r="P507" s="108"/>
      <c r="Q507" s="192">
        <f>SUM(G507:P507)</f>
        <v>0</v>
      </c>
      <c r="R507" s="437"/>
    </row>
    <row r="508" spans="1:18" ht="24.9" customHeight="1" x14ac:dyDescent="0.25">
      <c r="A508" s="129"/>
      <c r="B508" s="129"/>
      <c r="C508" s="145"/>
      <c r="D508" s="150" t="s">
        <v>656</v>
      </c>
      <c r="E508" s="140">
        <v>1</v>
      </c>
      <c r="F508" s="108">
        <v>181907</v>
      </c>
      <c r="G508" s="108"/>
      <c r="H508" s="108"/>
      <c r="I508" s="108">
        <v>-7000</v>
      </c>
      <c r="J508" s="108"/>
      <c r="K508" s="108"/>
      <c r="L508" s="108"/>
      <c r="M508" s="108"/>
      <c r="N508" s="108"/>
      <c r="O508" s="108"/>
      <c r="P508" s="108"/>
      <c r="Q508" s="108">
        <f>SUM(G508:P508)</f>
        <v>-7000</v>
      </c>
      <c r="R508" s="437" t="s">
        <v>1152</v>
      </c>
    </row>
    <row r="509" spans="1:18" ht="15.75" hidden="1" customHeight="1" x14ac:dyDescent="0.25">
      <c r="A509" s="129"/>
      <c r="B509" s="129"/>
      <c r="C509" s="145"/>
      <c r="D509" s="143" t="s">
        <v>657</v>
      </c>
      <c r="E509" s="140"/>
      <c r="F509" s="140"/>
      <c r="G509" s="108"/>
      <c r="H509" s="108"/>
      <c r="I509" s="108"/>
      <c r="J509" s="108"/>
      <c r="K509" s="108"/>
      <c r="L509" s="108"/>
      <c r="M509" s="108"/>
      <c r="N509" s="108"/>
      <c r="O509" s="108"/>
      <c r="P509" s="108"/>
      <c r="Q509" s="108"/>
      <c r="R509" s="437"/>
    </row>
    <row r="510" spans="1:18" ht="12.75" hidden="1" customHeight="1" x14ac:dyDescent="0.25">
      <c r="A510" s="129"/>
      <c r="B510" s="129"/>
      <c r="C510" s="145"/>
      <c r="D510" s="150" t="s">
        <v>658</v>
      </c>
      <c r="E510" s="140">
        <v>1</v>
      </c>
      <c r="F510" s="108">
        <v>181909</v>
      </c>
      <c r="G510" s="108"/>
      <c r="H510" s="108"/>
      <c r="I510" s="108"/>
      <c r="J510" s="108"/>
      <c r="K510" s="108"/>
      <c r="L510" s="108"/>
      <c r="M510" s="108"/>
      <c r="N510" s="108"/>
      <c r="O510" s="108"/>
      <c r="P510" s="108"/>
      <c r="Q510" s="108">
        <f>SUM(G510:P510)</f>
        <v>0</v>
      </c>
      <c r="R510" s="437"/>
    </row>
    <row r="511" spans="1:18" ht="26.25" hidden="1" customHeight="1" x14ac:dyDescent="0.25">
      <c r="A511" s="129"/>
      <c r="B511" s="129"/>
      <c r="C511" s="145"/>
      <c r="D511" s="150" t="s">
        <v>659</v>
      </c>
      <c r="E511" s="165">
        <v>2</v>
      </c>
      <c r="F511" s="167">
        <v>191142</v>
      </c>
      <c r="G511" s="108"/>
      <c r="H511" s="108"/>
      <c r="I511" s="108"/>
      <c r="J511" s="108"/>
      <c r="K511" s="108"/>
      <c r="L511" s="108"/>
      <c r="M511" s="108"/>
      <c r="N511" s="108"/>
      <c r="O511" s="108"/>
      <c r="P511" s="108"/>
      <c r="Q511" s="108">
        <f>SUM(G511:P511)</f>
        <v>0</v>
      </c>
      <c r="R511" s="437"/>
    </row>
    <row r="512" spans="1:18" ht="29.25" hidden="1" customHeight="1" x14ac:dyDescent="0.25">
      <c r="A512" s="129"/>
      <c r="B512" s="129"/>
      <c r="C512" s="145"/>
      <c r="D512" s="150" t="s">
        <v>660</v>
      </c>
      <c r="E512" s="165">
        <v>2</v>
      </c>
      <c r="F512" s="167">
        <v>191154</v>
      </c>
      <c r="G512" s="108"/>
      <c r="H512" s="108"/>
      <c r="I512" s="108"/>
      <c r="J512" s="108"/>
      <c r="K512" s="108"/>
      <c r="L512" s="108"/>
      <c r="M512" s="108"/>
      <c r="N512" s="108"/>
      <c r="O512" s="108"/>
      <c r="P512" s="108"/>
      <c r="Q512" s="108">
        <f>SUM(G512:P512)</f>
        <v>0</v>
      </c>
      <c r="R512" s="437"/>
    </row>
    <row r="513" spans="1:18" ht="16.2" hidden="1" customHeight="1" x14ac:dyDescent="0.25">
      <c r="A513" s="511"/>
      <c r="B513" s="511"/>
      <c r="C513" s="544"/>
      <c r="D513" s="628" t="s">
        <v>206</v>
      </c>
      <c r="E513" s="549"/>
      <c r="F513" s="550"/>
      <c r="G513" s="537"/>
      <c r="H513" s="537"/>
      <c r="I513" s="537"/>
      <c r="J513" s="537"/>
      <c r="K513" s="537"/>
      <c r="L513" s="537"/>
      <c r="M513" s="537"/>
      <c r="N513" s="537"/>
      <c r="O513" s="537"/>
      <c r="P513" s="537"/>
      <c r="Q513" s="108"/>
      <c r="R513" s="535"/>
    </row>
    <row r="514" spans="1:18" ht="16.2" hidden="1" customHeight="1" x14ac:dyDescent="0.25">
      <c r="A514" s="511"/>
      <c r="B514" s="511"/>
      <c r="C514" s="544"/>
      <c r="D514" s="546" t="s">
        <v>1002</v>
      </c>
      <c r="E514" s="549">
        <v>2</v>
      </c>
      <c r="F514" s="550">
        <v>181916</v>
      </c>
      <c r="G514" s="537"/>
      <c r="H514" s="537"/>
      <c r="I514" s="537"/>
      <c r="J514" s="537"/>
      <c r="K514" s="537"/>
      <c r="L514" s="537"/>
      <c r="M514" s="537"/>
      <c r="N514" s="537"/>
      <c r="O514" s="537"/>
      <c r="P514" s="537"/>
      <c r="Q514" s="108">
        <f t="shared" ref="Q514" si="45">SUM(G514:P514)</f>
        <v>0</v>
      </c>
      <c r="R514" s="535"/>
    </row>
    <row r="515" spans="1:18" ht="15" hidden="1" customHeight="1" x14ac:dyDescent="0.25">
      <c r="A515" s="129"/>
      <c r="B515" s="129"/>
      <c r="C515" s="145"/>
      <c r="D515" s="150" t="s">
        <v>661</v>
      </c>
      <c r="E515" s="140"/>
      <c r="F515" s="140"/>
      <c r="G515" s="108"/>
      <c r="H515" s="108"/>
      <c r="I515" s="108"/>
      <c r="J515" s="108"/>
      <c r="K515" s="108"/>
      <c r="L515" s="108"/>
      <c r="M515" s="108"/>
      <c r="N515" s="108"/>
      <c r="O515" s="108"/>
      <c r="P515" s="108"/>
      <c r="Q515" s="108"/>
      <c r="R515" s="437"/>
    </row>
    <row r="516" spans="1:18" ht="15" hidden="1" customHeight="1" x14ac:dyDescent="0.25">
      <c r="A516" s="129"/>
      <c r="B516" s="129"/>
      <c r="C516" s="145"/>
      <c r="D516" s="150" t="s">
        <v>662</v>
      </c>
      <c r="E516" s="140">
        <v>1</v>
      </c>
      <c r="F516" s="108">
        <v>181902</v>
      </c>
      <c r="G516" s="108"/>
      <c r="H516" s="108"/>
      <c r="I516" s="108"/>
      <c r="J516" s="108"/>
      <c r="K516" s="108"/>
      <c r="L516" s="108"/>
      <c r="M516" s="108"/>
      <c r="N516" s="108"/>
      <c r="O516" s="108"/>
      <c r="P516" s="108"/>
      <c r="Q516" s="108">
        <f>SUM(G516:P516)</f>
        <v>0</v>
      </c>
      <c r="R516" s="437"/>
    </row>
    <row r="517" spans="1:18" ht="15" hidden="1" customHeight="1" x14ac:dyDescent="0.25">
      <c r="A517" s="129"/>
      <c r="B517" s="129"/>
      <c r="C517" s="145"/>
      <c r="D517" s="150" t="s">
        <v>663</v>
      </c>
      <c r="E517" s="140">
        <v>1</v>
      </c>
      <c r="F517" s="108">
        <v>181903</v>
      </c>
      <c r="G517" s="108"/>
      <c r="H517" s="108"/>
      <c r="I517" s="108"/>
      <c r="J517" s="108"/>
      <c r="K517" s="108"/>
      <c r="L517" s="108"/>
      <c r="M517" s="108"/>
      <c r="N517" s="108"/>
      <c r="O517" s="108"/>
      <c r="P517" s="108"/>
      <c r="Q517" s="108">
        <f>SUM(G517:P517)</f>
        <v>0</v>
      </c>
      <c r="R517" s="437"/>
    </row>
    <row r="518" spans="1:18" ht="14.1" hidden="1" customHeight="1" x14ac:dyDescent="0.25">
      <c r="A518" s="320"/>
      <c r="B518" s="320"/>
      <c r="C518" s="320"/>
      <c r="D518" s="143" t="s">
        <v>664</v>
      </c>
      <c r="E518" s="108">
        <v>1</v>
      </c>
      <c r="F518" s="108">
        <v>181904</v>
      </c>
      <c r="G518" s="108"/>
      <c r="H518" s="108"/>
      <c r="I518" s="108"/>
      <c r="J518" s="108"/>
      <c r="K518" s="108"/>
      <c r="L518" s="108"/>
      <c r="M518" s="108"/>
      <c r="N518" s="108"/>
      <c r="O518" s="108"/>
      <c r="P518" s="108"/>
      <c r="Q518" s="108">
        <f>SUM(G518:P518)</f>
        <v>0</v>
      </c>
      <c r="R518" s="437"/>
    </row>
    <row r="519" spans="1:18" ht="15" customHeight="1" x14ac:dyDescent="0.25">
      <c r="A519" s="155"/>
      <c r="B519" s="155"/>
      <c r="C519" s="153"/>
      <c r="D519" s="153" t="s">
        <v>665</v>
      </c>
      <c r="E519" s="154"/>
      <c r="F519" s="154"/>
      <c r="G519" s="182">
        <f t="shared" ref="G519:Q519" si="46">SUM(G502:G518)</f>
        <v>0</v>
      </c>
      <c r="H519" s="182">
        <f t="shared" si="46"/>
        <v>0</v>
      </c>
      <c r="I519" s="182">
        <f t="shared" si="46"/>
        <v>0</v>
      </c>
      <c r="J519" s="182">
        <f t="shared" si="46"/>
        <v>0</v>
      </c>
      <c r="K519" s="182">
        <f t="shared" si="46"/>
        <v>0</v>
      </c>
      <c r="L519" s="182">
        <f t="shared" si="46"/>
        <v>0</v>
      </c>
      <c r="M519" s="182">
        <f t="shared" si="46"/>
        <v>0</v>
      </c>
      <c r="N519" s="182">
        <f t="shared" si="46"/>
        <v>0</v>
      </c>
      <c r="O519" s="182">
        <f t="shared" si="46"/>
        <v>0</v>
      </c>
      <c r="P519" s="182">
        <f t="shared" si="46"/>
        <v>0</v>
      </c>
      <c r="Q519" s="182">
        <f t="shared" si="46"/>
        <v>0</v>
      </c>
      <c r="R519" s="438"/>
    </row>
    <row r="520" spans="1:18" ht="15" customHeight="1" x14ac:dyDescent="0.25">
      <c r="A520" s="159"/>
      <c r="B520" s="159"/>
      <c r="C520" s="178"/>
      <c r="D520" s="175" t="s">
        <v>666</v>
      </c>
      <c r="E520" s="158"/>
      <c r="F520" s="158"/>
      <c r="G520" s="134"/>
      <c r="H520" s="134"/>
      <c r="I520" s="134"/>
      <c r="J520" s="134"/>
      <c r="K520" s="134"/>
      <c r="L520" s="134"/>
      <c r="M520" s="134"/>
      <c r="N520" s="134"/>
      <c r="O520" s="134"/>
      <c r="P520" s="134"/>
      <c r="Q520" s="134"/>
      <c r="R520" s="437"/>
    </row>
    <row r="521" spans="1:18" ht="15" hidden="1" customHeight="1" x14ac:dyDescent="0.25">
      <c r="A521" s="543"/>
      <c r="B521" s="543"/>
      <c r="C521" s="607"/>
      <c r="D521" s="528" t="s">
        <v>968</v>
      </c>
      <c r="E521" s="629"/>
      <c r="F521" s="485"/>
      <c r="G521" s="193"/>
      <c r="H521" s="193"/>
      <c r="I521" s="193"/>
      <c r="J521" s="193"/>
      <c r="K521" s="193"/>
      <c r="L521" s="193"/>
      <c r="M521" s="193"/>
      <c r="N521" s="193"/>
      <c r="O521" s="193"/>
      <c r="P521" s="193"/>
      <c r="Q521" s="534"/>
      <c r="R521" s="535"/>
    </row>
    <row r="522" spans="1:18" ht="27" hidden="1" customHeight="1" x14ac:dyDescent="0.25">
      <c r="A522" s="159"/>
      <c r="B522" s="159"/>
      <c r="C522" s="511" t="s">
        <v>335</v>
      </c>
      <c r="D522" s="546" t="s">
        <v>877</v>
      </c>
      <c r="E522" s="630"/>
      <c r="F522" s="537">
        <v>182912</v>
      </c>
      <c r="G522" s="193"/>
      <c r="H522" s="193"/>
      <c r="I522" s="193"/>
      <c r="J522" s="193"/>
      <c r="K522" s="193"/>
      <c r="L522" s="193"/>
      <c r="M522" s="193"/>
      <c r="N522" s="193"/>
      <c r="O522" s="193"/>
      <c r="P522" s="193"/>
      <c r="Q522" s="134">
        <f>SUM(G522:P522)</f>
        <v>0</v>
      </c>
      <c r="R522" s="437"/>
    </row>
    <row r="523" spans="1:18" ht="18.75" hidden="1" customHeight="1" x14ac:dyDescent="0.25">
      <c r="A523" s="398"/>
      <c r="B523" s="398"/>
      <c r="C523" s="511" t="s">
        <v>337</v>
      </c>
      <c r="D523" s="631" t="s">
        <v>667</v>
      </c>
      <c r="E523" s="632"/>
      <c r="F523" s="383">
        <v>182905</v>
      </c>
      <c r="G523" s="193"/>
      <c r="H523" s="193"/>
      <c r="I523" s="193"/>
      <c r="J523" s="193"/>
      <c r="K523" s="193"/>
      <c r="L523" s="193"/>
      <c r="M523" s="193"/>
      <c r="N523" s="193"/>
      <c r="O523" s="193"/>
      <c r="P523" s="193"/>
      <c r="Q523" s="134">
        <f>SUM(G523:P523)</f>
        <v>0</v>
      </c>
      <c r="R523" s="437"/>
    </row>
    <row r="524" spans="1:18" ht="15" customHeight="1" x14ac:dyDescent="0.25">
      <c r="A524" s="155"/>
      <c r="B524" s="155"/>
      <c r="C524" s="153"/>
      <c r="D524" s="153" t="s">
        <v>668</v>
      </c>
      <c r="E524" s="154"/>
      <c r="F524" s="154"/>
      <c r="G524" s="207">
        <f t="shared" ref="G524:Q524" si="47">SUM(G519:G523)</f>
        <v>0</v>
      </c>
      <c r="H524" s="207">
        <f t="shared" si="47"/>
        <v>0</v>
      </c>
      <c r="I524" s="207">
        <f t="shared" si="47"/>
        <v>0</v>
      </c>
      <c r="J524" s="207">
        <f t="shared" si="47"/>
        <v>0</v>
      </c>
      <c r="K524" s="207">
        <f t="shared" si="47"/>
        <v>0</v>
      </c>
      <c r="L524" s="207">
        <f t="shared" si="47"/>
        <v>0</v>
      </c>
      <c r="M524" s="207">
        <f t="shared" si="47"/>
        <v>0</v>
      </c>
      <c r="N524" s="207">
        <f t="shared" si="47"/>
        <v>0</v>
      </c>
      <c r="O524" s="207">
        <f t="shared" si="47"/>
        <v>0</v>
      </c>
      <c r="P524" s="207">
        <f t="shared" si="47"/>
        <v>0</v>
      </c>
      <c r="Q524" s="207">
        <f t="shared" si="47"/>
        <v>0</v>
      </c>
      <c r="R524" s="438"/>
    </row>
    <row r="525" spans="1:18" ht="15" customHeight="1" x14ac:dyDescent="0.25">
      <c r="A525" s="129">
        <v>1</v>
      </c>
      <c r="B525" s="129">
        <v>19</v>
      </c>
      <c r="C525" s="145"/>
      <c r="D525" s="178" t="s">
        <v>669</v>
      </c>
      <c r="E525" s="157"/>
      <c r="F525" s="157"/>
      <c r="G525" s="108"/>
      <c r="H525" s="134"/>
      <c r="I525" s="134"/>
      <c r="J525" s="134"/>
      <c r="K525" s="134"/>
      <c r="L525" s="134"/>
      <c r="M525" s="108"/>
      <c r="N525" s="108"/>
      <c r="O525" s="108"/>
      <c r="P525" s="108"/>
      <c r="Q525" s="108"/>
      <c r="R525" s="437"/>
    </row>
    <row r="526" spans="1:18" ht="15" customHeight="1" x14ac:dyDescent="0.25">
      <c r="A526" s="129"/>
      <c r="B526" s="129"/>
      <c r="C526" s="145"/>
      <c r="D526" s="142" t="s">
        <v>670</v>
      </c>
      <c r="E526" s="161"/>
      <c r="F526" s="161"/>
      <c r="G526" s="108"/>
      <c r="H526" s="134"/>
      <c r="I526" s="134"/>
      <c r="J526" s="134"/>
      <c r="K526" s="134"/>
      <c r="L526" s="134"/>
      <c r="M526" s="108"/>
      <c r="N526" s="108"/>
      <c r="O526" s="108"/>
      <c r="P526" s="108"/>
      <c r="Q526" s="108"/>
      <c r="R526" s="437"/>
    </row>
    <row r="527" spans="1:18" ht="15" customHeight="1" x14ac:dyDescent="0.25">
      <c r="A527" s="129"/>
      <c r="B527" s="129"/>
      <c r="C527" s="145"/>
      <c r="D527" s="143" t="s">
        <v>1003</v>
      </c>
      <c r="E527" s="140">
        <v>1</v>
      </c>
      <c r="F527" s="108">
        <v>191101</v>
      </c>
      <c r="G527" s="108"/>
      <c r="H527" s="108"/>
      <c r="I527" s="108"/>
      <c r="J527" s="108"/>
      <c r="K527" s="108">
        <v>-2141</v>
      </c>
      <c r="L527" s="108"/>
      <c r="M527" s="108"/>
      <c r="N527" s="108"/>
      <c r="O527" s="108"/>
      <c r="P527" s="108"/>
      <c r="Q527" s="108">
        <f>SUM(G527:P527)</f>
        <v>-2141</v>
      </c>
      <c r="R527" s="437" t="s">
        <v>1154</v>
      </c>
    </row>
    <row r="528" spans="1:18" ht="15" hidden="1" customHeight="1" x14ac:dyDescent="0.25">
      <c r="A528" s="129"/>
      <c r="B528" s="129"/>
      <c r="C528" s="145"/>
      <c r="D528" s="143" t="s">
        <v>1004</v>
      </c>
      <c r="E528" s="140">
        <v>1</v>
      </c>
      <c r="F528" s="108">
        <v>191901</v>
      </c>
      <c r="G528" s="108"/>
      <c r="H528" s="108"/>
      <c r="I528" s="108"/>
      <c r="J528" s="108"/>
      <c r="K528" s="108"/>
      <c r="L528" s="108"/>
      <c r="M528" s="108"/>
      <c r="N528" s="108"/>
      <c r="O528" s="108"/>
      <c r="P528" s="108"/>
      <c r="Q528" s="108">
        <f>SUM(G528:P528)</f>
        <v>0</v>
      </c>
      <c r="R528" s="437"/>
    </row>
    <row r="529" spans="1:18" ht="15" hidden="1" customHeight="1" x14ac:dyDescent="0.25">
      <c r="A529" s="129"/>
      <c r="B529" s="129"/>
      <c r="C529" s="145"/>
      <c r="D529" s="143" t="s">
        <v>671</v>
      </c>
      <c r="E529" s="140">
        <v>1</v>
      </c>
      <c r="F529" s="108">
        <v>191901</v>
      </c>
      <c r="G529" s="108"/>
      <c r="H529" s="108"/>
      <c r="I529" s="108"/>
      <c r="J529" s="108"/>
      <c r="K529" s="108"/>
      <c r="L529" s="108"/>
      <c r="M529" s="108"/>
      <c r="N529" s="108"/>
      <c r="O529" s="108"/>
      <c r="P529" s="108"/>
      <c r="Q529" s="108">
        <f>SUM(G529:P529)</f>
        <v>0</v>
      </c>
      <c r="R529" s="437"/>
    </row>
    <row r="530" spans="1:18" ht="15" customHeight="1" x14ac:dyDescent="0.25">
      <c r="A530" s="129"/>
      <c r="B530" s="129"/>
      <c r="C530" s="145"/>
      <c r="D530" s="146" t="s">
        <v>206</v>
      </c>
      <c r="E530" s="165"/>
      <c r="F530" s="165"/>
      <c r="G530" s="108"/>
      <c r="H530" s="108"/>
      <c r="I530" s="108"/>
      <c r="J530" s="108"/>
      <c r="K530" s="108"/>
      <c r="L530" s="108"/>
      <c r="M530" s="108"/>
      <c r="N530" s="108"/>
      <c r="O530" s="108"/>
      <c r="P530" s="108"/>
      <c r="Q530" s="108"/>
      <c r="R530" s="437"/>
    </row>
    <row r="531" spans="1:18" ht="15" hidden="1" customHeight="1" x14ac:dyDescent="0.25">
      <c r="A531" s="129"/>
      <c r="B531" s="129"/>
      <c r="C531" s="145"/>
      <c r="D531" s="143" t="s">
        <v>672</v>
      </c>
      <c r="E531" s="140">
        <v>1</v>
      </c>
      <c r="F531" s="108">
        <v>191102</v>
      </c>
      <c r="G531" s="108"/>
      <c r="H531" s="108"/>
      <c r="I531" s="108"/>
      <c r="J531" s="108"/>
      <c r="K531" s="108"/>
      <c r="L531" s="108"/>
      <c r="M531" s="108"/>
      <c r="N531" s="108"/>
      <c r="O531" s="108"/>
      <c r="P531" s="108"/>
      <c r="Q531" s="108">
        <f t="shared" ref="Q531:Q534" si="48">SUM(G531:P531)</f>
        <v>0</v>
      </c>
      <c r="R531" s="437"/>
    </row>
    <row r="532" spans="1:18" ht="15" customHeight="1" x14ac:dyDescent="0.25">
      <c r="A532" s="129"/>
      <c r="B532" s="129"/>
      <c r="C532" s="145"/>
      <c r="D532" s="143" t="s">
        <v>673</v>
      </c>
      <c r="E532" s="108">
        <v>1</v>
      </c>
      <c r="F532" s="108">
        <v>191103</v>
      </c>
      <c r="G532" s="108"/>
      <c r="H532" s="108"/>
      <c r="I532" s="108">
        <v>44884</v>
      </c>
      <c r="J532" s="108"/>
      <c r="K532" s="108"/>
      <c r="L532" s="108"/>
      <c r="M532" s="108"/>
      <c r="N532" s="108"/>
      <c r="O532" s="108"/>
      <c r="P532" s="108"/>
      <c r="Q532" s="108">
        <f t="shared" si="48"/>
        <v>44884</v>
      </c>
      <c r="R532" s="437" t="s">
        <v>1155</v>
      </c>
    </row>
    <row r="533" spans="1:18" ht="15" hidden="1" customHeight="1" x14ac:dyDescent="0.25">
      <c r="A533" s="129"/>
      <c r="B533" s="129"/>
      <c r="C533" s="145"/>
      <c r="D533" s="143" t="s">
        <v>674</v>
      </c>
      <c r="E533" s="108">
        <v>1</v>
      </c>
      <c r="F533" s="108">
        <v>191105</v>
      </c>
      <c r="G533" s="108"/>
      <c r="H533" s="108"/>
      <c r="I533" s="108"/>
      <c r="J533" s="108"/>
      <c r="K533" s="108"/>
      <c r="L533" s="108"/>
      <c r="M533" s="108"/>
      <c r="N533" s="108"/>
      <c r="O533" s="108"/>
      <c r="P533" s="108"/>
      <c r="Q533" s="108">
        <f t="shared" si="48"/>
        <v>0</v>
      </c>
      <c r="R533" s="437"/>
    </row>
    <row r="534" spans="1:18" ht="15" customHeight="1" x14ac:dyDescent="0.25">
      <c r="A534" s="129"/>
      <c r="B534" s="129"/>
      <c r="C534" s="145"/>
      <c r="D534" s="143" t="s">
        <v>675</v>
      </c>
      <c r="E534" s="108">
        <v>1</v>
      </c>
      <c r="F534" s="108">
        <v>196901</v>
      </c>
      <c r="G534" s="108"/>
      <c r="H534" s="108"/>
      <c r="I534" s="108">
        <v>250</v>
      </c>
      <c r="J534" s="108"/>
      <c r="K534" s="108"/>
      <c r="L534" s="108"/>
      <c r="M534" s="108"/>
      <c r="N534" s="108">
        <v>-250</v>
      </c>
      <c r="O534" s="108"/>
      <c r="P534" s="108"/>
      <c r="Q534" s="108">
        <f t="shared" si="48"/>
        <v>0</v>
      </c>
      <c r="R534" s="437" t="s">
        <v>1155</v>
      </c>
    </row>
    <row r="535" spans="1:18" ht="15" hidden="1" customHeight="1" x14ac:dyDescent="0.25">
      <c r="A535" s="129"/>
      <c r="B535" s="129"/>
      <c r="C535" s="145"/>
      <c r="D535" s="143" t="s">
        <v>215</v>
      </c>
      <c r="E535" s="108"/>
      <c r="F535" s="108"/>
      <c r="G535" s="108"/>
      <c r="H535" s="108"/>
      <c r="I535" s="108"/>
      <c r="J535" s="108"/>
      <c r="K535" s="108"/>
      <c r="L535" s="108"/>
      <c r="M535" s="108"/>
      <c r="N535" s="108"/>
      <c r="O535" s="108"/>
      <c r="P535" s="108"/>
      <c r="Q535" s="108"/>
      <c r="R535" s="437"/>
    </row>
    <row r="536" spans="1:18" ht="15" hidden="1" customHeight="1" x14ac:dyDescent="0.25">
      <c r="A536" s="129"/>
      <c r="B536" s="129"/>
      <c r="C536" s="145"/>
      <c r="D536" s="143" t="s">
        <v>676</v>
      </c>
      <c r="E536" s="108">
        <v>1</v>
      </c>
      <c r="F536" s="108">
        <v>191104</v>
      </c>
      <c r="G536" s="108"/>
      <c r="H536" s="108"/>
      <c r="I536" s="108"/>
      <c r="J536" s="108"/>
      <c r="K536" s="108"/>
      <c r="L536" s="108"/>
      <c r="M536" s="108"/>
      <c r="N536" s="108"/>
      <c r="O536" s="108"/>
      <c r="P536" s="108"/>
      <c r="Q536" s="108">
        <f>SUM(G536:P536)</f>
        <v>0</v>
      </c>
      <c r="R536" s="437"/>
    </row>
    <row r="537" spans="1:18" ht="14.1" hidden="1" customHeight="1" x14ac:dyDescent="0.25">
      <c r="A537" s="129"/>
      <c r="B537" s="129"/>
      <c r="C537" s="145"/>
      <c r="D537" s="147" t="s">
        <v>677</v>
      </c>
      <c r="E537" s="108"/>
      <c r="F537" s="108"/>
      <c r="G537" s="108"/>
      <c r="H537" s="108"/>
      <c r="I537" s="108"/>
      <c r="J537" s="108"/>
      <c r="K537" s="108"/>
      <c r="L537" s="108"/>
      <c r="M537" s="108"/>
      <c r="N537" s="108"/>
      <c r="O537" s="108"/>
      <c r="P537" s="108"/>
      <c r="Q537" s="108"/>
      <c r="R537" s="437"/>
    </row>
    <row r="538" spans="1:18" ht="14.1" hidden="1" customHeight="1" x14ac:dyDescent="0.25">
      <c r="A538" s="129"/>
      <c r="B538" s="129"/>
      <c r="C538" s="145"/>
      <c r="D538" s="143" t="s">
        <v>678</v>
      </c>
      <c r="E538" s="108">
        <v>2</v>
      </c>
      <c r="F538" s="108">
        <v>191109</v>
      </c>
      <c r="G538" s="108"/>
      <c r="H538" s="108"/>
      <c r="I538" s="108"/>
      <c r="J538" s="108"/>
      <c r="K538" s="108"/>
      <c r="L538" s="108"/>
      <c r="M538" s="108"/>
      <c r="N538" s="108"/>
      <c r="O538" s="108"/>
      <c r="P538" s="108"/>
      <c r="Q538" s="108">
        <f>SUM(G538:P538)</f>
        <v>0</v>
      </c>
      <c r="R538" s="437"/>
    </row>
    <row r="539" spans="1:18" ht="15" customHeight="1" x14ac:dyDescent="0.25">
      <c r="A539" s="129"/>
      <c r="B539" s="129"/>
      <c r="C539" s="145"/>
      <c r="D539" s="146" t="s">
        <v>206</v>
      </c>
      <c r="E539" s="165"/>
      <c r="F539" s="165"/>
      <c r="G539" s="108"/>
      <c r="H539" s="108"/>
      <c r="I539" s="108"/>
      <c r="J539" s="108"/>
      <c r="K539" s="108"/>
      <c r="L539" s="108"/>
      <c r="M539" s="108"/>
      <c r="N539" s="108"/>
      <c r="O539" s="108"/>
      <c r="P539" s="108"/>
      <c r="Q539" s="108"/>
      <c r="R539" s="437"/>
    </row>
    <row r="540" spans="1:18" ht="17.25" customHeight="1" x14ac:dyDescent="0.25">
      <c r="A540" s="129"/>
      <c r="B540" s="129"/>
      <c r="C540" s="145"/>
      <c r="D540" s="162" t="s">
        <v>681</v>
      </c>
      <c r="E540" s="140">
        <v>1</v>
      </c>
      <c r="F540" s="108">
        <v>191905</v>
      </c>
      <c r="G540" s="108"/>
      <c r="H540" s="108"/>
      <c r="I540" s="108"/>
      <c r="J540" s="108"/>
      <c r="K540" s="108">
        <v>-13837</v>
      </c>
      <c r="L540" s="108"/>
      <c r="M540" s="108"/>
      <c r="N540" s="108"/>
      <c r="O540" s="108"/>
      <c r="P540" s="108"/>
      <c r="Q540" s="108">
        <f>SUM(G540:P540)</f>
        <v>-13837</v>
      </c>
      <c r="R540" s="437" t="s">
        <v>1152</v>
      </c>
    </row>
    <row r="541" spans="1:18" ht="15" hidden="1" customHeight="1" x14ac:dyDescent="0.25">
      <c r="A541" s="129"/>
      <c r="B541" s="129"/>
      <c r="C541" s="145"/>
      <c r="D541" s="146" t="s">
        <v>206</v>
      </c>
      <c r="E541" s="165"/>
      <c r="F541" s="165"/>
      <c r="G541" s="108"/>
      <c r="H541" s="108"/>
      <c r="I541" s="108"/>
      <c r="J541" s="108"/>
      <c r="K541" s="108"/>
      <c r="L541" s="108"/>
      <c r="M541" s="108"/>
      <c r="N541" s="108"/>
      <c r="O541" s="108"/>
      <c r="P541" s="108"/>
      <c r="Q541" s="108"/>
      <c r="R541" s="437"/>
    </row>
    <row r="542" spans="1:18" ht="16.2" hidden="1" customHeight="1" x14ac:dyDescent="0.25">
      <c r="A542" s="129"/>
      <c r="B542" s="129"/>
      <c r="C542" s="145"/>
      <c r="D542" s="143" t="s">
        <v>682</v>
      </c>
      <c r="E542" s="108">
        <v>1</v>
      </c>
      <c r="F542" s="108">
        <v>191121</v>
      </c>
      <c r="G542" s="108"/>
      <c r="H542" s="108"/>
      <c r="I542" s="108"/>
      <c r="J542" s="108"/>
      <c r="K542" s="108"/>
      <c r="L542" s="108"/>
      <c r="M542" s="108"/>
      <c r="N542" s="108"/>
      <c r="O542" s="108"/>
      <c r="P542" s="108"/>
      <c r="Q542" s="108">
        <f>SUM(G542:P542)</f>
        <v>0</v>
      </c>
      <c r="R542" s="437"/>
    </row>
    <row r="543" spans="1:18" ht="21" hidden="1" customHeight="1" x14ac:dyDescent="0.25">
      <c r="A543" s="129"/>
      <c r="B543" s="129"/>
      <c r="C543" s="145"/>
      <c r="D543" s="150" t="s">
        <v>284</v>
      </c>
      <c r="E543" s="165"/>
      <c r="F543" s="165"/>
      <c r="G543" s="108"/>
      <c r="H543" s="108"/>
      <c r="I543" s="108"/>
      <c r="J543" s="108"/>
      <c r="K543" s="108"/>
      <c r="L543" s="108"/>
      <c r="M543" s="108"/>
      <c r="N543" s="108"/>
      <c r="O543" s="108"/>
      <c r="P543" s="108"/>
      <c r="Q543" s="108"/>
      <c r="R543" s="437"/>
    </row>
    <row r="544" spans="1:18" ht="26.25" hidden="1" customHeight="1" x14ac:dyDescent="0.25">
      <c r="A544" s="129"/>
      <c r="B544" s="129"/>
      <c r="C544" s="145"/>
      <c r="D544" s="150" t="s">
        <v>683</v>
      </c>
      <c r="E544" s="165">
        <v>1</v>
      </c>
      <c r="F544" s="167">
        <v>191152</v>
      </c>
      <c r="G544" s="108"/>
      <c r="H544" s="108"/>
      <c r="I544" s="108"/>
      <c r="J544" s="108"/>
      <c r="K544" s="108"/>
      <c r="L544" s="108"/>
      <c r="M544" s="108"/>
      <c r="N544" s="108"/>
      <c r="O544" s="108"/>
      <c r="P544" s="108"/>
      <c r="Q544" s="108">
        <f>SUM(G544:P544)</f>
        <v>0</v>
      </c>
      <c r="R544" s="437"/>
    </row>
    <row r="545" spans="1:18" ht="16.2" hidden="1" customHeight="1" x14ac:dyDescent="0.25">
      <c r="A545" s="129"/>
      <c r="B545" s="129"/>
      <c r="C545" s="145"/>
      <c r="D545" s="167" t="s">
        <v>684</v>
      </c>
      <c r="E545" s="165">
        <v>2</v>
      </c>
      <c r="F545" s="167">
        <v>196919</v>
      </c>
      <c r="G545" s="108"/>
      <c r="H545" s="108"/>
      <c r="I545" s="108"/>
      <c r="J545" s="108"/>
      <c r="K545" s="108"/>
      <c r="L545" s="108"/>
      <c r="M545" s="108"/>
      <c r="N545" s="108"/>
      <c r="O545" s="108"/>
      <c r="P545" s="108"/>
      <c r="Q545" s="108">
        <f>SUM(G545:P545)</f>
        <v>0</v>
      </c>
      <c r="R545" s="437"/>
    </row>
    <row r="546" spans="1:18" ht="16.2" hidden="1" customHeight="1" x14ac:dyDescent="0.25">
      <c r="A546" s="511"/>
      <c r="B546" s="511"/>
      <c r="C546" s="544"/>
      <c r="D546" s="633" t="s">
        <v>740</v>
      </c>
      <c r="E546" s="634"/>
      <c r="F546" s="550"/>
      <c r="G546" s="537"/>
      <c r="H546" s="537"/>
      <c r="I546" s="537"/>
      <c r="J546" s="537"/>
      <c r="K546" s="537"/>
      <c r="L546" s="537"/>
      <c r="M546" s="537"/>
      <c r="N546" s="537"/>
      <c r="O546" s="537"/>
      <c r="P546" s="537"/>
      <c r="Q546" s="108"/>
      <c r="R546" s="535"/>
    </row>
    <row r="547" spans="1:18" ht="16.2" hidden="1" customHeight="1" x14ac:dyDescent="0.25">
      <c r="A547" s="511"/>
      <c r="B547" s="511"/>
      <c r="C547" s="544"/>
      <c r="D547" s="546" t="s">
        <v>1005</v>
      </c>
      <c r="E547" s="549">
        <v>2</v>
      </c>
      <c r="F547" s="550">
        <v>191134</v>
      </c>
      <c r="G547" s="537"/>
      <c r="H547" s="537"/>
      <c r="I547" s="537"/>
      <c r="J547" s="537"/>
      <c r="K547" s="537"/>
      <c r="L547" s="537"/>
      <c r="M547" s="537"/>
      <c r="N547" s="537"/>
      <c r="O547" s="537"/>
      <c r="P547" s="537"/>
      <c r="Q547" s="108">
        <f t="shared" ref="Q547:Q549" si="49">SUM(G547:P547)</f>
        <v>0</v>
      </c>
      <c r="R547" s="535"/>
    </row>
    <row r="548" spans="1:18" ht="22.5" hidden="1" customHeight="1" x14ac:dyDescent="0.25">
      <c r="A548" s="511"/>
      <c r="B548" s="511"/>
      <c r="C548" s="544"/>
      <c r="D548" s="765" t="s">
        <v>1124</v>
      </c>
      <c r="E548" s="552">
        <v>2</v>
      </c>
      <c r="F548" s="552">
        <v>191158</v>
      </c>
      <c r="G548" s="537"/>
      <c r="H548" s="537"/>
      <c r="I548" s="537"/>
      <c r="J548" s="537"/>
      <c r="K548" s="537"/>
      <c r="L548" s="537"/>
      <c r="M548" s="537"/>
      <c r="N548" s="537"/>
      <c r="O548" s="537"/>
      <c r="P548" s="537"/>
      <c r="Q548" s="108">
        <f t="shared" si="49"/>
        <v>0</v>
      </c>
      <c r="R548" s="535"/>
    </row>
    <row r="549" spans="1:18" ht="27.75" hidden="1" customHeight="1" x14ac:dyDescent="0.25">
      <c r="A549" s="511"/>
      <c r="B549" s="511"/>
      <c r="C549" s="544"/>
      <c r="D549" s="546" t="s">
        <v>1070</v>
      </c>
      <c r="E549" s="742">
        <v>1</v>
      </c>
      <c r="F549" s="742">
        <v>191909</v>
      </c>
      <c r="G549" s="537"/>
      <c r="H549" s="537"/>
      <c r="I549" s="537"/>
      <c r="J549" s="537"/>
      <c r="K549" s="537"/>
      <c r="L549" s="537"/>
      <c r="M549" s="537"/>
      <c r="N549" s="537"/>
      <c r="O549" s="537"/>
      <c r="P549" s="537"/>
      <c r="Q549" s="108">
        <f t="shared" si="49"/>
        <v>0</v>
      </c>
      <c r="R549" s="535"/>
    </row>
    <row r="550" spans="1:18" ht="17.100000000000001" hidden="1" customHeight="1" x14ac:dyDescent="0.25">
      <c r="A550" s="129"/>
      <c r="B550" s="129"/>
      <c r="C550" s="145"/>
      <c r="D550" s="143" t="s">
        <v>685</v>
      </c>
      <c r="E550" s="108"/>
      <c r="F550" s="195"/>
      <c r="G550" s="108"/>
      <c r="H550" s="108"/>
      <c r="I550" s="108"/>
      <c r="J550" s="108"/>
      <c r="K550" s="108"/>
      <c r="L550" s="108"/>
      <c r="M550" s="108"/>
      <c r="N550" s="108"/>
      <c r="O550" s="108"/>
      <c r="P550" s="108"/>
      <c r="Q550" s="108"/>
      <c r="R550" s="437"/>
    </row>
    <row r="551" spans="1:18" ht="17.100000000000001" hidden="1" customHeight="1" x14ac:dyDescent="0.25">
      <c r="A551" s="129"/>
      <c r="B551" s="129"/>
      <c r="C551" s="145"/>
      <c r="D551" s="143" t="s">
        <v>686</v>
      </c>
      <c r="E551" s="108">
        <v>2</v>
      </c>
      <c r="F551" s="196" t="s">
        <v>687</v>
      </c>
      <c r="G551" s="108"/>
      <c r="H551" s="108"/>
      <c r="I551" s="108"/>
      <c r="J551" s="108"/>
      <c r="K551" s="108"/>
      <c r="L551" s="108"/>
      <c r="M551" s="108"/>
      <c r="N551" s="108"/>
      <c r="O551" s="108"/>
      <c r="P551" s="108"/>
      <c r="Q551" s="108">
        <f>SUM(G551:P551)</f>
        <v>0</v>
      </c>
      <c r="R551" s="437"/>
    </row>
    <row r="552" spans="1:18" ht="17.100000000000001" customHeight="1" x14ac:dyDescent="0.25">
      <c r="A552" s="151"/>
      <c r="B552" s="151"/>
      <c r="C552" s="152"/>
      <c r="D552" s="153" t="s">
        <v>688</v>
      </c>
      <c r="E552" s="154"/>
      <c r="F552" s="154"/>
      <c r="G552" s="155">
        <f t="shared" ref="G552:Q552" si="50">SUM(G525:G551)</f>
        <v>0</v>
      </c>
      <c r="H552" s="155">
        <f t="shared" si="50"/>
        <v>0</v>
      </c>
      <c r="I552" s="155">
        <f t="shared" si="50"/>
        <v>45134</v>
      </c>
      <c r="J552" s="155">
        <f t="shared" si="50"/>
        <v>0</v>
      </c>
      <c r="K552" s="155">
        <f t="shared" si="50"/>
        <v>-15978</v>
      </c>
      <c r="L552" s="155">
        <f t="shared" si="50"/>
        <v>0</v>
      </c>
      <c r="M552" s="155">
        <f t="shared" si="50"/>
        <v>0</v>
      </c>
      <c r="N552" s="155">
        <f t="shared" si="50"/>
        <v>-250</v>
      </c>
      <c r="O552" s="155">
        <f t="shared" si="50"/>
        <v>0</v>
      </c>
      <c r="P552" s="155">
        <f t="shared" si="50"/>
        <v>0</v>
      </c>
      <c r="Q552" s="155">
        <f t="shared" si="50"/>
        <v>28906</v>
      </c>
      <c r="R552" s="438"/>
    </row>
    <row r="553" spans="1:18" ht="17.100000000000001" customHeight="1" x14ac:dyDescent="0.25">
      <c r="A553" s="156"/>
      <c r="B553" s="156"/>
      <c r="C553" s="174"/>
      <c r="D553" s="175" t="s">
        <v>666</v>
      </c>
      <c r="E553" s="158"/>
      <c r="F553" s="158"/>
      <c r="G553" s="159"/>
      <c r="H553" s="159"/>
      <c r="I553" s="159"/>
      <c r="J553" s="159"/>
      <c r="K553" s="159"/>
      <c r="L553" s="159"/>
      <c r="M553" s="159"/>
      <c r="N553" s="159"/>
      <c r="O553" s="159"/>
      <c r="P553" s="159"/>
      <c r="Q553" s="159"/>
      <c r="R553" s="437"/>
    </row>
    <row r="554" spans="1:18" ht="27" hidden="1" customHeight="1" x14ac:dyDescent="0.25">
      <c r="A554" s="539"/>
      <c r="B554" s="539"/>
      <c r="C554" s="544" t="s">
        <v>90</v>
      </c>
      <c r="D554" s="546" t="s">
        <v>1108</v>
      </c>
      <c r="E554" s="756"/>
      <c r="F554" s="742">
        <v>192909</v>
      </c>
      <c r="G554" s="537"/>
      <c r="H554" s="537"/>
      <c r="I554" s="537"/>
      <c r="J554" s="537"/>
      <c r="K554" s="537"/>
      <c r="L554" s="537"/>
      <c r="M554" s="537"/>
      <c r="N554" s="537"/>
      <c r="O554" s="537"/>
      <c r="P554" s="537"/>
      <c r="Q554" s="537">
        <f>SUM(G554:P554)</f>
        <v>0</v>
      </c>
      <c r="R554" s="535"/>
    </row>
    <row r="555" spans="1:18" ht="17.100000000000001" customHeight="1" x14ac:dyDescent="0.25">
      <c r="A555" s="151">
        <v>1</v>
      </c>
      <c r="B555" s="151">
        <v>20</v>
      </c>
      <c r="C555" s="152"/>
      <c r="D555" s="153" t="s">
        <v>298</v>
      </c>
      <c r="E555" s="154"/>
      <c r="F555" s="154"/>
      <c r="G555" s="155">
        <f>SUM(G552:G554)</f>
        <v>0</v>
      </c>
      <c r="H555" s="155">
        <f t="shared" ref="H555:Q555" si="51">SUM(H552:H554)</f>
        <v>0</v>
      </c>
      <c r="I555" s="155">
        <f t="shared" si="51"/>
        <v>45134</v>
      </c>
      <c r="J555" s="155">
        <f t="shared" si="51"/>
        <v>0</v>
      </c>
      <c r="K555" s="155">
        <f t="shared" si="51"/>
        <v>-15978</v>
      </c>
      <c r="L555" s="155">
        <f t="shared" si="51"/>
        <v>0</v>
      </c>
      <c r="M555" s="155">
        <f t="shared" si="51"/>
        <v>0</v>
      </c>
      <c r="N555" s="155">
        <f t="shared" si="51"/>
        <v>-250</v>
      </c>
      <c r="O555" s="155">
        <f t="shared" si="51"/>
        <v>0</v>
      </c>
      <c r="P555" s="155">
        <f t="shared" si="51"/>
        <v>0</v>
      </c>
      <c r="Q555" s="155">
        <f t="shared" si="51"/>
        <v>28906</v>
      </c>
      <c r="R555" s="438"/>
    </row>
    <row r="556" spans="1:18" ht="17.100000000000001" customHeight="1" x14ac:dyDescent="0.25">
      <c r="A556" s="197">
        <v>1</v>
      </c>
      <c r="B556" s="197" t="s">
        <v>689</v>
      </c>
      <c r="C556" s="198"/>
      <c r="D556" s="321" t="s">
        <v>690</v>
      </c>
      <c r="E556" s="199"/>
      <c r="F556" s="199"/>
      <c r="G556" s="200"/>
      <c r="H556" s="134"/>
      <c r="I556" s="134"/>
      <c r="J556" s="134"/>
      <c r="K556" s="134"/>
      <c r="L556" s="134"/>
      <c r="M556" s="108"/>
      <c r="N556" s="108"/>
      <c r="O556" s="200"/>
      <c r="P556" s="200"/>
      <c r="Q556" s="200"/>
      <c r="R556" s="437"/>
    </row>
    <row r="557" spans="1:18" ht="17.100000000000001" customHeight="1" x14ac:dyDescent="0.25">
      <c r="A557" s="197"/>
      <c r="B557" s="197"/>
      <c r="C557" s="198"/>
      <c r="D557" s="146" t="s">
        <v>206</v>
      </c>
      <c r="E557" s="161"/>
      <c r="F557" s="161"/>
      <c r="G557" s="200"/>
      <c r="H557" s="134"/>
      <c r="I557" s="134"/>
      <c r="J557" s="134"/>
      <c r="K557" s="134"/>
      <c r="L557" s="134"/>
      <c r="M557" s="108"/>
      <c r="N557" s="108"/>
      <c r="O557" s="200"/>
      <c r="P557" s="200"/>
      <c r="Q557" s="200"/>
      <c r="R557" s="437"/>
    </row>
    <row r="558" spans="1:18" ht="17.100000000000001" customHeight="1" x14ac:dyDescent="0.25">
      <c r="A558" s="197"/>
      <c r="B558" s="197"/>
      <c r="C558" s="198"/>
      <c r="D558" s="147" t="s">
        <v>691</v>
      </c>
      <c r="E558" s="192">
        <v>2</v>
      </c>
      <c r="F558" s="192">
        <v>221901</v>
      </c>
      <c r="G558" s="149">
        <v>12572</v>
      </c>
      <c r="H558" s="201">
        <v>4954</v>
      </c>
      <c r="I558" s="201">
        <v>11194</v>
      </c>
      <c r="J558" s="201"/>
      <c r="K558" s="201"/>
      <c r="L558" s="201"/>
      <c r="M558" s="201"/>
      <c r="N558" s="201"/>
      <c r="O558" s="201"/>
      <c r="P558" s="201"/>
      <c r="Q558" s="192">
        <f t="shared" ref="Q558:Q569" si="52">SUM(G558:P558)</f>
        <v>28720</v>
      </c>
      <c r="R558" s="437" t="s">
        <v>1155</v>
      </c>
    </row>
    <row r="559" spans="1:18" ht="17.100000000000001" hidden="1" customHeight="1" x14ac:dyDescent="0.25">
      <c r="A559" s="197"/>
      <c r="B559" s="197"/>
      <c r="C559" s="198"/>
      <c r="D559" s="142" t="s">
        <v>692</v>
      </c>
      <c r="E559" s="149">
        <v>1</v>
      </c>
      <c r="F559" s="108">
        <v>221912</v>
      </c>
      <c r="G559" s="201"/>
      <c r="H559" s="201"/>
      <c r="I559" s="201"/>
      <c r="J559" s="201"/>
      <c r="K559" s="201"/>
      <c r="L559" s="201"/>
      <c r="M559" s="201"/>
      <c r="N559" s="201"/>
      <c r="O559" s="201"/>
      <c r="P559" s="201"/>
      <c r="Q559" s="192">
        <f t="shared" si="52"/>
        <v>0</v>
      </c>
      <c r="R559" s="437"/>
    </row>
    <row r="560" spans="1:18" ht="17.100000000000001" hidden="1" customHeight="1" x14ac:dyDescent="0.25">
      <c r="A560" s="197"/>
      <c r="B560" s="197"/>
      <c r="C560" s="198"/>
      <c r="D560" s="142" t="s">
        <v>693</v>
      </c>
      <c r="E560" s="149">
        <v>2</v>
      </c>
      <c r="F560" s="108">
        <v>221916</v>
      </c>
      <c r="G560" s="201"/>
      <c r="H560" s="201"/>
      <c r="I560" s="201"/>
      <c r="J560" s="201"/>
      <c r="K560" s="201"/>
      <c r="L560" s="201"/>
      <c r="M560" s="201"/>
      <c r="N560" s="201"/>
      <c r="O560" s="201"/>
      <c r="P560" s="201"/>
      <c r="Q560" s="192">
        <f t="shared" si="52"/>
        <v>0</v>
      </c>
      <c r="R560" s="437"/>
    </row>
    <row r="561" spans="1:18" ht="17.100000000000001" hidden="1" customHeight="1" x14ac:dyDescent="0.25">
      <c r="A561" s="197"/>
      <c r="B561" s="197"/>
      <c r="C561" s="198"/>
      <c r="D561" s="143" t="s">
        <v>694</v>
      </c>
      <c r="E561" s="149">
        <v>2</v>
      </c>
      <c r="F561" s="108">
        <v>221904</v>
      </c>
      <c r="G561" s="201"/>
      <c r="H561" s="201"/>
      <c r="I561" s="201"/>
      <c r="J561" s="201"/>
      <c r="K561" s="201"/>
      <c r="L561" s="201"/>
      <c r="M561" s="201"/>
      <c r="N561" s="201"/>
      <c r="O561" s="201"/>
      <c r="P561" s="201"/>
      <c r="Q561" s="192">
        <f t="shared" si="52"/>
        <v>0</v>
      </c>
      <c r="R561" s="437"/>
    </row>
    <row r="562" spans="1:18" ht="17.100000000000001" hidden="1" customHeight="1" x14ac:dyDescent="0.25">
      <c r="A562" s="197"/>
      <c r="B562" s="197"/>
      <c r="C562" s="198"/>
      <c r="D562" s="143" t="s">
        <v>695</v>
      </c>
      <c r="E562" s="108">
        <v>2</v>
      </c>
      <c r="F562" s="108">
        <v>221922</v>
      </c>
      <c r="G562" s="201"/>
      <c r="H562" s="201"/>
      <c r="I562" s="201"/>
      <c r="J562" s="201"/>
      <c r="K562" s="201"/>
      <c r="L562" s="201"/>
      <c r="M562" s="201"/>
      <c r="N562" s="201"/>
      <c r="O562" s="201"/>
      <c r="P562" s="201"/>
      <c r="Q562" s="192">
        <f t="shared" si="52"/>
        <v>0</v>
      </c>
      <c r="R562" s="437"/>
    </row>
    <row r="563" spans="1:18" ht="17.100000000000001" customHeight="1" x14ac:dyDescent="0.25">
      <c r="A563" s="197"/>
      <c r="B563" s="197"/>
      <c r="C563" s="198"/>
      <c r="D563" s="143" t="s">
        <v>696</v>
      </c>
      <c r="E563" s="140">
        <v>2</v>
      </c>
      <c r="F563" s="108">
        <v>221939</v>
      </c>
      <c r="G563" s="201">
        <v>101</v>
      </c>
      <c r="H563" s="201">
        <v>12</v>
      </c>
      <c r="I563" s="201">
        <v>-353</v>
      </c>
      <c r="J563" s="201"/>
      <c r="K563" s="201">
        <v>-280</v>
      </c>
      <c r="L563" s="201"/>
      <c r="M563" s="201"/>
      <c r="N563" s="201"/>
      <c r="O563" s="201"/>
      <c r="P563" s="201"/>
      <c r="Q563" s="192">
        <f t="shared" si="52"/>
        <v>-520</v>
      </c>
      <c r="R563" s="437" t="s">
        <v>1154</v>
      </c>
    </row>
    <row r="564" spans="1:18" ht="17.100000000000001" hidden="1" customHeight="1" x14ac:dyDescent="0.25">
      <c r="A564" s="197"/>
      <c r="B564" s="197"/>
      <c r="C564" s="198"/>
      <c r="D564" s="143" t="s">
        <v>697</v>
      </c>
      <c r="E564" s="140">
        <v>2</v>
      </c>
      <c r="F564" s="108">
        <v>221927</v>
      </c>
      <c r="G564" s="201"/>
      <c r="H564" s="201"/>
      <c r="I564" s="201"/>
      <c r="J564" s="201"/>
      <c r="K564" s="201"/>
      <c r="L564" s="201"/>
      <c r="M564" s="201"/>
      <c r="N564" s="201"/>
      <c r="O564" s="201"/>
      <c r="P564" s="201"/>
      <c r="Q564" s="192">
        <f t="shared" si="52"/>
        <v>0</v>
      </c>
      <c r="R564" s="437"/>
    </row>
    <row r="565" spans="1:18" ht="24.75" hidden="1" customHeight="1" x14ac:dyDescent="0.25">
      <c r="A565" s="197"/>
      <c r="B565" s="197"/>
      <c r="C565" s="198"/>
      <c r="D565" s="322" t="s">
        <v>698</v>
      </c>
      <c r="E565" s="140">
        <v>2</v>
      </c>
      <c r="F565" s="108">
        <v>221935</v>
      </c>
      <c r="G565" s="201"/>
      <c r="H565" s="201"/>
      <c r="I565" s="201"/>
      <c r="J565" s="201"/>
      <c r="K565" s="201"/>
      <c r="L565" s="201"/>
      <c r="M565" s="201"/>
      <c r="N565" s="201"/>
      <c r="O565" s="201"/>
      <c r="P565" s="201"/>
      <c r="Q565" s="192">
        <f t="shared" si="52"/>
        <v>0</v>
      </c>
      <c r="R565" s="437"/>
    </row>
    <row r="566" spans="1:18" ht="17.100000000000001" customHeight="1" x14ac:dyDescent="0.25">
      <c r="A566" s="197"/>
      <c r="B566" s="197"/>
      <c r="C566" s="198"/>
      <c r="D566" s="143" t="s">
        <v>699</v>
      </c>
      <c r="E566" s="108">
        <v>2</v>
      </c>
      <c r="F566" s="108">
        <v>191110</v>
      </c>
      <c r="G566" s="201">
        <v>1500</v>
      </c>
      <c r="H566" s="201">
        <v>60</v>
      </c>
      <c r="I566" s="201">
        <v>-1690</v>
      </c>
      <c r="J566" s="201"/>
      <c r="K566" s="201"/>
      <c r="L566" s="201"/>
      <c r="M566" s="201"/>
      <c r="N566" s="201"/>
      <c r="O566" s="201"/>
      <c r="P566" s="201"/>
      <c r="Q566" s="192">
        <f t="shared" si="52"/>
        <v>-130</v>
      </c>
      <c r="R566" s="437" t="s">
        <v>1154</v>
      </c>
    </row>
    <row r="567" spans="1:18" ht="17.100000000000001" hidden="1" customHeight="1" x14ac:dyDescent="0.25">
      <c r="A567" s="197"/>
      <c r="B567" s="197"/>
      <c r="C567" s="198"/>
      <c r="D567" s="143" t="s">
        <v>867</v>
      </c>
      <c r="E567" s="108">
        <v>2</v>
      </c>
      <c r="F567" s="108">
        <v>221967</v>
      </c>
      <c r="G567" s="201"/>
      <c r="H567" s="201"/>
      <c r="I567" s="201"/>
      <c r="J567" s="201"/>
      <c r="K567" s="201"/>
      <c r="L567" s="201"/>
      <c r="M567" s="201"/>
      <c r="N567" s="201"/>
      <c r="O567" s="201"/>
      <c r="P567" s="201"/>
      <c r="Q567" s="192">
        <f t="shared" si="52"/>
        <v>0</v>
      </c>
      <c r="R567" s="437"/>
    </row>
    <row r="568" spans="1:18" ht="17.100000000000001" hidden="1" customHeight="1" x14ac:dyDescent="0.25">
      <c r="A568" s="197"/>
      <c r="B568" s="197"/>
      <c r="C568" s="198"/>
      <c r="D568" s="421" t="s">
        <v>926</v>
      </c>
      <c r="E568" s="408">
        <v>2</v>
      </c>
      <c r="F568" s="408">
        <v>191139</v>
      </c>
      <c r="G568" s="201"/>
      <c r="H568" s="201"/>
      <c r="I568" s="201"/>
      <c r="J568" s="201"/>
      <c r="K568" s="201"/>
      <c r="L568" s="201"/>
      <c r="M568" s="201"/>
      <c r="N568" s="201"/>
      <c r="O568" s="201"/>
      <c r="P568" s="201"/>
      <c r="Q568" s="192">
        <f t="shared" si="52"/>
        <v>0</v>
      </c>
      <c r="R568" s="437"/>
    </row>
    <row r="569" spans="1:18" ht="18.75" hidden="1" customHeight="1" x14ac:dyDescent="0.25">
      <c r="A569" s="197"/>
      <c r="B569" s="197"/>
      <c r="C569" s="198"/>
      <c r="D569" s="528" t="s">
        <v>1006</v>
      </c>
      <c r="E569" s="108">
        <v>2</v>
      </c>
      <c r="F569" s="108">
        <v>221963</v>
      </c>
      <c r="G569" s="201"/>
      <c r="H569" s="201"/>
      <c r="I569" s="201"/>
      <c r="J569" s="201"/>
      <c r="K569" s="201"/>
      <c r="L569" s="201"/>
      <c r="M569" s="201"/>
      <c r="N569" s="201"/>
      <c r="O569" s="201"/>
      <c r="P569" s="201"/>
      <c r="Q569" s="192">
        <f t="shared" si="52"/>
        <v>0</v>
      </c>
      <c r="R569" s="437"/>
    </row>
    <row r="570" spans="1:18" ht="17.100000000000001" hidden="1" customHeight="1" x14ac:dyDescent="0.25">
      <c r="A570" s="197"/>
      <c r="B570" s="197"/>
      <c r="C570" s="198"/>
      <c r="D570" s="143" t="s">
        <v>700</v>
      </c>
      <c r="E570" s="140"/>
      <c r="F570" s="140"/>
      <c r="G570" s="201"/>
      <c r="H570" s="201"/>
      <c r="I570" s="201"/>
      <c r="J570" s="201"/>
      <c r="K570" s="201"/>
      <c r="L570" s="201"/>
      <c r="M570" s="201"/>
      <c r="N570" s="201"/>
      <c r="O570" s="201"/>
      <c r="P570" s="201"/>
      <c r="Q570" s="192"/>
      <c r="R570" s="437"/>
    </row>
    <row r="571" spans="1:18" ht="17.100000000000001" hidden="1" customHeight="1" x14ac:dyDescent="0.25">
      <c r="A571" s="197"/>
      <c r="B571" s="197"/>
      <c r="C571" s="198"/>
      <c r="D571" s="143" t="s">
        <v>701</v>
      </c>
      <c r="E571" s="108">
        <v>2</v>
      </c>
      <c r="F571" s="108">
        <v>191301</v>
      </c>
      <c r="G571" s="201"/>
      <c r="H571" s="201"/>
      <c r="I571" s="201"/>
      <c r="J571" s="201"/>
      <c r="K571" s="201"/>
      <c r="L571" s="201"/>
      <c r="M571" s="201"/>
      <c r="N571" s="201"/>
      <c r="O571" s="201"/>
      <c r="P571" s="201"/>
      <c r="Q571" s="192">
        <f>SUM(G571:P571)</f>
        <v>0</v>
      </c>
      <c r="R571" s="437"/>
    </row>
    <row r="572" spans="1:18" ht="17.100000000000001" hidden="1" customHeight="1" x14ac:dyDescent="0.25">
      <c r="A572" s="156"/>
      <c r="B572" s="156"/>
      <c r="C572" s="174"/>
      <c r="D572" s="143" t="s">
        <v>702</v>
      </c>
      <c r="E572" s="108">
        <v>2</v>
      </c>
      <c r="F572" s="108">
        <v>191302</v>
      </c>
      <c r="G572" s="149"/>
      <c r="H572" s="149"/>
      <c r="I572" s="149"/>
      <c r="J572" s="149"/>
      <c r="K572" s="149"/>
      <c r="L572" s="149"/>
      <c r="M572" s="149"/>
      <c r="N572" s="149"/>
      <c r="O572" s="149"/>
      <c r="P572" s="149"/>
      <c r="Q572" s="108">
        <f>SUM(G572:P572)</f>
        <v>0</v>
      </c>
      <c r="R572" s="437"/>
    </row>
    <row r="573" spans="1:18" ht="17.100000000000001" customHeight="1" x14ac:dyDescent="0.25">
      <c r="A573" s="197"/>
      <c r="B573" s="197"/>
      <c r="C573" s="198"/>
      <c r="D573" s="323" t="s">
        <v>229</v>
      </c>
      <c r="E573" s="149"/>
      <c r="F573" s="108"/>
      <c r="G573" s="201"/>
      <c r="H573" s="201"/>
      <c r="I573" s="201"/>
      <c r="J573" s="201"/>
      <c r="K573" s="201"/>
      <c r="L573" s="201"/>
      <c r="M573" s="201"/>
      <c r="N573" s="201"/>
      <c r="O573" s="201"/>
      <c r="P573" s="201"/>
      <c r="Q573" s="192"/>
      <c r="R573" s="437"/>
    </row>
    <row r="574" spans="1:18" ht="17.100000000000001" customHeight="1" x14ac:dyDescent="0.25">
      <c r="A574" s="197"/>
      <c r="B574" s="197"/>
      <c r="C574" s="198"/>
      <c r="D574" s="150" t="s">
        <v>703</v>
      </c>
      <c r="E574" s="171">
        <v>2</v>
      </c>
      <c r="F574" s="167">
        <v>221951</v>
      </c>
      <c r="G574" s="201"/>
      <c r="H574" s="201"/>
      <c r="I574" s="201"/>
      <c r="J574" s="201"/>
      <c r="K574" s="201">
        <v>502</v>
      </c>
      <c r="L574" s="201"/>
      <c r="M574" s="201"/>
      <c r="N574" s="201"/>
      <c r="O574" s="201"/>
      <c r="P574" s="201"/>
      <c r="Q574" s="192">
        <f>SUM(G574:P574)</f>
        <v>502</v>
      </c>
      <c r="R574" s="437" t="s">
        <v>1154</v>
      </c>
    </row>
    <row r="575" spans="1:18" ht="17.100000000000001" customHeight="1" x14ac:dyDescent="0.25">
      <c r="A575" s="197"/>
      <c r="B575" s="197"/>
      <c r="C575" s="202"/>
      <c r="D575" s="324" t="s">
        <v>704</v>
      </c>
      <c r="E575" s="149">
        <v>2</v>
      </c>
      <c r="F575" s="108" t="s">
        <v>705</v>
      </c>
      <c r="G575" s="201">
        <v>77</v>
      </c>
      <c r="H575" s="201">
        <v>-23</v>
      </c>
      <c r="I575" s="201">
        <v>109</v>
      </c>
      <c r="J575" s="201"/>
      <c r="K575" s="201"/>
      <c r="L575" s="201"/>
      <c r="M575" s="201"/>
      <c r="N575" s="201"/>
      <c r="O575" s="201"/>
      <c r="P575" s="201"/>
      <c r="Q575" s="192">
        <f>SUM(G575:P575)</f>
        <v>163</v>
      </c>
      <c r="R575" s="437" t="s">
        <v>1152</v>
      </c>
    </row>
    <row r="576" spans="1:18" ht="17.100000000000001" hidden="1" customHeight="1" x14ac:dyDescent="0.25">
      <c r="A576" s="197"/>
      <c r="B576" s="197"/>
      <c r="C576" s="325"/>
      <c r="D576" s="324" t="s">
        <v>868</v>
      </c>
      <c r="E576" s="149">
        <v>2</v>
      </c>
      <c r="F576" s="108">
        <v>221969</v>
      </c>
      <c r="G576" s="201"/>
      <c r="H576" s="201"/>
      <c r="I576" s="201"/>
      <c r="J576" s="201"/>
      <c r="K576" s="201"/>
      <c r="L576" s="201"/>
      <c r="M576" s="201"/>
      <c r="N576" s="201"/>
      <c r="O576" s="201"/>
      <c r="P576" s="201"/>
      <c r="Q576" s="192">
        <f t="shared" ref="Q576" si="53">SUM(G576:P576)</f>
        <v>0</v>
      </c>
      <c r="R576" s="437"/>
    </row>
    <row r="577" spans="1:18" ht="17.100000000000001" customHeight="1" x14ac:dyDescent="0.25">
      <c r="A577" s="197"/>
      <c r="B577" s="197"/>
      <c r="C577" s="198"/>
      <c r="D577" s="142" t="s">
        <v>706</v>
      </c>
      <c r="E577" s="149"/>
      <c r="F577" s="108"/>
      <c r="G577" s="201"/>
      <c r="H577" s="201"/>
      <c r="I577" s="201"/>
      <c r="J577" s="201"/>
      <c r="K577" s="201"/>
      <c r="L577" s="201"/>
      <c r="M577" s="201"/>
      <c r="N577" s="201"/>
      <c r="O577" s="201"/>
      <c r="P577" s="201"/>
      <c r="Q577" s="192"/>
      <c r="R577" s="437"/>
    </row>
    <row r="578" spans="1:18" ht="17.100000000000001" hidden="1" customHeight="1" x14ac:dyDescent="0.25">
      <c r="A578" s="197"/>
      <c r="B578" s="197"/>
      <c r="C578" s="198"/>
      <c r="D578" s="142" t="s">
        <v>707</v>
      </c>
      <c r="E578" s="149">
        <v>2</v>
      </c>
      <c r="F578" s="108">
        <v>221929</v>
      </c>
      <c r="G578" s="201"/>
      <c r="H578" s="201"/>
      <c r="I578" s="201"/>
      <c r="J578" s="201"/>
      <c r="K578" s="201"/>
      <c r="L578" s="201"/>
      <c r="M578" s="201"/>
      <c r="N578" s="201"/>
      <c r="O578" s="201"/>
      <c r="P578" s="201"/>
      <c r="Q578" s="192">
        <f>SUM(G578:P578)</f>
        <v>0</v>
      </c>
      <c r="R578" s="437"/>
    </row>
    <row r="579" spans="1:18" ht="17.100000000000001" customHeight="1" x14ac:dyDescent="0.25">
      <c r="A579" s="197"/>
      <c r="B579" s="197"/>
      <c r="C579" s="325"/>
      <c r="D579" s="142" t="s">
        <v>708</v>
      </c>
      <c r="E579" s="149">
        <v>2</v>
      </c>
      <c r="F579" s="108">
        <v>191402</v>
      </c>
      <c r="G579" s="201"/>
      <c r="H579" s="201"/>
      <c r="I579" s="201"/>
      <c r="J579" s="201"/>
      <c r="K579" s="201">
        <v>3000</v>
      </c>
      <c r="L579" s="201"/>
      <c r="M579" s="201"/>
      <c r="N579" s="201"/>
      <c r="O579" s="201"/>
      <c r="P579" s="201"/>
      <c r="Q579" s="192">
        <f>SUM(G579:P579)</f>
        <v>3000</v>
      </c>
      <c r="R579" s="437" t="s">
        <v>1154</v>
      </c>
    </row>
    <row r="580" spans="1:18" ht="17.100000000000001" customHeight="1" x14ac:dyDescent="0.25">
      <c r="A580" s="197"/>
      <c r="B580" s="197"/>
      <c r="C580" s="325"/>
      <c r="D580" s="142" t="s">
        <v>709</v>
      </c>
      <c r="E580" s="149"/>
      <c r="F580" s="108"/>
      <c r="G580" s="201"/>
      <c r="H580" s="201"/>
      <c r="I580" s="201"/>
      <c r="J580" s="201"/>
      <c r="K580" s="201"/>
      <c r="L580" s="201"/>
      <c r="M580" s="201"/>
      <c r="N580" s="201"/>
      <c r="O580" s="201"/>
      <c r="P580" s="201"/>
      <c r="Q580" s="192"/>
      <c r="R580" s="437"/>
    </row>
    <row r="581" spans="1:18" ht="17.100000000000001" customHeight="1" x14ac:dyDescent="0.25">
      <c r="A581" s="197"/>
      <c r="B581" s="197"/>
      <c r="C581" s="325"/>
      <c r="D581" s="142" t="s">
        <v>710</v>
      </c>
      <c r="E581" s="149">
        <v>1</v>
      </c>
      <c r="F581" s="108">
        <v>221909</v>
      </c>
      <c r="G581" s="201"/>
      <c r="H581" s="201"/>
      <c r="I581" s="201"/>
      <c r="J581" s="201"/>
      <c r="K581" s="201">
        <v>-3000</v>
      </c>
      <c r="L581" s="201"/>
      <c r="M581" s="201"/>
      <c r="N581" s="201"/>
      <c r="O581" s="201"/>
      <c r="P581" s="201"/>
      <c r="Q581" s="192">
        <f>SUM(G581:P581)</f>
        <v>-3000</v>
      </c>
      <c r="R581" s="437" t="s">
        <v>1154</v>
      </c>
    </row>
    <row r="582" spans="1:18" ht="17.100000000000001" hidden="1" customHeight="1" x14ac:dyDescent="0.25">
      <c r="A582" s="197"/>
      <c r="B582" s="197"/>
      <c r="C582" s="198"/>
      <c r="D582" s="142" t="s">
        <v>711</v>
      </c>
      <c r="E582" s="149">
        <v>1</v>
      </c>
      <c r="F582" s="108">
        <v>221913</v>
      </c>
      <c r="G582" s="201"/>
      <c r="H582" s="201"/>
      <c r="I582" s="201"/>
      <c r="J582" s="201"/>
      <c r="K582" s="201"/>
      <c r="L582" s="201"/>
      <c r="M582" s="201"/>
      <c r="N582" s="201"/>
      <c r="O582" s="201"/>
      <c r="P582" s="201"/>
      <c r="Q582" s="192">
        <f>SUM(G582:P582)</f>
        <v>0</v>
      </c>
      <c r="R582" s="437"/>
    </row>
    <row r="583" spans="1:18" ht="17.100000000000001" hidden="1" customHeight="1" x14ac:dyDescent="0.25">
      <c r="A583" s="197"/>
      <c r="B583" s="197"/>
      <c r="C583" s="198"/>
      <c r="D583" s="142" t="s">
        <v>780</v>
      </c>
      <c r="E583" s="149">
        <v>1</v>
      </c>
      <c r="F583" s="108">
        <v>221962</v>
      </c>
      <c r="G583" s="201"/>
      <c r="H583" s="201"/>
      <c r="I583" s="201"/>
      <c r="J583" s="201"/>
      <c r="K583" s="201"/>
      <c r="L583" s="201"/>
      <c r="M583" s="201"/>
      <c r="N583" s="201"/>
      <c r="O583" s="201"/>
      <c r="P583" s="201"/>
      <c r="Q583" s="192">
        <f>SUM(G583:P583)</f>
        <v>0</v>
      </c>
      <c r="R583" s="437"/>
    </row>
    <row r="584" spans="1:18" ht="17.100000000000001" hidden="1" customHeight="1" x14ac:dyDescent="0.25">
      <c r="A584" s="197"/>
      <c r="B584" s="197"/>
      <c r="C584" s="198"/>
      <c r="D584" s="162" t="s">
        <v>712</v>
      </c>
      <c r="E584" s="149">
        <v>2</v>
      </c>
      <c r="F584" s="157">
        <v>221955</v>
      </c>
      <c r="G584" s="201"/>
      <c r="H584" s="201"/>
      <c r="I584" s="201"/>
      <c r="J584" s="201"/>
      <c r="K584" s="201"/>
      <c r="L584" s="201"/>
      <c r="M584" s="201"/>
      <c r="N584" s="201"/>
      <c r="O584" s="201"/>
      <c r="P584" s="201"/>
      <c r="Q584" s="192">
        <f>SUM(G584:P584)</f>
        <v>0</v>
      </c>
      <c r="R584" s="437"/>
    </row>
    <row r="585" spans="1:18" ht="17.100000000000001" customHeight="1" x14ac:dyDescent="0.25">
      <c r="A585" s="197"/>
      <c r="B585" s="197"/>
      <c r="C585" s="198"/>
      <c r="D585" s="143" t="s">
        <v>713</v>
      </c>
      <c r="E585" s="140"/>
      <c r="F585" s="140"/>
      <c r="G585" s="201"/>
      <c r="H585" s="201"/>
      <c r="I585" s="201"/>
      <c r="J585" s="201"/>
      <c r="K585" s="201"/>
      <c r="L585" s="201"/>
      <c r="M585" s="201"/>
      <c r="N585" s="201"/>
      <c r="O585" s="201"/>
      <c r="P585" s="201"/>
      <c r="Q585" s="108"/>
      <c r="R585" s="437"/>
    </row>
    <row r="586" spans="1:18" ht="14.25" customHeight="1" x14ac:dyDescent="0.25">
      <c r="A586" s="197"/>
      <c r="B586" s="197"/>
      <c r="C586" s="198"/>
      <c r="D586" s="143" t="s">
        <v>714</v>
      </c>
      <c r="E586" s="108">
        <v>2</v>
      </c>
      <c r="F586" s="108">
        <v>191151</v>
      </c>
      <c r="G586" s="201"/>
      <c r="H586" s="201"/>
      <c r="I586" s="201"/>
      <c r="J586" s="201"/>
      <c r="K586" s="201">
        <v>8000</v>
      </c>
      <c r="L586" s="201"/>
      <c r="M586" s="201"/>
      <c r="N586" s="201"/>
      <c r="O586" s="201"/>
      <c r="P586" s="201"/>
      <c r="Q586" s="108">
        <f>SUM(G586:P586)</f>
        <v>8000</v>
      </c>
      <c r="R586" s="437" t="s">
        <v>1152</v>
      </c>
    </row>
    <row r="587" spans="1:18" ht="15.9" hidden="1" customHeight="1" x14ac:dyDescent="0.25">
      <c r="A587" s="197"/>
      <c r="B587" s="197"/>
      <c r="C587" s="198"/>
      <c r="D587" s="143" t="s">
        <v>359</v>
      </c>
      <c r="E587" s="149"/>
      <c r="F587" s="157"/>
      <c r="G587" s="201"/>
      <c r="H587" s="201"/>
      <c r="I587" s="201"/>
      <c r="J587" s="201"/>
      <c r="K587" s="201"/>
      <c r="L587" s="201"/>
      <c r="M587" s="201"/>
      <c r="N587" s="201"/>
      <c r="O587" s="201"/>
      <c r="P587" s="201"/>
      <c r="Q587" s="192"/>
      <c r="R587" s="437"/>
    </row>
    <row r="588" spans="1:18" ht="18.75" hidden="1" customHeight="1" x14ac:dyDescent="0.25">
      <c r="A588" s="197"/>
      <c r="B588" s="197"/>
      <c r="C588" s="198"/>
      <c r="D588" s="150" t="s">
        <v>736</v>
      </c>
      <c r="E588" s="149">
        <v>2</v>
      </c>
      <c r="F588" s="157">
        <v>221961</v>
      </c>
      <c r="G588" s="201"/>
      <c r="H588" s="201"/>
      <c r="I588" s="201"/>
      <c r="J588" s="201"/>
      <c r="K588" s="201"/>
      <c r="L588" s="201"/>
      <c r="M588" s="201"/>
      <c r="N588" s="201"/>
      <c r="O588" s="201"/>
      <c r="P588" s="201"/>
      <c r="Q588" s="192">
        <f t="shared" ref="Q588:Q592" si="54">SUM(G588:P588)</f>
        <v>0</v>
      </c>
      <c r="R588" s="437"/>
    </row>
    <row r="589" spans="1:18" ht="16.5" hidden="1" customHeight="1" x14ac:dyDescent="0.25">
      <c r="A589" s="197"/>
      <c r="B589" s="197"/>
      <c r="C589" s="198"/>
      <c r="D589" s="537" t="s">
        <v>1007</v>
      </c>
      <c r="E589" s="532">
        <v>2</v>
      </c>
      <c r="F589" s="537">
        <v>121518</v>
      </c>
      <c r="G589" s="201"/>
      <c r="H589" s="201"/>
      <c r="I589" s="201"/>
      <c r="J589" s="201"/>
      <c r="K589" s="201"/>
      <c r="L589" s="201"/>
      <c r="M589" s="201"/>
      <c r="N589" s="201"/>
      <c r="O589" s="201"/>
      <c r="P589" s="201"/>
      <c r="Q589" s="192">
        <f t="shared" si="54"/>
        <v>0</v>
      </c>
      <c r="R589" s="437"/>
    </row>
    <row r="590" spans="1:18" ht="16.5" hidden="1" customHeight="1" x14ac:dyDescent="0.25">
      <c r="A590" s="757"/>
      <c r="B590" s="757"/>
      <c r="C590" s="758"/>
      <c r="D590" s="528" t="s">
        <v>1109</v>
      </c>
      <c r="E590" s="759">
        <v>2</v>
      </c>
      <c r="F590" s="742">
        <v>221975</v>
      </c>
      <c r="G590" s="744"/>
      <c r="H590" s="744"/>
      <c r="I590" s="744"/>
      <c r="J590" s="744"/>
      <c r="K590" s="744"/>
      <c r="L590" s="744"/>
      <c r="M590" s="744"/>
      <c r="N590" s="744"/>
      <c r="O590" s="744"/>
      <c r="P590" s="744"/>
      <c r="Q590" s="192">
        <f t="shared" si="54"/>
        <v>0</v>
      </c>
      <c r="R590" s="535"/>
    </row>
    <row r="591" spans="1:18" ht="16.5" hidden="1" customHeight="1" x14ac:dyDescent="0.25">
      <c r="A591" s="376"/>
      <c r="B591" s="376"/>
      <c r="C591" s="401"/>
      <c r="D591" s="537" t="s">
        <v>907</v>
      </c>
      <c r="E591" s="532">
        <v>2</v>
      </c>
      <c r="F591" s="410">
        <v>221970</v>
      </c>
      <c r="G591" s="377"/>
      <c r="H591" s="377"/>
      <c r="I591" s="377"/>
      <c r="J591" s="377"/>
      <c r="K591" s="377"/>
      <c r="L591" s="377"/>
      <c r="M591" s="377"/>
      <c r="N591" s="377"/>
      <c r="O591" s="377"/>
      <c r="P591" s="377"/>
      <c r="Q591" s="192">
        <f t="shared" si="54"/>
        <v>0</v>
      </c>
      <c r="R591" s="437"/>
    </row>
    <row r="592" spans="1:18" ht="23.4" hidden="1" customHeight="1" x14ac:dyDescent="0.25">
      <c r="A592" s="706"/>
      <c r="B592" s="706"/>
      <c r="C592" s="707"/>
      <c r="D592" s="710" t="s">
        <v>1053</v>
      </c>
      <c r="E592" s="708">
        <v>2</v>
      </c>
      <c r="F592" s="622">
        <v>221974</v>
      </c>
      <c r="G592" s="709"/>
      <c r="H592" s="709"/>
      <c r="I592" s="709"/>
      <c r="J592" s="709"/>
      <c r="K592" s="709"/>
      <c r="L592" s="709"/>
      <c r="M592" s="709"/>
      <c r="N592" s="709"/>
      <c r="O592" s="709"/>
      <c r="P592" s="709"/>
      <c r="Q592" s="192">
        <f t="shared" si="54"/>
        <v>0</v>
      </c>
      <c r="R592" s="644"/>
    </row>
    <row r="593" spans="1:18" ht="14.1" customHeight="1" x14ac:dyDescent="0.25">
      <c r="A593" s="151"/>
      <c r="B593" s="151"/>
      <c r="C593" s="355"/>
      <c r="D593" s="356" t="s">
        <v>715</v>
      </c>
      <c r="E593" s="357"/>
      <c r="F593" s="358"/>
      <c r="G593" s="203">
        <f>SUM(G558:G592)</f>
        <v>14250</v>
      </c>
      <c r="H593" s="203">
        <f t="shared" ref="H593:Q593" si="55">SUM(H558:H592)</f>
        <v>5003</v>
      </c>
      <c r="I593" s="203">
        <f t="shared" si="55"/>
        <v>9260</v>
      </c>
      <c r="J593" s="203">
        <f t="shared" si="55"/>
        <v>0</v>
      </c>
      <c r="K593" s="203">
        <f t="shared" si="55"/>
        <v>8222</v>
      </c>
      <c r="L593" s="203">
        <f t="shared" si="55"/>
        <v>0</v>
      </c>
      <c r="M593" s="203">
        <f t="shared" si="55"/>
        <v>0</v>
      </c>
      <c r="N593" s="203">
        <f t="shared" si="55"/>
        <v>0</v>
      </c>
      <c r="O593" s="203">
        <f t="shared" si="55"/>
        <v>0</v>
      </c>
      <c r="P593" s="203">
        <f t="shared" si="55"/>
        <v>0</v>
      </c>
      <c r="Q593" s="203">
        <f t="shared" si="55"/>
        <v>36735</v>
      </c>
      <c r="R593" s="438"/>
    </row>
    <row r="594" spans="1:18" ht="14.1" customHeight="1" x14ac:dyDescent="0.25">
      <c r="A594" s="156"/>
      <c r="B594" s="156"/>
      <c r="C594" s="156"/>
      <c r="D594" s="359" t="s">
        <v>716</v>
      </c>
      <c r="E594" s="360"/>
      <c r="F594" s="361"/>
      <c r="G594" s="177"/>
      <c r="H594" s="177"/>
      <c r="I594" s="177"/>
      <c r="J594" s="177"/>
      <c r="K594" s="177"/>
      <c r="L594" s="177"/>
      <c r="M594" s="177"/>
      <c r="N594" s="177"/>
      <c r="O594" s="177"/>
      <c r="P594" s="177"/>
      <c r="Q594" s="177"/>
      <c r="R594" s="437"/>
    </row>
    <row r="595" spans="1:18" ht="18" hidden="1" customHeight="1" x14ac:dyDescent="0.25">
      <c r="A595" s="156"/>
      <c r="B595" s="156"/>
      <c r="C595" s="362" t="s">
        <v>90</v>
      </c>
      <c r="D595" s="405" t="s">
        <v>887</v>
      </c>
      <c r="E595" s="149"/>
      <c r="F595" s="363">
        <v>222928</v>
      </c>
      <c r="G595" s="201"/>
      <c r="H595" s="201"/>
      <c r="I595" s="149"/>
      <c r="J595" s="201"/>
      <c r="K595" s="201"/>
      <c r="L595" s="149"/>
      <c r="M595" s="201"/>
      <c r="N595" s="201"/>
      <c r="O595" s="201"/>
      <c r="P595" s="201"/>
      <c r="Q595" s="192">
        <f t="shared" ref="Q595:Q597" si="56">SUM(G595:P595)</f>
        <v>0</v>
      </c>
      <c r="R595" s="437"/>
    </row>
    <row r="596" spans="1:18" ht="18" hidden="1" customHeight="1" x14ac:dyDescent="0.25">
      <c r="A596" s="539"/>
      <c r="B596" s="539"/>
      <c r="C596" s="544" t="s">
        <v>1082</v>
      </c>
      <c r="D596" s="613" t="s">
        <v>1083</v>
      </c>
      <c r="E596" s="743"/>
      <c r="F596" s="742">
        <v>222933</v>
      </c>
      <c r="G596" s="744"/>
      <c r="H596" s="744"/>
      <c r="I596" s="636"/>
      <c r="J596" s="744"/>
      <c r="K596" s="744"/>
      <c r="L596" s="636"/>
      <c r="M596" s="744"/>
      <c r="N596" s="744"/>
      <c r="O596" s="744"/>
      <c r="P596" s="744"/>
      <c r="Q596" s="192">
        <f t="shared" si="56"/>
        <v>0</v>
      </c>
      <c r="R596" s="535"/>
    </row>
    <row r="597" spans="1:18" ht="28.2" customHeight="1" x14ac:dyDescent="0.25">
      <c r="A597" s="793"/>
      <c r="B597" s="793"/>
      <c r="C597" s="737" t="s">
        <v>91</v>
      </c>
      <c r="D597" s="798" t="s">
        <v>1164</v>
      </c>
      <c r="E597" s="796"/>
      <c r="F597" s="730">
        <v>222934</v>
      </c>
      <c r="G597" s="799"/>
      <c r="H597" s="799"/>
      <c r="I597" s="797"/>
      <c r="J597" s="799"/>
      <c r="K597" s="799"/>
      <c r="L597" s="797"/>
      <c r="M597" s="799"/>
      <c r="N597" s="799">
        <v>132</v>
      </c>
      <c r="O597" s="799"/>
      <c r="P597" s="799"/>
      <c r="Q597" s="192">
        <f t="shared" si="56"/>
        <v>132</v>
      </c>
      <c r="R597" s="535" t="s">
        <v>1154</v>
      </c>
    </row>
    <row r="598" spans="1:18" ht="18" customHeight="1" x14ac:dyDescent="0.25">
      <c r="A598" s="151"/>
      <c r="B598" s="151"/>
      <c r="C598" s="355"/>
      <c r="D598" s="365" t="s">
        <v>717</v>
      </c>
      <c r="E598" s="357"/>
      <c r="F598" s="358"/>
      <c r="G598" s="203">
        <f>SUM(G593:G597)</f>
        <v>14250</v>
      </c>
      <c r="H598" s="203">
        <f t="shared" ref="H598:Q598" si="57">SUM(H593:H597)</f>
        <v>5003</v>
      </c>
      <c r="I598" s="203">
        <f t="shared" si="57"/>
        <v>9260</v>
      </c>
      <c r="J598" s="203">
        <f t="shared" si="57"/>
        <v>0</v>
      </c>
      <c r="K598" s="203">
        <f t="shared" si="57"/>
        <v>8222</v>
      </c>
      <c r="L598" s="203">
        <f t="shared" si="57"/>
        <v>0</v>
      </c>
      <c r="M598" s="203">
        <f t="shared" si="57"/>
        <v>0</v>
      </c>
      <c r="N598" s="203">
        <f t="shared" si="57"/>
        <v>132</v>
      </c>
      <c r="O598" s="203">
        <f t="shared" si="57"/>
        <v>0</v>
      </c>
      <c r="P598" s="203">
        <f t="shared" si="57"/>
        <v>0</v>
      </c>
      <c r="Q598" s="203">
        <f t="shared" si="57"/>
        <v>36867</v>
      </c>
      <c r="R598" s="438"/>
    </row>
    <row r="599" spans="1:18" ht="18" customHeight="1" x14ac:dyDescent="0.25">
      <c r="A599" s="156">
        <v>1</v>
      </c>
      <c r="B599" s="156">
        <v>30</v>
      </c>
      <c r="C599" s="366"/>
      <c r="D599" s="364" t="s">
        <v>718</v>
      </c>
      <c r="E599" s="363"/>
      <c r="F599" s="363"/>
      <c r="G599" s="108"/>
      <c r="H599" s="134"/>
      <c r="I599" s="134"/>
      <c r="J599" s="134"/>
      <c r="K599" s="134"/>
      <c r="L599" s="134"/>
      <c r="M599" s="108"/>
      <c r="N599" s="108"/>
      <c r="O599" s="108"/>
      <c r="P599" s="108"/>
      <c r="Q599" s="108"/>
      <c r="R599" s="437"/>
    </row>
    <row r="600" spans="1:18" ht="15.6" customHeight="1" x14ac:dyDescent="0.25">
      <c r="A600" s="156"/>
      <c r="B600" s="156">
        <v>31</v>
      </c>
      <c r="C600" s="366"/>
      <c r="D600" s="367" t="s">
        <v>719</v>
      </c>
      <c r="E600" s="108">
        <v>1</v>
      </c>
      <c r="F600" s="363">
        <v>311901</v>
      </c>
      <c r="G600" s="149"/>
      <c r="H600" s="149"/>
      <c r="I600" s="149"/>
      <c r="J600" s="149"/>
      <c r="K600" s="149">
        <v>-656</v>
      </c>
      <c r="L600" s="149"/>
      <c r="M600" s="149"/>
      <c r="N600" s="149"/>
      <c r="O600" s="149"/>
      <c r="P600" s="149"/>
      <c r="Q600" s="108">
        <f>SUM(K600:P600)</f>
        <v>-656</v>
      </c>
      <c r="R600" s="437" t="s">
        <v>1152</v>
      </c>
    </row>
    <row r="601" spans="1:18" ht="15" customHeight="1" x14ac:dyDescent="0.25">
      <c r="A601" s="129"/>
      <c r="B601" s="129">
        <v>32</v>
      </c>
      <c r="C601" s="362"/>
      <c r="D601" s="874" t="s">
        <v>720</v>
      </c>
      <c r="E601" s="875"/>
      <c r="F601" s="363"/>
      <c r="G601" s="149"/>
      <c r="H601" s="134"/>
      <c r="I601" s="134"/>
      <c r="J601" s="134"/>
      <c r="K601" s="134"/>
      <c r="L601" s="134"/>
      <c r="M601" s="149"/>
      <c r="N601" s="149"/>
      <c r="O601" s="108"/>
      <c r="P601" s="108"/>
      <c r="Q601" s="108"/>
      <c r="R601" s="437"/>
    </row>
    <row r="602" spans="1:18" ht="18" hidden="1" customHeight="1" x14ac:dyDescent="0.25">
      <c r="A602" s="129"/>
      <c r="B602" s="129"/>
      <c r="C602" s="362"/>
      <c r="D602" s="364" t="s">
        <v>781</v>
      </c>
      <c r="E602" s="108">
        <v>1</v>
      </c>
      <c r="F602" s="108">
        <v>321907</v>
      </c>
      <c r="G602" s="149"/>
      <c r="H602" s="149"/>
      <c r="I602" s="149"/>
      <c r="J602" s="149"/>
      <c r="K602" s="149"/>
      <c r="L602" s="149"/>
      <c r="M602" s="149"/>
      <c r="N602" s="149"/>
      <c r="O602" s="149"/>
      <c r="P602" s="149"/>
      <c r="Q602" s="108">
        <f t="shared" ref="Q602:Q610" si="58">SUM(K602:P602)</f>
        <v>0</v>
      </c>
      <c r="R602" s="437"/>
    </row>
    <row r="603" spans="1:18" ht="17.25" customHeight="1" x14ac:dyDescent="0.25">
      <c r="A603" s="326"/>
      <c r="B603" s="326"/>
      <c r="C603" s="326"/>
      <c r="D603" s="422" t="s">
        <v>721</v>
      </c>
      <c r="E603" s="204">
        <v>1</v>
      </c>
      <c r="F603" s="205">
        <v>321903</v>
      </c>
      <c r="G603" s="149"/>
      <c r="H603" s="149"/>
      <c r="I603" s="149"/>
      <c r="J603" s="149"/>
      <c r="K603" s="149">
        <v>15551</v>
      </c>
      <c r="L603" s="149"/>
      <c r="M603" s="149"/>
      <c r="N603" s="149"/>
      <c r="O603" s="149"/>
      <c r="P603" s="149"/>
      <c r="Q603" s="108">
        <f t="shared" si="58"/>
        <v>15551</v>
      </c>
      <c r="R603" s="437" t="s">
        <v>1152</v>
      </c>
    </row>
    <row r="604" spans="1:18" ht="18" hidden="1" customHeight="1" x14ac:dyDescent="0.25">
      <c r="A604" s="129"/>
      <c r="B604" s="129"/>
      <c r="C604" s="362"/>
      <c r="D604" s="364" t="s">
        <v>722</v>
      </c>
      <c r="E604" s="140">
        <v>1</v>
      </c>
      <c r="F604" s="108">
        <v>321908</v>
      </c>
      <c r="G604" s="149"/>
      <c r="H604" s="149"/>
      <c r="I604" s="149"/>
      <c r="J604" s="149"/>
      <c r="K604" s="149"/>
      <c r="L604" s="149"/>
      <c r="M604" s="149"/>
      <c r="N604" s="149"/>
      <c r="O604" s="149"/>
      <c r="P604" s="149"/>
      <c r="Q604" s="108">
        <f t="shared" si="58"/>
        <v>0</v>
      </c>
      <c r="R604" s="437"/>
    </row>
    <row r="605" spans="1:18" ht="16.95" customHeight="1" x14ac:dyDescent="0.25">
      <c r="A605" s="129"/>
      <c r="B605" s="129"/>
      <c r="C605" s="362"/>
      <c r="D605" s="322" t="s">
        <v>723</v>
      </c>
      <c r="E605" s="165">
        <v>1</v>
      </c>
      <c r="F605" s="167">
        <v>321933</v>
      </c>
      <c r="G605" s="149"/>
      <c r="H605" s="149"/>
      <c r="I605" s="149"/>
      <c r="J605" s="149"/>
      <c r="K605" s="149">
        <v>25816</v>
      </c>
      <c r="L605" s="149"/>
      <c r="M605" s="149"/>
      <c r="N605" s="149"/>
      <c r="O605" s="149"/>
      <c r="P605" s="149"/>
      <c r="Q605" s="108">
        <f t="shared" si="58"/>
        <v>25816</v>
      </c>
      <c r="R605" s="437" t="s">
        <v>1152</v>
      </c>
    </row>
    <row r="606" spans="1:18" ht="16.95" customHeight="1" x14ac:dyDescent="0.25">
      <c r="A606" s="511"/>
      <c r="B606" s="511"/>
      <c r="C606" s="544"/>
      <c r="D606" s="635" t="s">
        <v>1008</v>
      </c>
      <c r="E606" s="637">
        <v>1</v>
      </c>
      <c r="F606" s="638">
        <v>321924</v>
      </c>
      <c r="G606" s="636"/>
      <c r="H606" s="636"/>
      <c r="I606" s="636"/>
      <c r="J606" s="636"/>
      <c r="K606" s="636">
        <v>92541</v>
      </c>
      <c r="L606" s="636"/>
      <c r="M606" s="636"/>
      <c r="N606" s="636"/>
      <c r="O606" s="636"/>
      <c r="P606" s="636"/>
      <c r="Q606" s="108">
        <f t="shared" si="58"/>
        <v>92541</v>
      </c>
      <c r="R606" s="437" t="s">
        <v>1152</v>
      </c>
    </row>
    <row r="607" spans="1:18" ht="16.95" hidden="1" customHeight="1" x14ac:dyDescent="0.25">
      <c r="A607" s="511"/>
      <c r="B607" s="511"/>
      <c r="C607" s="544"/>
      <c r="D607" s="639" t="s">
        <v>1009</v>
      </c>
      <c r="E607" s="637">
        <v>1</v>
      </c>
      <c r="F607" s="638">
        <v>321925</v>
      </c>
      <c r="G607" s="636"/>
      <c r="H607" s="636"/>
      <c r="I607" s="636"/>
      <c r="J607" s="636"/>
      <c r="K607" s="636"/>
      <c r="L607" s="636"/>
      <c r="M607" s="636"/>
      <c r="N607" s="636"/>
      <c r="O607" s="636"/>
      <c r="P607" s="636"/>
      <c r="Q607" s="108">
        <f t="shared" si="58"/>
        <v>0</v>
      </c>
      <c r="R607" s="437"/>
    </row>
    <row r="608" spans="1:18" ht="15.6" customHeight="1" x14ac:dyDescent="0.25">
      <c r="A608" s="129"/>
      <c r="B608" s="129"/>
      <c r="C608" s="145"/>
      <c r="D608" s="327" t="s">
        <v>724</v>
      </c>
      <c r="E608" s="165">
        <v>1</v>
      </c>
      <c r="F608" s="167">
        <v>321934</v>
      </c>
      <c r="G608" s="149"/>
      <c r="H608" s="149"/>
      <c r="I608" s="149"/>
      <c r="J608" s="149"/>
      <c r="K608" s="149">
        <v>-942</v>
      </c>
      <c r="L608" s="149"/>
      <c r="M608" s="149"/>
      <c r="N608" s="149"/>
      <c r="O608" s="149"/>
      <c r="P608" s="149"/>
      <c r="Q608" s="108">
        <f t="shared" si="58"/>
        <v>-942</v>
      </c>
      <c r="R608" s="437" t="s">
        <v>1152</v>
      </c>
    </row>
    <row r="609" spans="1:18" ht="18" customHeight="1" x14ac:dyDescent="0.25">
      <c r="A609" s="129"/>
      <c r="B609" s="129"/>
      <c r="C609" s="145"/>
      <c r="D609" s="162" t="s">
        <v>725</v>
      </c>
      <c r="E609" s="165">
        <v>1</v>
      </c>
      <c r="F609" s="167">
        <v>321911</v>
      </c>
      <c r="G609" s="149"/>
      <c r="H609" s="149"/>
      <c r="I609" s="149"/>
      <c r="J609" s="149"/>
      <c r="K609" s="149">
        <v>-26500</v>
      </c>
      <c r="L609" s="149"/>
      <c r="M609" s="149"/>
      <c r="N609" s="149"/>
      <c r="O609" s="149"/>
      <c r="P609" s="149"/>
      <c r="Q609" s="108">
        <f t="shared" si="58"/>
        <v>-26500</v>
      </c>
      <c r="R609" s="437" t="s">
        <v>1152</v>
      </c>
    </row>
    <row r="610" spans="1:18" ht="18" hidden="1" customHeight="1" x14ac:dyDescent="0.25">
      <c r="A610" s="129"/>
      <c r="B610" s="129"/>
      <c r="C610" s="145"/>
      <c r="D610" s="150" t="s">
        <v>726</v>
      </c>
      <c r="E610" s="165">
        <v>1</v>
      </c>
      <c r="F610" s="167">
        <v>321909</v>
      </c>
      <c r="G610" s="149"/>
      <c r="H610" s="149"/>
      <c r="I610" s="149"/>
      <c r="J610" s="149"/>
      <c r="K610" s="149"/>
      <c r="L610" s="149"/>
      <c r="M610" s="149"/>
      <c r="N610" s="149"/>
      <c r="O610" s="149"/>
      <c r="P610" s="149"/>
      <c r="Q610" s="108">
        <f t="shared" si="58"/>
        <v>0</v>
      </c>
      <c r="R610" s="437"/>
    </row>
    <row r="611" spans="1:18" ht="16.95" customHeight="1" x14ac:dyDescent="0.25">
      <c r="A611" s="129"/>
      <c r="B611" s="129"/>
      <c r="C611" s="145"/>
      <c r="D611" s="175" t="s">
        <v>727</v>
      </c>
      <c r="E611" s="108"/>
      <c r="F611" s="108"/>
      <c r="G611" s="149"/>
      <c r="H611" s="134"/>
      <c r="I611" s="134"/>
      <c r="J611" s="134"/>
      <c r="K611" s="134"/>
      <c r="L611" s="134"/>
      <c r="M611" s="108"/>
      <c r="N611" s="108"/>
      <c r="O611" s="108"/>
      <c r="P611" s="108"/>
      <c r="Q611" s="108"/>
      <c r="R611" s="437"/>
    </row>
    <row r="612" spans="1:18" ht="18" customHeight="1" x14ac:dyDescent="0.25">
      <c r="A612" s="129"/>
      <c r="B612" s="129"/>
      <c r="C612" s="145" t="s">
        <v>90</v>
      </c>
      <c r="D612" s="328" t="s">
        <v>728</v>
      </c>
      <c r="E612" s="108">
        <v>1</v>
      </c>
      <c r="F612" s="108">
        <v>324902</v>
      </c>
      <c r="G612" s="149"/>
      <c r="H612" s="149"/>
      <c r="I612" s="149"/>
      <c r="J612" s="149"/>
      <c r="K612" s="149"/>
      <c r="L612" s="149"/>
      <c r="M612" s="149">
        <v>-7988</v>
      </c>
      <c r="N612" s="149"/>
      <c r="O612" s="149"/>
      <c r="P612" s="149"/>
      <c r="Q612" s="108">
        <f>SUM(K612:P612)</f>
        <v>-7988</v>
      </c>
      <c r="R612" s="437" t="s">
        <v>1154</v>
      </c>
    </row>
    <row r="613" spans="1:18" ht="18" customHeight="1" x14ac:dyDescent="0.25">
      <c r="A613" s="372"/>
      <c r="B613" s="372"/>
      <c r="C613" s="373" t="s">
        <v>89</v>
      </c>
      <c r="D613" s="329" t="s">
        <v>782</v>
      </c>
      <c r="E613" s="157">
        <v>1</v>
      </c>
      <c r="F613" s="157">
        <v>322906</v>
      </c>
      <c r="G613" s="375"/>
      <c r="H613" s="375"/>
      <c r="I613" s="375"/>
      <c r="J613" s="375"/>
      <c r="K613" s="375"/>
      <c r="L613" s="375">
        <v>-18196</v>
      </c>
      <c r="M613" s="375"/>
      <c r="N613" s="375"/>
      <c r="O613" s="375"/>
      <c r="P613" s="375"/>
      <c r="Q613" s="108">
        <f t="shared" ref="Q613:Q615" si="59">SUM(K613:P613)</f>
        <v>-18196</v>
      </c>
      <c r="R613" s="437" t="s">
        <v>1155</v>
      </c>
    </row>
    <row r="614" spans="1:18" ht="18" customHeight="1" x14ac:dyDescent="0.25">
      <c r="A614" s="640"/>
      <c r="B614" s="640"/>
      <c r="C614" s="641" t="s">
        <v>91</v>
      </c>
      <c r="D614" s="643" t="s">
        <v>1010</v>
      </c>
      <c r="E614" s="622">
        <v>1</v>
      </c>
      <c r="F614" s="622">
        <v>322909</v>
      </c>
      <c r="G614" s="642"/>
      <c r="H614" s="642"/>
      <c r="I614" s="642"/>
      <c r="J614" s="642"/>
      <c r="K614" s="642"/>
      <c r="L614" s="642">
        <v>2810</v>
      </c>
      <c r="M614" s="642"/>
      <c r="N614" s="642"/>
      <c r="O614" s="642"/>
      <c r="P614" s="642"/>
      <c r="Q614" s="108">
        <f t="shared" si="59"/>
        <v>2810</v>
      </c>
      <c r="R614" s="644" t="s">
        <v>1152</v>
      </c>
    </row>
    <row r="615" spans="1:18" ht="18" customHeight="1" x14ac:dyDescent="0.25">
      <c r="A615" s="640"/>
      <c r="B615" s="640"/>
      <c r="C615" s="641" t="s">
        <v>92</v>
      </c>
      <c r="D615" s="645" t="s">
        <v>1011</v>
      </c>
      <c r="E615" s="622">
        <v>1</v>
      </c>
      <c r="F615" s="622">
        <v>322917</v>
      </c>
      <c r="G615" s="642"/>
      <c r="H615" s="642"/>
      <c r="I615" s="642"/>
      <c r="J615" s="642"/>
      <c r="K615" s="642"/>
      <c r="L615" s="642">
        <v>-98606</v>
      </c>
      <c r="M615" s="642"/>
      <c r="N615" s="642"/>
      <c r="O615" s="642"/>
      <c r="P615" s="642"/>
      <c r="Q615" s="108">
        <f t="shared" si="59"/>
        <v>-98606</v>
      </c>
      <c r="R615" s="644" t="s">
        <v>1152</v>
      </c>
    </row>
    <row r="616" spans="1:18" ht="15.9" customHeight="1" x14ac:dyDescent="0.25">
      <c r="A616" s="151"/>
      <c r="B616" s="151"/>
      <c r="C616" s="152"/>
      <c r="D616" s="153" t="s">
        <v>729</v>
      </c>
      <c r="E616" s="154"/>
      <c r="F616" s="206"/>
      <c r="G616" s="207">
        <f>SUM(G600:G615)</f>
        <v>0</v>
      </c>
      <c r="H616" s="207">
        <f t="shared" ref="H616:Q616" si="60">SUM(H600:H615)</f>
        <v>0</v>
      </c>
      <c r="I616" s="207">
        <f t="shared" si="60"/>
        <v>0</v>
      </c>
      <c r="J616" s="207">
        <f t="shared" si="60"/>
        <v>0</v>
      </c>
      <c r="K616" s="207">
        <f t="shared" si="60"/>
        <v>105810</v>
      </c>
      <c r="L616" s="207">
        <f t="shared" si="60"/>
        <v>-113992</v>
      </c>
      <c r="M616" s="207">
        <f t="shared" si="60"/>
        <v>-7988</v>
      </c>
      <c r="N616" s="207">
        <f t="shared" si="60"/>
        <v>0</v>
      </c>
      <c r="O616" s="207">
        <f t="shared" si="60"/>
        <v>0</v>
      </c>
      <c r="P616" s="207">
        <f t="shared" si="60"/>
        <v>0</v>
      </c>
      <c r="Q616" s="207">
        <f t="shared" si="60"/>
        <v>-16170</v>
      </c>
      <c r="R616" s="438"/>
    </row>
    <row r="617" spans="1:18" ht="21.75" customHeight="1" x14ac:dyDescent="0.25">
      <c r="A617" s="151"/>
      <c r="B617" s="151"/>
      <c r="C617" s="152"/>
      <c r="D617" s="330" t="s">
        <v>730</v>
      </c>
      <c r="E617" s="331"/>
      <c r="F617" s="332"/>
      <c r="G617" s="208">
        <f t="shared" ref="G617:Q617" si="61">SUM(G48+G194+G206+G367+G479+G499+G524+G555+G598+G616)</f>
        <v>13153</v>
      </c>
      <c r="H617" s="208">
        <f t="shared" si="61"/>
        <v>4638</v>
      </c>
      <c r="I617" s="208">
        <f t="shared" si="61"/>
        <v>350882</v>
      </c>
      <c r="J617" s="208">
        <f t="shared" si="61"/>
        <v>-9751</v>
      </c>
      <c r="K617" s="208">
        <f t="shared" si="61"/>
        <v>132719</v>
      </c>
      <c r="L617" s="208">
        <f t="shared" si="61"/>
        <v>-1890</v>
      </c>
      <c r="M617" s="208">
        <f t="shared" si="61"/>
        <v>344243</v>
      </c>
      <c r="N617" s="208">
        <f t="shared" si="61"/>
        <v>444028</v>
      </c>
      <c r="O617" s="208">
        <f t="shared" si="61"/>
        <v>0</v>
      </c>
      <c r="P617" s="208">
        <f t="shared" si="61"/>
        <v>0</v>
      </c>
      <c r="Q617" s="208">
        <f t="shared" si="61"/>
        <v>1278022</v>
      </c>
      <c r="R617" s="438"/>
    </row>
    <row r="618" spans="1:18" ht="15.9" customHeight="1" x14ac:dyDescent="0.25">
      <c r="A618" s="129">
        <v>2</v>
      </c>
      <c r="B618" s="129"/>
      <c r="C618" s="129"/>
      <c r="D618" s="131" t="s">
        <v>174</v>
      </c>
      <c r="E618" s="157"/>
      <c r="F618" s="209"/>
      <c r="G618" s="210">
        <f>táj4!D23</f>
        <v>73495</v>
      </c>
      <c r="H618" s="210">
        <f>táj4!E23</f>
        <v>-8274</v>
      </c>
      <c r="I618" s="210">
        <f>táj4!F23</f>
        <v>-169809</v>
      </c>
      <c r="J618" s="210">
        <f>táj4!G23</f>
        <v>0</v>
      </c>
      <c r="K618" s="210">
        <f>táj4!H23</f>
        <v>10000</v>
      </c>
      <c r="L618" s="210">
        <f>táj4!I23</f>
        <v>-8381</v>
      </c>
      <c r="M618" s="210">
        <f>táj4!J23</f>
        <v>7697</v>
      </c>
      <c r="N618" s="210">
        <f>táj4!K23</f>
        <v>0</v>
      </c>
      <c r="O618" s="210"/>
      <c r="P618" s="210">
        <f>táj4!L23</f>
        <v>0</v>
      </c>
      <c r="Q618" s="210">
        <f>SUM(G618:P618)</f>
        <v>-95272</v>
      </c>
      <c r="R618" s="437"/>
    </row>
    <row r="619" spans="1:18" ht="15.9" customHeight="1" x14ac:dyDescent="0.25">
      <c r="A619" s="151"/>
      <c r="B619" s="151"/>
      <c r="C619" s="152"/>
      <c r="D619" s="153" t="s">
        <v>164</v>
      </c>
      <c r="E619" s="185"/>
      <c r="F619" s="211"/>
      <c r="G619" s="30">
        <f>SUM(G617:G618)</f>
        <v>86648</v>
      </c>
      <c r="H619" s="30">
        <f t="shared" ref="H619:P619" si="62">SUM(H617:H618)</f>
        <v>-3636</v>
      </c>
      <c r="I619" s="30">
        <f t="shared" si="62"/>
        <v>181073</v>
      </c>
      <c r="J619" s="30">
        <f t="shared" si="62"/>
        <v>-9751</v>
      </c>
      <c r="K619" s="30">
        <f t="shared" si="62"/>
        <v>142719</v>
      </c>
      <c r="L619" s="30">
        <f t="shared" si="62"/>
        <v>-10271</v>
      </c>
      <c r="M619" s="30">
        <f t="shared" si="62"/>
        <v>351940</v>
      </c>
      <c r="N619" s="30">
        <f t="shared" si="62"/>
        <v>444028</v>
      </c>
      <c r="O619" s="30">
        <f t="shared" si="62"/>
        <v>0</v>
      </c>
      <c r="P619" s="30">
        <f t="shared" si="62"/>
        <v>0</v>
      </c>
      <c r="Q619" s="30">
        <f>SUM(Q617:Q618)</f>
        <v>1182750</v>
      </c>
      <c r="R619" s="438"/>
    </row>
    <row r="620" spans="1:18" ht="12" x14ac:dyDescent="0.25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333"/>
      <c r="N620" s="333"/>
      <c r="O620" s="26"/>
      <c r="P620" s="26"/>
      <c r="Q620" s="26"/>
    </row>
    <row r="621" spans="1:18" ht="12.75" customHeight="1" x14ac:dyDescent="0.25">
      <c r="N621" s="846"/>
      <c r="O621" s="846"/>
      <c r="P621" s="846"/>
      <c r="Q621" s="213"/>
    </row>
  </sheetData>
  <sheetProtection selectLockedCells="1" selectUnlockedCells="1"/>
  <mergeCells count="14">
    <mergeCell ref="A1:A2"/>
    <mergeCell ref="B1:B2"/>
    <mergeCell ref="C1:C2"/>
    <mergeCell ref="D1:D2"/>
    <mergeCell ref="E1:E2"/>
    <mergeCell ref="D367:E367"/>
    <mergeCell ref="N621:P621"/>
    <mergeCell ref="D227:E227"/>
    <mergeCell ref="D601:E601"/>
    <mergeCell ref="R1:R2"/>
    <mergeCell ref="F1:F2"/>
    <mergeCell ref="G1:N1"/>
    <mergeCell ref="O1:P1"/>
    <mergeCell ref="Q1:Q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2023.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1"/>
  <sheetViews>
    <sheetView workbookViewId="0">
      <pane ySplit="2" topLeftCell="A18" activePane="bottomLeft" state="frozen"/>
      <selection activeCell="A30" sqref="A30"/>
      <selection pane="bottomLeft" activeCell="D23" sqref="D23:J23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5" width="12.33203125" style="74" customWidth="1"/>
    <col min="6" max="6" width="7.6640625" style="74" customWidth="1"/>
    <col min="7" max="7" width="10.33203125" style="74" customWidth="1"/>
    <col min="8" max="8" width="12" style="74" customWidth="1"/>
    <col min="9" max="10" width="12.33203125" style="74" customWidth="1"/>
    <col min="11" max="11" width="12.77734375" style="74" customWidth="1"/>
    <col min="12" max="12" width="14.77734375" style="74" customWidth="1"/>
    <col min="13" max="13" width="12" style="74" customWidth="1"/>
    <col min="14" max="14" width="13.33203125" style="74" customWidth="1"/>
    <col min="15" max="16384" width="9.33203125" style="74"/>
  </cols>
  <sheetData>
    <row r="1" spans="1:14" ht="12.75" customHeight="1" x14ac:dyDescent="0.25">
      <c r="A1" s="864" t="s">
        <v>925</v>
      </c>
      <c r="B1" s="868" t="s">
        <v>17</v>
      </c>
      <c r="C1" s="836" t="s">
        <v>124</v>
      </c>
      <c r="D1" s="869" t="s">
        <v>131</v>
      </c>
      <c r="E1" s="869"/>
      <c r="F1" s="869"/>
      <c r="G1" s="869"/>
      <c r="H1" s="869"/>
      <c r="I1" s="869"/>
      <c r="J1" s="869"/>
      <c r="K1" s="869" t="s">
        <v>188</v>
      </c>
      <c r="L1" s="869"/>
      <c r="M1" s="869"/>
      <c r="N1" s="878" t="s">
        <v>190</v>
      </c>
    </row>
    <row r="2" spans="1:14" s="75" customFormat="1" ht="78" customHeight="1" x14ac:dyDescent="0.25">
      <c r="A2" s="865"/>
      <c r="B2" s="868"/>
      <c r="C2" s="836"/>
      <c r="D2" s="78" t="s">
        <v>12</v>
      </c>
      <c r="E2" s="78" t="s">
        <v>13</v>
      </c>
      <c r="F2" s="66" t="s">
        <v>14</v>
      </c>
      <c r="G2" s="78" t="s">
        <v>184</v>
      </c>
      <c r="H2" s="66" t="s">
        <v>185</v>
      </c>
      <c r="I2" s="66" t="s">
        <v>186</v>
      </c>
      <c r="J2" s="66" t="s">
        <v>187</v>
      </c>
      <c r="K2" s="66" t="s">
        <v>133</v>
      </c>
      <c r="L2" s="66" t="s">
        <v>93</v>
      </c>
      <c r="M2" s="66" t="s">
        <v>135</v>
      </c>
      <c r="N2" s="879"/>
    </row>
    <row r="3" spans="1:14" s="75" customFormat="1" ht="15.75" customHeight="1" x14ac:dyDescent="0.25">
      <c r="A3" s="434">
        <v>2</v>
      </c>
      <c r="B3" s="426"/>
      <c r="C3" s="436" t="s">
        <v>174</v>
      </c>
      <c r="D3" s="427"/>
      <c r="E3" s="427"/>
      <c r="F3" s="428"/>
      <c r="G3" s="427"/>
      <c r="H3" s="428"/>
      <c r="I3" s="428"/>
      <c r="J3" s="428"/>
      <c r="K3" s="428"/>
      <c r="L3" s="428"/>
      <c r="M3" s="428"/>
      <c r="N3" s="429"/>
    </row>
    <row r="4" spans="1:14" ht="17.100000000000001" customHeight="1" x14ac:dyDescent="0.25">
      <c r="A4" s="424"/>
      <c r="B4" s="425">
        <v>1</v>
      </c>
      <c r="C4" s="79" t="s">
        <v>126</v>
      </c>
      <c r="D4" s="80">
        <v>2377</v>
      </c>
      <c r="E4" s="80"/>
      <c r="F4" s="80">
        <v>1250</v>
      </c>
      <c r="G4" s="80">
        <v>1713</v>
      </c>
      <c r="H4" s="80">
        <v>115</v>
      </c>
      <c r="I4" s="80"/>
      <c r="J4" s="80"/>
      <c r="K4" s="80"/>
      <c r="L4" s="80">
        <v>6627</v>
      </c>
      <c r="M4" s="80"/>
      <c r="N4" s="80">
        <f t="shared" ref="N4:N22" si="0">SUM(D4:M4)</f>
        <v>12082</v>
      </c>
    </row>
    <row r="5" spans="1:14" ht="17.100000000000001" customHeight="1" x14ac:dyDescent="0.25">
      <c r="A5" s="424"/>
      <c r="B5" s="425">
        <v>2</v>
      </c>
      <c r="C5" s="79" t="s">
        <v>121</v>
      </c>
      <c r="D5" s="80"/>
      <c r="E5" s="80"/>
      <c r="F5" s="80"/>
      <c r="G5" s="80"/>
      <c r="H5" s="80"/>
      <c r="I5" s="80"/>
      <c r="J5" s="80"/>
      <c r="K5" s="80"/>
      <c r="L5" s="80">
        <v>-25747</v>
      </c>
      <c r="M5" s="80"/>
      <c r="N5" s="80">
        <f t="shared" si="0"/>
        <v>-25747</v>
      </c>
    </row>
    <row r="6" spans="1:14" ht="17.100000000000001" customHeight="1" x14ac:dyDescent="0.25">
      <c r="A6" s="424"/>
      <c r="B6" s="425">
        <v>3</v>
      </c>
      <c r="C6" s="79" t="s">
        <v>150</v>
      </c>
      <c r="D6" s="80"/>
      <c r="E6" s="80"/>
      <c r="F6" s="80"/>
      <c r="G6" s="80"/>
      <c r="H6" s="80"/>
      <c r="I6" s="80"/>
      <c r="J6" s="80"/>
      <c r="K6" s="80"/>
      <c r="L6" s="80">
        <v>-5358</v>
      </c>
      <c r="M6" s="80"/>
      <c r="N6" s="80">
        <f t="shared" si="0"/>
        <v>-5358</v>
      </c>
    </row>
    <row r="7" spans="1:14" ht="24" customHeight="1" x14ac:dyDescent="0.25">
      <c r="A7" s="424"/>
      <c r="B7" s="425">
        <v>4</v>
      </c>
      <c r="C7" s="81" t="s">
        <v>176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>
        <f t="shared" si="0"/>
        <v>0</v>
      </c>
    </row>
    <row r="8" spans="1:14" ht="24" customHeight="1" x14ac:dyDescent="0.25">
      <c r="A8" s="424"/>
      <c r="B8" s="425">
        <v>5</v>
      </c>
      <c r="C8" s="81" t="s">
        <v>177</v>
      </c>
      <c r="D8" s="80"/>
      <c r="E8" s="80"/>
      <c r="F8" s="80"/>
      <c r="G8" s="80"/>
      <c r="H8" s="80"/>
      <c r="I8" s="80"/>
      <c r="J8" s="80"/>
      <c r="K8" s="80"/>
      <c r="L8" s="80">
        <v>9611</v>
      </c>
      <c r="M8" s="80"/>
      <c r="N8" s="80">
        <f t="shared" si="0"/>
        <v>9611</v>
      </c>
    </row>
    <row r="9" spans="1:14" ht="17.100000000000001" customHeight="1" x14ac:dyDescent="0.25">
      <c r="A9" s="424"/>
      <c r="B9" s="425">
        <v>6</v>
      </c>
      <c r="C9" s="82" t="s">
        <v>151</v>
      </c>
      <c r="D9" s="80">
        <v>150</v>
      </c>
      <c r="E9" s="80">
        <v>1050</v>
      </c>
      <c r="F9" s="80"/>
      <c r="G9" s="80"/>
      <c r="H9" s="80"/>
      <c r="I9" s="80"/>
      <c r="J9" s="80"/>
      <c r="K9" s="80"/>
      <c r="L9" s="80">
        <v>-585</v>
      </c>
      <c r="M9" s="80"/>
      <c r="N9" s="80">
        <f t="shared" si="0"/>
        <v>615</v>
      </c>
    </row>
    <row r="10" spans="1:14" ht="17.100000000000001" customHeight="1" x14ac:dyDescent="0.25">
      <c r="A10" s="424"/>
      <c r="B10" s="425">
        <v>7</v>
      </c>
      <c r="C10" s="82" t="s">
        <v>152</v>
      </c>
      <c r="D10" s="80"/>
      <c r="E10" s="80"/>
      <c r="F10" s="80"/>
      <c r="G10" s="80"/>
      <c r="H10" s="80"/>
      <c r="I10" s="80"/>
      <c r="J10" s="80"/>
      <c r="K10" s="80"/>
      <c r="L10" s="80">
        <v>-1967</v>
      </c>
      <c r="M10" s="80"/>
      <c r="N10" s="80">
        <f t="shared" si="0"/>
        <v>-1967</v>
      </c>
    </row>
    <row r="11" spans="1:14" ht="17.100000000000001" customHeight="1" x14ac:dyDescent="0.25">
      <c r="A11" s="424"/>
      <c r="B11" s="425">
        <v>8</v>
      </c>
      <c r="C11" s="82" t="s">
        <v>153</v>
      </c>
      <c r="D11" s="80"/>
      <c r="E11" s="80"/>
      <c r="F11" s="80"/>
      <c r="G11" s="80"/>
      <c r="H11" s="80"/>
      <c r="I11" s="80"/>
      <c r="J11" s="80"/>
      <c r="K11" s="80"/>
      <c r="L11" s="80">
        <v>-820</v>
      </c>
      <c r="M11" s="80"/>
      <c r="N11" s="80">
        <f t="shared" si="0"/>
        <v>-820</v>
      </c>
    </row>
    <row r="12" spans="1:14" ht="17.100000000000001" customHeight="1" x14ac:dyDescent="0.25">
      <c r="A12" s="424"/>
      <c r="B12" s="425">
        <v>9</v>
      </c>
      <c r="C12" s="82" t="s">
        <v>154</v>
      </c>
      <c r="D12" s="80"/>
      <c r="E12" s="80"/>
      <c r="F12" s="80"/>
      <c r="G12" s="80"/>
      <c r="H12" s="80"/>
      <c r="I12" s="80"/>
      <c r="J12" s="80"/>
      <c r="K12" s="80"/>
      <c r="L12" s="80">
        <v>-5892</v>
      </c>
      <c r="M12" s="80"/>
      <c r="N12" s="80">
        <f t="shared" si="0"/>
        <v>-5892</v>
      </c>
    </row>
    <row r="13" spans="1:14" ht="18" customHeight="1" x14ac:dyDescent="0.25">
      <c r="A13" s="424"/>
      <c r="B13" s="425">
        <v>10</v>
      </c>
      <c r="C13" s="82" t="s">
        <v>178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>
        <f t="shared" si="0"/>
        <v>0</v>
      </c>
    </row>
    <row r="14" spans="1:14" ht="17.100000000000001" customHeight="1" x14ac:dyDescent="0.25">
      <c r="A14" s="424"/>
      <c r="B14" s="425">
        <v>11</v>
      </c>
      <c r="C14" s="83" t="s">
        <v>148</v>
      </c>
      <c r="D14" s="80">
        <v>9232</v>
      </c>
      <c r="E14" s="80">
        <v>1500</v>
      </c>
      <c r="F14" s="80"/>
      <c r="G14" s="80">
        <v>40000</v>
      </c>
      <c r="H14" s="80"/>
      <c r="I14" s="80"/>
      <c r="J14" s="80"/>
      <c r="K14" s="80"/>
      <c r="L14" s="80">
        <v>3763</v>
      </c>
      <c r="M14" s="80"/>
      <c r="N14" s="80">
        <f t="shared" si="0"/>
        <v>54495</v>
      </c>
    </row>
    <row r="15" spans="1:14" ht="27" customHeight="1" x14ac:dyDescent="0.25">
      <c r="A15" s="424"/>
      <c r="B15" s="425">
        <v>12</v>
      </c>
      <c r="C15" s="81" t="s">
        <v>155</v>
      </c>
      <c r="D15" s="80">
        <v>-2</v>
      </c>
      <c r="E15" s="80"/>
      <c r="F15" s="80"/>
      <c r="G15" s="80">
        <v>1000</v>
      </c>
      <c r="H15" s="80"/>
      <c r="I15" s="80"/>
      <c r="J15" s="80"/>
      <c r="K15" s="80"/>
      <c r="L15" s="80">
        <v>-260</v>
      </c>
      <c r="M15" s="80"/>
      <c r="N15" s="80">
        <f t="shared" si="0"/>
        <v>738</v>
      </c>
    </row>
    <row r="16" spans="1:14" ht="17.100000000000001" customHeight="1" x14ac:dyDescent="0.25">
      <c r="A16" s="424"/>
      <c r="B16" s="425">
        <v>13</v>
      </c>
      <c r="C16" s="82" t="s">
        <v>149</v>
      </c>
      <c r="D16" s="80">
        <v>5481</v>
      </c>
      <c r="E16" s="80"/>
      <c r="F16" s="80"/>
      <c r="G16" s="80"/>
      <c r="H16" s="80"/>
      <c r="I16" s="80"/>
      <c r="J16" s="80"/>
      <c r="K16" s="80"/>
      <c r="L16" s="80">
        <v>-15034</v>
      </c>
      <c r="M16" s="80"/>
      <c r="N16" s="80">
        <f t="shared" si="0"/>
        <v>-9553</v>
      </c>
    </row>
    <row r="17" spans="1:14" ht="17.100000000000001" customHeight="1" x14ac:dyDescent="0.25">
      <c r="A17" s="424"/>
      <c r="B17" s="425">
        <v>14</v>
      </c>
      <c r="C17" s="82" t="s">
        <v>1107</v>
      </c>
      <c r="D17" s="80">
        <v>9095</v>
      </c>
      <c r="E17" s="80">
        <v>2000</v>
      </c>
      <c r="F17" s="80"/>
      <c r="G17" s="80"/>
      <c r="H17" s="80"/>
      <c r="I17" s="80">
        <v>218</v>
      </c>
      <c r="J17" s="80">
        <v>1424</v>
      </c>
      <c r="K17" s="80"/>
      <c r="L17" s="80">
        <v>-16641</v>
      </c>
      <c r="M17" s="80"/>
      <c r="N17" s="80">
        <f t="shared" si="0"/>
        <v>-3904</v>
      </c>
    </row>
    <row r="18" spans="1:14" ht="17.100000000000001" customHeight="1" x14ac:dyDescent="0.25">
      <c r="A18" s="424"/>
      <c r="B18" s="425">
        <v>15</v>
      </c>
      <c r="C18" s="82" t="s">
        <v>156</v>
      </c>
      <c r="D18" s="80">
        <v>-16253</v>
      </c>
      <c r="E18" s="80">
        <v>-747</v>
      </c>
      <c r="F18" s="80"/>
      <c r="G18" s="80">
        <v>2000</v>
      </c>
      <c r="H18" s="80"/>
      <c r="I18" s="80"/>
      <c r="J18" s="80"/>
      <c r="K18" s="80"/>
      <c r="L18" s="80">
        <v>-15147</v>
      </c>
      <c r="M18" s="80"/>
      <c r="N18" s="80">
        <f t="shared" si="0"/>
        <v>-30147</v>
      </c>
    </row>
    <row r="19" spans="1:14" ht="17.100000000000001" customHeight="1" x14ac:dyDescent="0.25">
      <c r="A19" s="424"/>
      <c r="B19" s="425">
        <v>16</v>
      </c>
      <c r="C19" s="82" t="s">
        <v>157</v>
      </c>
      <c r="D19" s="80">
        <v>3500</v>
      </c>
      <c r="E19" s="80"/>
      <c r="F19" s="80"/>
      <c r="G19" s="80">
        <v>4500</v>
      </c>
      <c r="H19" s="80"/>
      <c r="I19" s="80"/>
      <c r="J19" s="80"/>
      <c r="K19" s="80"/>
      <c r="L19" s="80"/>
      <c r="M19" s="80"/>
      <c r="N19" s="80">
        <f t="shared" si="0"/>
        <v>8000</v>
      </c>
    </row>
    <row r="20" spans="1:14" ht="17.100000000000001" customHeight="1" x14ac:dyDescent="0.25">
      <c r="A20" s="424"/>
      <c r="B20" s="425">
        <v>17</v>
      </c>
      <c r="C20" s="82" t="s">
        <v>179</v>
      </c>
      <c r="D20" s="80"/>
      <c r="E20" s="80"/>
      <c r="F20" s="80"/>
      <c r="G20" s="80">
        <v>-35000</v>
      </c>
      <c r="H20" s="80"/>
      <c r="I20" s="80"/>
      <c r="J20" s="80"/>
      <c r="K20" s="80"/>
      <c r="L20" s="80">
        <v>-63925</v>
      </c>
      <c r="M20" s="80"/>
      <c r="N20" s="80">
        <f t="shared" si="0"/>
        <v>-98925</v>
      </c>
    </row>
    <row r="21" spans="1:14" ht="17.100000000000001" customHeight="1" x14ac:dyDescent="0.25">
      <c r="A21" s="424"/>
      <c r="B21" s="425">
        <v>18</v>
      </c>
      <c r="C21" s="82" t="s">
        <v>182</v>
      </c>
      <c r="D21" s="80"/>
      <c r="E21" s="80"/>
      <c r="F21" s="80"/>
      <c r="G21" s="80">
        <v>1000</v>
      </c>
      <c r="H21" s="80"/>
      <c r="I21" s="80"/>
      <c r="J21" s="80"/>
      <c r="K21" s="80"/>
      <c r="L21" s="80"/>
      <c r="M21" s="80"/>
      <c r="N21" s="80">
        <f t="shared" si="0"/>
        <v>1000</v>
      </c>
    </row>
    <row r="22" spans="1:14" ht="27" customHeight="1" x14ac:dyDescent="0.25">
      <c r="A22" s="774"/>
      <c r="B22" s="775">
        <v>19</v>
      </c>
      <c r="C22" s="777" t="s">
        <v>1133</v>
      </c>
      <c r="D22" s="776">
        <v>500</v>
      </c>
      <c r="E22" s="776"/>
      <c r="F22" s="776"/>
      <c r="G22" s="776"/>
      <c r="H22" s="776"/>
      <c r="I22" s="776"/>
      <c r="J22" s="776"/>
      <c r="K22" s="776"/>
      <c r="L22" s="776"/>
      <c r="M22" s="776"/>
      <c r="N22" s="80">
        <f t="shared" si="0"/>
        <v>500</v>
      </c>
    </row>
    <row r="23" spans="1:14" ht="14.25" customHeight="1" x14ac:dyDescent="0.25">
      <c r="A23" s="430"/>
      <c r="B23" s="423"/>
      <c r="C23" s="84" t="s">
        <v>11</v>
      </c>
      <c r="D23" s="85">
        <f>SUM(D4:D22)</f>
        <v>14080</v>
      </c>
      <c r="E23" s="85">
        <f t="shared" ref="E23:N23" si="1">SUM(E4:E22)</f>
        <v>3803</v>
      </c>
      <c r="F23" s="85">
        <f t="shared" si="1"/>
        <v>1250</v>
      </c>
      <c r="G23" s="85">
        <f t="shared" si="1"/>
        <v>15213</v>
      </c>
      <c r="H23" s="85">
        <f t="shared" si="1"/>
        <v>115</v>
      </c>
      <c r="I23" s="85">
        <f t="shared" si="1"/>
        <v>218</v>
      </c>
      <c r="J23" s="85">
        <f t="shared" si="1"/>
        <v>1424</v>
      </c>
      <c r="K23" s="85">
        <f t="shared" si="1"/>
        <v>0</v>
      </c>
      <c r="L23" s="85">
        <f t="shared" si="1"/>
        <v>-131375</v>
      </c>
      <c r="M23" s="85">
        <f t="shared" si="1"/>
        <v>0</v>
      </c>
      <c r="N23" s="85">
        <f t="shared" si="1"/>
        <v>-95272</v>
      </c>
    </row>
    <row r="24" spans="1:14" ht="14.1" customHeight="1" x14ac:dyDescent="0.25">
      <c r="D24" s="76"/>
      <c r="E24" s="76"/>
      <c r="F24" s="76"/>
      <c r="G24" s="76"/>
      <c r="H24" s="76"/>
      <c r="I24" s="76"/>
      <c r="J24" s="76"/>
      <c r="K24" s="76"/>
      <c r="L24" s="76"/>
    </row>
    <row r="25" spans="1:14" ht="14.1" customHeight="1" x14ac:dyDescent="0.25">
      <c r="D25" s="76"/>
      <c r="E25" s="76"/>
      <c r="F25" s="76"/>
      <c r="G25" s="76"/>
      <c r="H25" s="76"/>
      <c r="I25" s="76"/>
      <c r="J25" s="76"/>
      <c r="K25" s="76"/>
      <c r="L25" s="76"/>
    </row>
    <row r="26" spans="1:14" ht="14.1" customHeight="1" x14ac:dyDescent="0.25">
      <c r="D26" s="76"/>
      <c r="E26" s="76"/>
      <c r="F26" s="76"/>
      <c r="G26" s="76"/>
      <c r="H26" s="76"/>
      <c r="I26" s="76"/>
      <c r="J26" s="76"/>
      <c r="K26" s="76"/>
      <c r="L26" s="86"/>
    </row>
    <row r="27" spans="1:14" ht="14.1" customHeight="1" x14ac:dyDescent="0.25">
      <c r="D27" s="76"/>
      <c r="E27" s="76"/>
      <c r="F27" s="76"/>
      <c r="G27" s="76"/>
      <c r="H27" s="76"/>
      <c r="I27" s="76"/>
      <c r="J27" s="76"/>
      <c r="K27" s="76"/>
      <c r="L27" s="86"/>
    </row>
    <row r="28" spans="1:14" ht="14.1" customHeight="1" x14ac:dyDescent="0.25">
      <c r="D28" s="76"/>
      <c r="E28" s="76"/>
      <c r="F28" s="76"/>
      <c r="G28" s="76"/>
      <c r="H28" s="76"/>
      <c r="I28" s="76"/>
      <c r="J28" s="76"/>
      <c r="K28" s="76"/>
      <c r="L28" s="76"/>
    </row>
    <row r="29" spans="1:14" ht="14.1" customHeight="1" x14ac:dyDescent="0.25"/>
    <row r="30" spans="1:14" ht="14.1" customHeight="1" x14ac:dyDescent="0.25"/>
    <row r="31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88" orientation="landscape" r:id="rId1"/>
  <headerFooter alignWithMargins="0">
    <oddHeader>&amp;C&amp;"Times New Roman,Félkövér dőlt"ZALAEGERSZEG  MEGYEI JOGÚ VÁROS ÖNKORMÁNYZATA ÁLTAL IRÁNYÍTOTT KÖLTSÉGVETÉSI SZERVEK
  2023. ÉVI  BEVÉTELI ELŐIRÁNYZATAINAK MÓDOSÍTÁSA&amp;R&amp;"Times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28"/>
  <sheetViews>
    <sheetView zoomScale="110" workbookViewId="0">
      <pane ySplit="2" topLeftCell="A24" activePane="bottomLeft" state="frozen"/>
      <selection activeCell="A30" sqref="A30"/>
      <selection pane="bottomLeft" activeCell="F15" sqref="F15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0" style="11" customWidth="1"/>
    <col min="5" max="5" width="11.77734375" style="11" customWidth="1"/>
    <col min="6" max="6" width="9.77734375" style="11" customWidth="1"/>
    <col min="7" max="8" width="10.44140625" style="11" customWidth="1"/>
    <col min="9" max="9" width="11.109375" style="11" customWidth="1"/>
    <col min="10" max="10" width="11.77734375" style="11" customWidth="1"/>
    <col min="11" max="11" width="9.44140625" style="11" customWidth="1"/>
    <col min="12" max="12" width="8.109375" style="11" customWidth="1"/>
    <col min="13" max="13" width="10.77734375" style="11" customWidth="1"/>
    <col min="14" max="16384" width="9.33203125" style="11"/>
  </cols>
  <sheetData>
    <row r="1" spans="1:13" ht="12.75" customHeight="1" x14ac:dyDescent="0.25">
      <c r="A1" s="843" t="s">
        <v>87</v>
      </c>
      <c r="B1" s="871" t="s">
        <v>17</v>
      </c>
      <c r="C1" s="843" t="s">
        <v>124</v>
      </c>
      <c r="D1" s="842" t="s">
        <v>130</v>
      </c>
      <c r="E1" s="842"/>
      <c r="F1" s="842"/>
      <c r="G1" s="842"/>
      <c r="H1" s="842"/>
      <c r="I1" s="842"/>
      <c r="J1" s="842"/>
      <c r="K1" s="842"/>
      <c r="L1" s="843" t="s">
        <v>129</v>
      </c>
      <c r="M1" s="843" t="s">
        <v>172</v>
      </c>
    </row>
    <row r="2" spans="1:13" s="19" customFormat="1" ht="60" customHeight="1" x14ac:dyDescent="0.25">
      <c r="A2" s="843"/>
      <c r="B2" s="872"/>
      <c r="C2" s="843"/>
      <c r="D2" s="65" t="s">
        <v>111</v>
      </c>
      <c r="E2" s="65" t="s">
        <v>189</v>
      </c>
      <c r="F2" s="65" t="s">
        <v>183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870"/>
      <c r="M2" s="843"/>
    </row>
    <row r="3" spans="1:13" s="19" customFormat="1" ht="17.25" customHeight="1" x14ac:dyDescent="0.25">
      <c r="A3" s="435">
        <v>2</v>
      </c>
      <c r="B3" s="432"/>
      <c r="C3" s="436" t="s">
        <v>174</v>
      </c>
      <c r="D3" s="432"/>
      <c r="E3" s="432"/>
      <c r="F3" s="432"/>
      <c r="G3" s="432"/>
      <c r="H3" s="432"/>
      <c r="I3" s="432"/>
      <c r="J3" s="432"/>
      <c r="K3" s="432"/>
      <c r="L3" s="433"/>
      <c r="M3" s="432"/>
    </row>
    <row r="4" spans="1:13" s="19" customFormat="1" ht="15" customHeight="1" x14ac:dyDescent="0.25">
      <c r="A4" s="87"/>
      <c r="B4" s="425">
        <v>1</v>
      </c>
      <c r="C4" s="88" t="s">
        <v>126</v>
      </c>
      <c r="D4" s="89">
        <v>15571</v>
      </c>
      <c r="E4" s="89">
        <v>3112</v>
      </c>
      <c r="F4" s="89">
        <v>4399</v>
      </c>
      <c r="G4" s="89"/>
      <c r="H4" s="89"/>
      <c r="I4" s="89">
        <v>-13000</v>
      </c>
      <c r="J4" s="89">
        <v>2000</v>
      </c>
      <c r="K4" s="89"/>
      <c r="L4" s="89"/>
      <c r="M4" s="89">
        <f t="shared" ref="M4:M22" si="0">SUM(D4:L4)</f>
        <v>12082</v>
      </c>
    </row>
    <row r="5" spans="1:13" s="19" customFormat="1" ht="15" customHeight="1" x14ac:dyDescent="0.25">
      <c r="A5" s="87"/>
      <c r="B5" s="425">
        <v>2</v>
      </c>
      <c r="C5" s="88" t="s">
        <v>121</v>
      </c>
      <c r="D5" s="89"/>
      <c r="E5" s="89"/>
      <c r="F5" s="89">
        <v>-25747</v>
      </c>
      <c r="G5" s="89"/>
      <c r="H5" s="89"/>
      <c r="I5" s="89"/>
      <c r="J5" s="89"/>
      <c r="K5" s="89"/>
      <c r="L5" s="89"/>
      <c r="M5" s="89">
        <f t="shared" si="0"/>
        <v>-25747</v>
      </c>
    </row>
    <row r="6" spans="1:13" s="19" customFormat="1" ht="15" customHeight="1" x14ac:dyDescent="0.25">
      <c r="A6" s="87"/>
      <c r="B6" s="425">
        <v>3</v>
      </c>
      <c r="C6" s="88" t="s">
        <v>150</v>
      </c>
      <c r="D6" s="89">
        <v>4404</v>
      </c>
      <c r="E6" s="89">
        <v>572</v>
      </c>
      <c r="F6" s="89">
        <v>-10334</v>
      </c>
      <c r="G6" s="89"/>
      <c r="H6" s="89"/>
      <c r="I6" s="89"/>
      <c r="J6" s="89"/>
      <c r="K6" s="89"/>
      <c r="L6" s="89"/>
      <c r="M6" s="89">
        <f t="shared" si="0"/>
        <v>-5358</v>
      </c>
    </row>
    <row r="7" spans="1:13" s="19" customFormat="1" ht="23.25" customHeight="1" x14ac:dyDescent="0.25">
      <c r="A7" s="87"/>
      <c r="B7" s="425">
        <v>4</v>
      </c>
      <c r="C7" s="81" t="s">
        <v>176</v>
      </c>
      <c r="D7" s="89"/>
      <c r="E7" s="89"/>
      <c r="F7" s="89"/>
      <c r="G7" s="89"/>
      <c r="H7" s="89"/>
      <c r="I7" s="89"/>
      <c r="J7" s="89"/>
      <c r="K7" s="89"/>
      <c r="L7" s="89"/>
      <c r="M7" s="89">
        <f t="shared" si="0"/>
        <v>0</v>
      </c>
    </row>
    <row r="8" spans="1:13" s="19" customFormat="1" ht="26.25" customHeight="1" x14ac:dyDescent="0.25">
      <c r="A8" s="87"/>
      <c r="B8" s="425">
        <v>5</v>
      </c>
      <c r="C8" s="81" t="s">
        <v>177</v>
      </c>
      <c r="D8" s="89">
        <v>11186</v>
      </c>
      <c r="E8" s="89">
        <v>1454</v>
      </c>
      <c r="F8" s="89">
        <v>-4529</v>
      </c>
      <c r="G8" s="89"/>
      <c r="H8" s="89"/>
      <c r="I8" s="89">
        <v>500</v>
      </c>
      <c r="J8" s="89">
        <v>1000</v>
      </c>
      <c r="K8" s="89"/>
      <c r="L8" s="89"/>
      <c r="M8" s="89">
        <f t="shared" si="0"/>
        <v>9611</v>
      </c>
    </row>
    <row r="9" spans="1:13" s="19" customFormat="1" ht="15" customHeight="1" x14ac:dyDescent="0.25">
      <c r="A9" s="87"/>
      <c r="B9" s="425">
        <v>6</v>
      </c>
      <c r="C9" s="82" t="s">
        <v>151</v>
      </c>
      <c r="D9" s="89">
        <v>1803</v>
      </c>
      <c r="E9" s="89">
        <v>234</v>
      </c>
      <c r="F9" s="89">
        <v>-2472</v>
      </c>
      <c r="G9" s="89"/>
      <c r="H9" s="89"/>
      <c r="I9" s="89">
        <v>1050</v>
      </c>
      <c r="J9" s="89"/>
      <c r="K9" s="89"/>
      <c r="L9" s="89"/>
      <c r="M9" s="89">
        <f t="shared" si="0"/>
        <v>615</v>
      </c>
    </row>
    <row r="10" spans="1:13" s="19" customFormat="1" ht="15" customHeight="1" x14ac:dyDescent="0.25">
      <c r="A10" s="87"/>
      <c r="B10" s="425">
        <v>7</v>
      </c>
      <c r="C10" s="82" t="s">
        <v>152</v>
      </c>
      <c r="D10" s="89">
        <v>1560</v>
      </c>
      <c r="E10" s="89">
        <v>203</v>
      </c>
      <c r="F10" s="89">
        <v>-4619</v>
      </c>
      <c r="G10" s="89"/>
      <c r="H10" s="89"/>
      <c r="I10" s="89">
        <v>-225</v>
      </c>
      <c r="J10" s="89">
        <v>1114</v>
      </c>
      <c r="K10" s="89"/>
      <c r="L10" s="89"/>
      <c r="M10" s="89">
        <f t="shared" si="0"/>
        <v>-1967</v>
      </c>
    </row>
    <row r="11" spans="1:13" s="20" customFormat="1" ht="15" customHeight="1" x14ac:dyDescent="0.25">
      <c r="A11" s="87"/>
      <c r="B11" s="425">
        <v>8</v>
      </c>
      <c r="C11" s="82" t="s">
        <v>153</v>
      </c>
      <c r="D11" s="5">
        <v>1701</v>
      </c>
      <c r="E11" s="5">
        <v>221</v>
      </c>
      <c r="F11" s="5">
        <v>-3742</v>
      </c>
      <c r="G11" s="5"/>
      <c r="H11" s="5"/>
      <c r="I11" s="5">
        <v>1000</v>
      </c>
      <c r="J11" s="5"/>
      <c r="K11" s="5"/>
      <c r="L11" s="5"/>
      <c r="M11" s="89">
        <f t="shared" si="0"/>
        <v>-820</v>
      </c>
    </row>
    <row r="12" spans="1:13" s="20" customFormat="1" ht="17.25" customHeight="1" x14ac:dyDescent="0.25">
      <c r="A12" s="87"/>
      <c r="B12" s="425">
        <v>9</v>
      </c>
      <c r="C12" s="82" t="s">
        <v>154</v>
      </c>
      <c r="D12" s="5">
        <v>1880</v>
      </c>
      <c r="E12" s="5">
        <v>245</v>
      </c>
      <c r="F12" s="5">
        <v>-8017</v>
      </c>
      <c r="G12" s="5"/>
      <c r="H12" s="5"/>
      <c r="I12" s="5"/>
      <c r="J12" s="5"/>
      <c r="K12" s="5"/>
      <c r="L12" s="5"/>
      <c r="M12" s="89">
        <f t="shared" si="0"/>
        <v>-5892</v>
      </c>
    </row>
    <row r="13" spans="1:13" s="20" customFormat="1" ht="18.75" customHeight="1" x14ac:dyDescent="0.25">
      <c r="A13" s="87"/>
      <c r="B13" s="425">
        <v>10</v>
      </c>
      <c r="C13" s="82" t="s">
        <v>178</v>
      </c>
      <c r="D13" s="5"/>
      <c r="E13" s="5">
        <v>-200</v>
      </c>
      <c r="F13" s="5">
        <v>200</v>
      </c>
      <c r="G13" s="5"/>
      <c r="H13" s="5"/>
      <c r="I13" s="5"/>
      <c r="J13" s="5"/>
      <c r="K13" s="5"/>
      <c r="L13" s="5"/>
      <c r="M13" s="89">
        <f t="shared" si="0"/>
        <v>0</v>
      </c>
    </row>
    <row r="14" spans="1:13" s="20" customFormat="1" ht="14.1" customHeight="1" x14ac:dyDescent="0.25">
      <c r="A14" s="87"/>
      <c r="B14" s="425">
        <v>11</v>
      </c>
      <c r="C14" s="83" t="s">
        <v>148</v>
      </c>
      <c r="D14" s="5">
        <v>5824</v>
      </c>
      <c r="E14" s="5">
        <v>108</v>
      </c>
      <c r="F14" s="5">
        <v>37063</v>
      </c>
      <c r="G14" s="5"/>
      <c r="H14" s="5">
        <v>10000</v>
      </c>
      <c r="I14" s="5">
        <v>1500</v>
      </c>
      <c r="J14" s="5"/>
      <c r="K14" s="5"/>
      <c r="L14" s="5"/>
      <c r="M14" s="89">
        <f t="shared" si="0"/>
        <v>54495</v>
      </c>
    </row>
    <row r="15" spans="1:13" s="20" customFormat="1" ht="24.75" customHeight="1" x14ac:dyDescent="0.25">
      <c r="A15" s="87"/>
      <c r="B15" s="425">
        <v>12</v>
      </c>
      <c r="C15" s="81" t="s">
        <v>155</v>
      </c>
      <c r="D15" s="5">
        <v>498</v>
      </c>
      <c r="E15" s="5"/>
      <c r="F15" s="5">
        <v>40</v>
      </c>
      <c r="G15" s="5"/>
      <c r="H15" s="5"/>
      <c r="I15" s="5">
        <v>200</v>
      </c>
      <c r="J15" s="5"/>
      <c r="K15" s="5"/>
      <c r="L15" s="5"/>
      <c r="M15" s="89">
        <f t="shared" si="0"/>
        <v>738</v>
      </c>
    </row>
    <row r="16" spans="1:13" s="20" customFormat="1" ht="14.1" customHeight="1" x14ac:dyDescent="0.25">
      <c r="A16" s="87"/>
      <c r="B16" s="425">
        <v>13</v>
      </c>
      <c r="C16" s="82" t="s">
        <v>149</v>
      </c>
      <c r="D16" s="5"/>
      <c r="E16" s="5"/>
      <c r="F16" s="5">
        <v>-9553</v>
      </c>
      <c r="G16" s="5"/>
      <c r="H16" s="5"/>
      <c r="I16" s="5"/>
      <c r="J16" s="5"/>
      <c r="K16" s="5"/>
      <c r="L16" s="5"/>
      <c r="M16" s="89">
        <f t="shared" si="0"/>
        <v>-9553</v>
      </c>
    </row>
    <row r="17" spans="1:13" s="20" customFormat="1" ht="14.1" customHeight="1" x14ac:dyDescent="0.25">
      <c r="A17" s="87"/>
      <c r="B17" s="425">
        <v>14</v>
      </c>
      <c r="C17" s="82" t="s">
        <v>1107</v>
      </c>
      <c r="D17" s="5">
        <v>3183</v>
      </c>
      <c r="E17" s="5">
        <v>412</v>
      </c>
      <c r="F17" s="5">
        <v>-10923</v>
      </c>
      <c r="G17" s="5"/>
      <c r="H17" s="5"/>
      <c r="I17" s="5">
        <v>-159</v>
      </c>
      <c r="J17" s="5">
        <v>3583</v>
      </c>
      <c r="K17" s="5"/>
      <c r="L17" s="5"/>
      <c r="M17" s="89">
        <f t="shared" si="0"/>
        <v>-3904</v>
      </c>
    </row>
    <row r="18" spans="1:13" s="20" customFormat="1" ht="12.9" customHeight="1" x14ac:dyDescent="0.25">
      <c r="A18" s="87"/>
      <c r="B18" s="425">
        <v>15</v>
      </c>
      <c r="C18" s="82" t="s">
        <v>156</v>
      </c>
      <c r="D18" s="5">
        <v>18000</v>
      </c>
      <c r="E18" s="5">
        <v>-14000</v>
      </c>
      <c r="F18" s="5">
        <v>-33400</v>
      </c>
      <c r="G18" s="5"/>
      <c r="H18" s="5"/>
      <c r="I18" s="5">
        <v>-747</v>
      </c>
      <c r="J18" s="5"/>
      <c r="K18" s="5"/>
      <c r="L18" s="5"/>
      <c r="M18" s="89">
        <f t="shared" si="0"/>
        <v>-30147</v>
      </c>
    </row>
    <row r="19" spans="1:13" s="20" customFormat="1" ht="12.9" customHeight="1" x14ac:dyDescent="0.25">
      <c r="A19" s="87"/>
      <c r="B19" s="425">
        <v>16</v>
      </c>
      <c r="C19" s="82" t="s">
        <v>157</v>
      </c>
      <c r="D19" s="5">
        <v>7659</v>
      </c>
      <c r="E19" s="5">
        <v>-1409</v>
      </c>
      <c r="F19" s="5">
        <v>250</v>
      </c>
      <c r="G19" s="5"/>
      <c r="H19" s="5"/>
      <c r="I19" s="5">
        <v>1500</v>
      </c>
      <c r="J19" s="5"/>
      <c r="K19" s="5"/>
      <c r="L19" s="5"/>
      <c r="M19" s="89">
        <f t="shared" si="0"/>
        <v>8000</v>
      </c>
    </row>
    <row r="20" spans="1:13" s="20" customFormat="1" ht="15.75" customHeight="1" x14ac:dyDescent="0.25">
      <c r="A20" s="87"/>
      <c r="B20" s="425">
        <v>17</v>
      </c>
      <c r="C20" s="82" t="s">
        <v>179</v>
      </c>
      <c r="D20" s="5">
        <v>-500</v>
      </c>
      <c r="E20" s="5">
        <v>500</v>
      </c>
      <c r="F20" s="5">
        <v>-98925</v>
      </c>
      <c r="G20" s="5"/>
      <c r="H20" s="5"/>
      <c r="I20" s="5"/>
      <c r="J20" s="5"/>
      <c r="K20" s="5"/>
      <c r="L20" s="5"/>
      <c r="M20" s="89">
        <f t="shared" si="0"/>
        <v>-98925</v>
      </c>
    </row>
    <row r="21" spans="1:13" s="1" customFormat="1" ht="12" x14ac:dyDescent="0.25">
      <c r="A21" s="87"/>
      <c r="B21" s="425">
        <v>18</v>
      </c>
      <c r="C21" s="82" t="s">
        <v>182</v>
      </c>
      <c r="D21" s="9">
        <v>726</v>
      </c>
      <c r="E21" s="9">
        <v>274</v>
      </c>
      <c r="F21" s="9"/>
      <c r="G21" s="9"/>
      <c r="H21" s="9"/>
      <c r="I21" s="9"/>
      <c r="J21" s="9"/>
      <c r="K21" s="9"/>
      <c r="L21" s="9"/>
      <c r="M21" s="89">
        <f t="shared" si="0"/>
        <v>1000</v>
      </c>
    </row>
    <row r="22" spans="1:13" s="1" customFormat="1" ht="24" x14ac:dyDescent="0.25">
      <c r="A22" s="775"/>
      <c r="B22" s="775">
        <v>19</v>
      </c>
      <c r="C22" s="777" t="s">
        <v>1133</v>
      </c>
      <c r="D22" s="736"/>
      <c r="E22" s="736"/>
      <c r="F22" s="736">
        <v>500</v>
      </c>
      <c r="G22" s="736"/>
      <c r="H22" s="736"/>
      <c r="I22" s="736"/>
      <c r="J22" s="736"/>
      <c r="K22" s="736"/>
      <c r="L22" s="736"/>
      <c r="M22" s="89">
        <f t="shared" si="0"/>
        <v>500</v>
      </c>
    </row>
    <row r="23" spans="1:13" s="1" customFormat="1" ht="12" x14ac:dyDescent="0.25">
      <c r="A23" s="90"/>
      <c r="B23" s="431"/>
      <c r="C23" s="91" t="s">
        <v>11</v>
      </c>
      <c r="D23" s="58">
        <f>SUM(D4:D22)</f>
        <v>73495</v>
      </c>
      <c r="E23" s="58">
        <f t="shared" ref="E23:M23" si="1">SUM(E4:E22)</f>
        <v>-8274</v>
      </c>
      <c r="F23" s="58">
        <f t="shared" si="1"/>
        <v>-169809</v>
      </c>
      <c r="G23" s="58">
        <f t="shared" si="1"/>
        <v>0</v>
      </c>
      <c r="H23" s="58">
        <f t="shared" si="1"/>
        <v>10000</v>
      </c>
      <c r="I23" s="58">
        <f t="shared" si="1"/>
        <v>-8381</v>
      </c>
      <c r="J23" s="58">
        <f t="shared" si="1"/>
        <v>7697</v>
      </c>
      <c r="K23" s="58">
        <f t="shared" si="1"/>
        <v>0</v>
      </c>
      <c r="L23" s="58">
        <f t="shared" si="1"/>
        <v>0</v>
      </c>
      <c r="M23" s="58">
        <f t="shared" si="1"/>
        <v>-95272</v>
      </c>
    </row>
    <row r="24" spans="1:13" s="1" customFormat="1" x14ac:dyDescent="0.25"/>
    <row r="25" spans="1:13" s="1" customFormat="1" x14ac:dyDescent="0.25"/>
    <row r="26" spans="1:13" s="1" customFormat="1" x14ac:dyDescent="0.25"/>
    <row r="27" spans="1:13" s="1" customFormat="1" x14ac:dyDescent="0.25"/>
    <row r="28" spans="1:13" s="1" customFormat="1" x14ac:dyDescent="0.25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2023.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2023-12-08T08:51:15Z</cp:lastPrinted>
  <dcterms:created xsi:type="dcterms:W3CDTF">2002-12-30T13:12:46Z</dcterms:created>
  <dcterms:modified xsi:type="dcterms:W3CDTF">2023-12-08T09:07:57Z</dcterms:modified>
</cp:coreProperties>
</file>